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 activeTab="5"/>
  </bookViews>
  <sheets>
    <sheet name="Доходы" sheetId="2" r:id="rId1"/>
    <sheet name="Расходы старые" sheetId="1" state="hidden" r:id="rId2"/>
    <sheet name="расходы" sheetId="3" r:id="rId3"/>
    <sheet name="Лист2" sheetId="7" state="hidden" r:id="rId4"/>
    <sheet name="расходы минус" sheetId="6" state="hidden" r:id="rId5"/>
    <sheet name="источники" sheetId="4" r:id="rId6"/>
    <sheet name="Лист1" sheetId="5" state="hidden" r:id="rId7"/>
  </sheets>
  <definedNames>
    <definedName name="_xlnm._FilterDatabase" localSheetId="2" hidden="1">расходы!$A$4:$O$5</definedName>
    <definedName name="_xlnm.Print_Titles" localSheetId="2">расходы!$4:$5</definedName>
    <definedName name="_xlnm.Print_Titles" localSheetId="1">'Расходы старые'!$A:$B,'Расходы старые'!$2:$6</definedName>
    <definedName name="_xlnm.Print_Area" localSheetId="0">Доходы!$B$1:$G$131</definedName>
    <definedName name="_xlnm.Print_Area" localSheetId="5">источники!$A$1:$K$14</definedName>
    <definedName name="_xlnm.Print_Area" localSheetId="2">расходы!$B$1:$P$190</definedName>
  </definedNames>
  <calcPr calcId="144525" refMode="R1C1"/>
</workbook>
</file>

<file path=xl/calcChain.xml><?xml version="1.0" encoding="utf-8"?>
<calcChain xmlns="http://schemas.openxmlformats.org/spreadsheetml/2006/main">
  <c r="E28" i="2" l="1"/>
  <c r="K154" i="3" l="1"/>
  <c r="N154" i="3"/>
  <c r="E90" i="2" l="1"/>
  <c r="D44" i="2" l="1"/>
  <c r="D90" i="2"/>
  <c r="E85" i="2"/>
  <c r="O129" i="3" l="1"/>
  <c r="N129" i="3"/>
  <c r="M116" i="3"/>
  <c r="M80" i="3"/>
  <c r="H8" i="4" l="1"/>
  <c r="E82" i="2" l="1"/>
  <c r="F82" i="2"/>
  <c r="D82" i="2"/>
  <c r="F28" i="2"/>
  <c r="D28" i="2"/>
  <c r="N22" i="3"/>
  <c r="H170" i="3" l="1"/>
  <c r="D40" i="2"/>
  <c r="D112" i="2"/>
  <c r="D94" i="2"/>
  <c r="K20" i="3"/>
  <c r="J20" i="3"/>
  <c r="L20" i="3"/>
  <c r="E67" i="3"/>
  <c r="D65" i="3"/>
  <c r="E65" i="3"/>
  <c r="E76" i="3"/>
  <c r="E71" i="3"/>
  <c r="D71" i="3"/>
  <c r="E74" i="3"/>
  <c r="D74" i="3"/>
  <c r="F169" i="3"/>
  <c r="D67" i="3"/>
  <c r="D68" i="3"/>
  <c r="E68" i="3"/>
  <c r="D70" i="3"/>
  <c r="E70" i="3"/>
  <c r="E69" i="3"/>
  <c r="F60" i="3"/>
  <c r="L61" i="3"/>
  <c r="I61" i="3"/>
  <c r="L55" i="3"/>
  <c r="F43" i="3"/>
  <c r="D37" i="3"/>
  <c r="E37" i="3"/>
  <c r="D46" i="3"/>
  <c r="E46" i="3"/>
  <c r="F44" i="3"/>
  <c r="F35" i="3"/>
  <c r="E33" i="3"/>
  <c r="E39" i="3"/>
  <c r="D39" i="3"/>
  <c r="D33" i="3"/>
  <c r="F34" i="3"/>
  <c r="E34" i="3"/>
  <c r="D34" i="3"/>
  <c r="L168" i="3"/>
  <c r="L171" i="3"/>
  <c r="E182" i="3"/>
  <c r="F182" i="3"/>
  <c r="F181" i="3"/>
  <c r="E181" i="3"/>
  <c r="E180" i="3"/>
  <c r="H109" i="3"/>
  <c r="H112" i="3"/>
  <c r="E81" i="2" l="1"/>
  <c r="F81" i="2"/>
  <c r="H8" i="3" l="1"/>
  <c r="H13" i="3"/>
  <c r="H16" i="3"/>
  <c r="H48" i="3"/>
  <c r="H51" i="3"/>
  <c r="H59" i="3"/>
  <c r="H83" i="3"/>
  <c r="H87" i="3"/>
  <c r="H89" i="3"/>
  <c r="G91" i="3"/>
  <c r="H91" i="3"/>
  <c r="H94" i="3"/>
  <c r="H97" i="3"/>
  <c r="H99" i="3"/>
  <c r="H101" i="3"/>
  <c r="H105" i="3"/>
  <c r="H113" i="3"/>
  <c r="H116" i="3"/>
  <c r="H119" i="3"/>
  <c r="H123" i="3"/>
  <c r="H122" i="3" s="1"/>
  <c r="H125" i="3"/>
  <c r="H129" i="3"/>
  <c r="H131" i="3"/>
  <c r="H135" i="3"/>
  <c r="H137" i="3"/>
  <c r="H141" i="3"/>
  <c r="H146" i="3"/>
  <c r="H149" i="3"/>
  <c r="H152" i="3"/>
  <c r="H154" i="3"/>
  <c r="H159" i="3"/>
  <c r="H185" i="3"/>
  <c r="H96" i="3" l="1"/>
  <c r="H86" i="3"/>
  <c r="I168" i="3"/>
  <c r="I117" i="3"/>
  <c r="I33" i="3"/>
  <c r="I170" i="3"/>
  <c r="D21" i="2" l="1"/>
  <c r="H25" i="3" l="1"/>
  <c r="H19" i="3" s="1"/>
  <c r="H7" i="3" s="1"/>
  <c r="I109" i="3"/>
  <c r="H81" i="3"/>
  <c r="H80" i="3" s="1"/>
  <c r="H58" i="3" s="1"/>
  <c r="H36" i="3"/>
  <c r="I36" i="3" s="1"/>
  <c r="H34" i="3"/>
  <c r="H171" i="3"/>
  <c r="I171" i="3" s="1"/>
  <c r="H108" i="3"/>
  <c r="H107" i="3" s="1"/>
  <c r="H110" i="3"/>
  <c r="H32" i="3" l="1"/>
  <c r="H31" i="3" s="1"/>
  <c r="F172" i="3"/>
  <c r="H169" i="3"/>
  <c r="H179" i="3"/>
  <c r="H134" i="3"/>
  <c r="H133" i="3" s="1"/>
  <c r="H163" i="3" l="1"/>
  <c r="I169" i="3"/>
  <c r="D76" i="2"/>
  <c r="D59" i="2"/>
  <c r="D48" i="2"/>
  <c r="D45" i="2"/>
  <c r="D8" i="2" l="1"/>
  <c r="D14" i="2"/>
  <c r="D77" i="2" l="1"/>
  <c r="K91" i="3"/>
  <c r="K126" i="3"/>
  <c r="K125" i="3" s="1"/>
  <c r="L156" i="3"/>
  <c r="I156" i="3"/>
  <c r="L167" i="3" l="1"/>
  <c r="L92" i="3"/>
  <c r="O135" i="3"/>
  <c r="N135" i="3"/>
  <c r="K135" i="3"/>
  <c r="E135" i="3"/>
  <c r="O133" i="3"/>
  <c r="N133" i="3"/>
  <c r="K133" i="3"/>
  <c r="E133" i="3"/>
  <c r="L124" i="3"/>
  <c r="I90" i="3"/>
  <c r="L157" i="3"/>
  <c r="L166" i="3" l="1"/>
  <c r="L164" i="3"/>
  <c r="L165" i="3"/>
  <c r="I23" i="3" l="1"/>
  <c r="I24" i="3"/>
  <c r="I25" i="3"/>
  <c r="F69" i="3"/>
  <c r="F70" i="3"/>
  <c r="F71" i="3"/>
  <c r="F72" i="3"/>
  <c r="F73" i="3"/>
  <c r="F74" i="3"/>
  <c r="F75" i="3"/>
  <c r="F76" i="3"/>
  <c r="F77" i="3"/>
  <c r="F78" i="3"/>
  <c r="F79" i="3"/>
  <c r="F38" i="3"/>
  <c r="F37" i="3"/>
  <c r="I10" i="3"/>
  <c r="O163" i="3"/>
  <c r="L93" i="3"/>
  <c r="N163" i="3"/>
  <c r="F68" i="3"/>
  <c r="E40" i="2" l="1"/>
  <c r="E8" i="2" l="1"/>
  <c r="F8" i="2"/>
  <c r="E14" i="2"/>
  <c r="F14" i="2"/>
  <c r="D81" i="2"/>
  <c r="D24" i="2" s="1"/>
  <c r="I179" i="3"/>
  <c r="I103" i="3"/>
  <c r="I35" i="3"/>
  <c r="F6" i="2" l="1"/>
  <c r="E6" i="2"/>
  <c r="F40" i="2"/>
  <c r="D25" i="2" l="1"/>
  <c r="H10" i="4" s="1"/>
  <c r="D6" i="2" l="1"/>
  <c r="O83" i="3"/>
  <c r="N83" i="3"/>
  <c r="K83" i="3"/>
  <c r="E83" i="3"/>
  <c r="I164" i="3"/>
  <c r="I153" i="3"/>
  <c r="I155" i="3"/>
  <c r="L155" i="3"/>
  <c r="O152" i="3"/>
  <c r="N152" i="3"/>
  <c r="O154" i="3"/>
  <c r="O159" i="3"/>
  <c r="N159" i="3"/>
  <c r="B6" i="4" l="1"/>
  <c r="E185" i="3"/>
  <c r="I187" i="3"/>
  <c r="L178" i="3" l="1"/>
  <c r="K163" i="3" l="1"/>
  <c r="E163" i="3"/>
  <c r="E13" i="3"/>
  <c r="F39" i="3"/>
  <c r="I44" i="3" l="1"/>
  <c r="I56" i="3"/>
  <c r="F56" i="3"/>
  <c r="M163" i="3" l="1"/>
  <c r="E91" i="3" l="1"/>
  <c r="M91" i="3" s="1"/>
  <c r="F180" i="3" l="1"/>
  <c r="L160" i="3"/>
  <c r="O119" i="3"/>
  <c r="N119" i="3"/>
  <c r="E119" i="3"/>
  <c r="K119" i="3"/>
  <c r="L121" i="3"/>
  <c r="M119" i="3" l="1"/>
  <c r="D131" i="2" l="1"/>
  <c r="H9" i="4"/>
  <c r="H6" i="4" s="1"/>
  <c r="H23" i="6"/>
  <c r="N190" i="6"/>
  <c r="M190" i="6"/>
  <c r="K190" i="6"/>
  <c r="H190" i="6"/>
  <c r="E190" i="6"/>
  <c r="I189" i="6"/>
  <c r="L187" i="6"/>
  <c r="I187" i="6"/>
  <c r="I186" i="6"/>
  <c r="F186" i="6"/>
  <c r="I185" i="6"/>
  <c r="I184" i="6"/>
  <c r="L183" i="6"/>
  <c r="I183" i="6"/>
  <c r="I182" i="6"/>
  <c r="I181" i="6"/>
  <c r="L180" i="6"/>
  <c r="I179" i="6"/>
  <c r="I178" i="6"/>
  <c r="I177" i="6"/>
  <c r="I176" i="6"/>
  <c r="L175" i="6"/>
  <c r="I174" i="6"/>
  <c r="F173" i="6"/>
  <c r="L171" i="6"/>
  <c r="H171" i="6"/>
  <c r="H169" i="6" s="1"/>
  <c r="L170" i="6"/>
  <c r="I170" i="6"/>
  <c r="N169" i="6"/>
  <c r="M169" i="6"/>
  <c r="K169" i="6"/>
  <c r="E169" i="6"/>
  <c r="N165" i="6"/>
  <c r="M165" i="6"/>
  <c r="K165" i="6"/>
  <c r="H165" i="6"/>
  <c r="E165" i="6"/>
  <c r="K161" i="6"/>
  <c r="H161" i="6"/>
  <c r="E161" i="6"/>
  <c r="L157" i="6"/>
  <c r="K155" i="6"/>
  <c r="H155" i="6"/>
  <c r="E155" i="6"/>
  <c r="K152" i="6"/>
  <c r="H152" i="6"/>
  <c r="E152" i="6"/>
  <c r="I151" i="6"/>
  <c r="N149" i="6"/>
  <c r="M149" i="6"/>
  <c r="K149" i="6"/>
  <c r="H149" i="6"/>
  <c r="E149" i="6"/>
  <c r="I147" i="6"/>
  <c r="N146" i="6"/>
  <c r="M146" i="6"/>
  <c r="K146" i="6"/>
  <c r="H146" i="6"/>
  <c r="E146" i="6"/>
  <c r="L145" i="6"/>
  <c r="L144" i="6"/>
  <c r="N143" i="6"/>
  <c r="M143" i="6"/>
  <c r="K143" i="6"/>
  <c r="H143" i="6"/>
  <c r="E143" i="6"/>
  <c r="N141" i="6"/>
  <c r="M141" i="6"/>
  <c r="K141" i="6"/>
  <c r="H141" i="6"/>
  <c r="E141" i="6"/>
  <c r="N138" i="6"/>
  <c r="M138" i="6"/>
  <c r="K138" i="6"/>
  <c r="H138" i="6"/>
  <c r="E138" i="6"/>
  <c r="I136" i="6"/>
  <c r="N135" i="6"/>
  <c r="M135" i="6"/>
  <c r="K135" i="6"/>
  <c r="H135" i="6"/>
  <c r="E135" i="6"/>
  <c r="L134" i="6"/>
  <c r="K133" i="6"/>
  <c r="H133" i="6"/>
  <c r="E133" i="6"/>
  <c r="L132" i="6"/>
  <c r="K131" i="6"/>
  <c r="H131" i="6"/>
  <c r="E131" i="6"/>
  <c r="L130" i="6"/>
  <c r="L129" i="6"/>
  <c r="N128" i="6"/>
  <c r="M128" i="6"/>
  <c r="K128" i="6"/>
  <c r="H128" i="6"/>
  <c r="E128" i="6"/>
  <c r="N126" i="6"/>
  <c r="M126" i="6"/>
  <c r="M125" i="6" s="1"/>
  <c r="K126" i="6"/>
  <c r="H126" i="6"/>
  <c r="E126" i="6"/>
  <c r="L124" i="6"/>
  <c r="N123" i="6"/>
  <c r="M123" i="6"/>
  <c r="K123" i="6"/>
  <c r="H123" i="6"/>
  <c r="E123" i="6"/>
  <c r="N120" i="6"/>
  <c r="M120" i="6"/>
  <c r="K120" i="6"/>
  <c r="H120" i="6"/>
  <c r="E120" i="6"/>
  <c r="I118" i="6"/>
  <c r="N117" i="6"/>
  <c r="M117" i="6"/>
  <c r="K117" i="6"/>
  <c r="H117" i="6"/>
  <c r="E117" i="6"/>
  <c r="H116" i="6"/>
  <c r="G116" i="6"/>
  <c r="H115" i="6"/>
  <c r="I115" i="6" s="1"/>
  <c r="N114" i="6"/>
  <c r="M114" i="6"/>
  <c r="K114" i="6"/>
  <c r="E114" i="6"/>
  <c r="H112" i="6"/>
  <c r="G112" i="6"/>
  <c r="N111" i="6"/>
  <c r="M111" i="6"/>
  <c r="K111" i="6"/>
  <c r="E111" i="6"/>
  <c r="K109" i="6"/>
  <c r="H109" i="6"/>
  <c r="E109" i="6"/>
  <c r="I108" i="6"/>
  <c r="I107" i="6"/>
  <c r="N106" i="6"/>
  <c r="M106" i="6"/>
  <c r="K106" i="6"/>
  <c r="H106" i="6"/>
  <c r="E106" i="6"/>
  <c r="N104" i="6"/>
  <c r="M104" i="6"/>
  <c r="K104" i="6"/>
  <c r="H104" i="6"/>
  <c r="E104" i="6"/>
  <c r="N102" i="6"/>
  <c r="M102" i="6"/>
  <c r="K102" i="6"/>
  <c r="H102" i="6"/>
  <c r="E102" i="6"/>
  <c r="N99" i="6"/>
  <c r="M99" i="6"/>
  <c r="K99" i="6"/>
  <c r="H99" i="6"/>
  <c r="E99" i="6"/>
  <c r="K98" i="6"/>
  <c r="K97" i="6"/>
  <c r="N96" i="6"/>
  <c r="M96" i="6"/>
  <c r="H96" i="6"/>
  <c r="E96" i="6"/>
  <c r="D96" i="6"/>
  <c r="I94" i="6"/>
  <c r="N92" i="6"/>
  <c r="M92" i="6"/>
  <c r="K92" i="6"/>
  <c r="H92" i="6"/>
  <c r="E92" i="6"/>
  <c r="N90" i="6"/>
  <c r="M90" i="6"/>
  <c r="K90" i="6"/>
  <c r="H90" i="6"/>
  <c r="E90" i="6"/>
  <c r="I82" i="6"/>
  <c r="N81" i="6"/>
  <c r="M81" i="6"/>
  <c r="K81" i="6"/>
  <c r="H81" i="6"/>
  <c r="E81" i="6"/>
  <c r="I79" i="6"/>
  <c r="N78" i="6"/>
  <c r="M78" i="6"/>
  <c r="K78" i="6"/>
  <c r="H78" i="6"/>
  <c r="E78" i="6"/>
  <c r="F76" i="6"/>
  <c r="F75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H59" i="6"/>
  <c r="I59" i="6" s="1"/>
  <c r="N58" i="6"/>
  <c r="M58" i="6"/>
  <c r="K58" i="6"/>
  <c r="E58" i="6"/>
  <c r="I51" i="6"/>
  <c r="N50" i="6"/>
  <c r="M50" i="6"/>
  <c r="K50" i="6"/>
  <c r="H50" i="6"/>
  <c r="E50" i="6"/>
  <c r="N47" i="6"/>
  <c r="M47" i="6"/>
  <c r="K47" i="6"/>
  <c r="H47" i="6"/>
  <c r="E47" i="6"/>
  <c r="F46" i="6"/>
  <c r="F45" i="6"/>
  <c r="I43" i="6"/>
  <c r="I42" i="6"/>
  <c r="I40" i="6"/>
  <c r="G39" i="6"/>
  <c r="I39" i="6" s="1"/>
  <c r="G34" i="6"/>
  <c r="I34" i="6" s="1"/>
  <c r="G33" i="6"/>
  <c r="I33" i="6" s="1"/>
  <c r="N32" i="6"/>
  <c r="M32" i="6"/>
  <c r="K32" i="6"/>
  <c r="H32" i="6"/>
  <c r="E32" i="6"/>
  <c r="N28" i="6"/>
  <c r="M28" i="6"/>
  <c r="K28" i="6"/>
  <c r="H28" i="6"/>
  <c r="E28" i="6"/>
  <c r="I25" i="6"/>
  <c r="H24" i="6"/>
  <c r="I24" i="6" s="1"/>
  <c r="I23" i="6"/>
  <c r="F21" i="6"/>
  <c r="L19" i="6"/>
  <c r="I19" i="6"/>
  <c r="N18" i="6"/>
  <c r="M18" i="6"/>
  <c r="K18" i="6"/>
  <c r="E18" i="6"/>
  <c r="N15" i="6"/>
  <c r="M15" i="6"/>
  <c r="K15" i="6"/>
  <c r="H15" i="6"/>
  <c r="E15" i="6"/>
  <c r="L14" i="6"/>
  <c r="N13" i="6"/>
  <c r="M13" i="6"/>
  <c r="K13" i="6"/>
  <c r="H13" i="6"/>
  <c r="E13" i="6"/>
  <c r="I10" i="6"/>
  <c r="E9" i="6"/>
  <c r="E8" i="6" s="1"/>
  <c r="N8" i="6"/>
  <c r="M8" i="6"/>
  <c r="K8" i="6"/>
  <c r="H8" i="6"/>
  <c r="K96" i="6" l="1"/>
  <c r="K7" i="6"/>
  <c r="I112" i="6"/>
  <c r="K125" i="6"/>
  <c r="N57" i="6"/>
  <c r="K57" i="6"/>
  <c r="H101" i="6"/>
  <c r="E57" i="6"/>
  <c r="M57" i="6"/>
  <c r="H125" i="6"/>
  <c r="E89" i="6"/>
  <c r="N89" i="6"/>
  <c r="M89" i="6"/>
  <c r="E101" i="6"/>
  <c r="N101" i="6"/>
  <c r="K31" i="6"/>
  <c r="H58" i="6"/>
  <c r="H57" i="6" s="1"/>
  <c r="E7" i="6"/>
  <c r="H89" i="6"/>
  <c r="M7" i="6"/>
  <c r="M31" i="6"/>
  <c r="H111" i="6"/>
  <c r="I171" i="6"/>
  <c r="N7" i="6"/>
  <c r="K89" i="6"/>
  <c r="E31" i="6"/>
  <c r="N31" i="6"/>
  <c r="H31" i="6"/>
  <c r="M101" i="6"/>
  <c r="K101" i="6"/>
  <c r="I116" i="6"/>
  <c r="E125" i="6"/>
  <c r="N125" i="6"/>
  <c r="H18" i="6"/>
  <c r="H7" i="6" s="1"/>
  <c r="H114" i="6"/>
  <c r="M167" i="6" l="1"/>
  <c r="M192" i="6" s="1"/>
  <c r="M194" i="6" s="1"/>
  <c r="E167" i="6"/>
  <c r="E192" i="6" s="1"/>
  <c r="K167" i="6"/>
  <c r="K192" i="6" s="1"/>
  <c r="N167" i="6"/>
  <c r="N192" i="6" s="1"/>
  <c r="N194" i="6" s="1"/>
  <c r="H167" i="6"/>
  <c r="H192" i="6" s="1"/>
  <c r="I174" i="3"/>
  <c r="I41" i="3"/>
  <c r="D194" i="6" l="1"/>
  <c r="M168" i="6"/>
  <c r="N168" i="6"/>
  <c r="C168" i="6"/>
  <c r="I112" i="3"/>
  <c r="I114" i="3"/>
  <c r="I134" i="3" l="1"/>
  <c r="E154" i="3" l="1"/>
  <c r="F63" i="3" l="1"/>
  <c r="O185" i="3"/>
  <c r="N185" i="3"/>
  <c r="K185" i="3"/>
  <c r="M185" i="3" s="1"/>
  <c r="F24" i="2" l="1"/>
  <c r="F131" i="2" s="1"/>
  <c r="E24" i="2"/>
  <c r="E131" i="2" s="1"/>
  <c r="I34" i="3"/>
  <c r="I40" i="3"/>
  <c r="I52" i="3"/>
  <c r="K105" i="3" l="1"/>
  <c r="E105" i="3"/>
  <c r="L130" i="3"/>
  <c r="L132" i="3"/>
  <c r="K131" i="3"/>
  <c r="E131" i="3"/>
  <c r="K129" i="3"/>
  <c r="E129" i="3"/>
  <c r="K159" i="3"/>
  <c r="E159" i="3"/>
  <c r="M154" i="3"/>
  <c r="M161" i="3" s="1"/>
  <c r="M188" i="3" s="1"/>
  <c r="M131" i="3" l="1"/>
  <c r="M159" i="3"/>
  <c r="M129" i="3"/>
  <c r="M105" i="3"/>
  <c r="K152" i="3"/>
  <c r="E152" i="3"/>
  <c r="M152" i="3" l="1"/>
  <c r="I151" i="3"/>
  <c r="F62" i="3" l="1"/>
  <c r="E141" i="3" l="1"/>
  <c r="I177" i="3" l="1"/>
  <c r="F67" i="3" l="1"/>
  <c r="F66" i="3"/>
  <c r="L14" i="3"/>
  <c r="I108" i="3"/>
  <c r="I104" i="3" l="1"/>
  <c r="I173" i="3"/>
  <c r="O149" i="3"/>
  <c r="N149" i="3"/>
  <c r="K149" i="3"/>
  <c r="E149" i="3"/>
  <c r="O146" i="3"/>
  <c r="N146" i="3"/>
  <c r="K146" i="3"/>
  <c r="E146" i="3"/>
  <c r="O137" i="3"/>
  <c r="N137" i="3"/>
  <c r="K137" i="3"/>
  <c r="E137" i="3"/>
  <c r="L126" i="3"/>
  <c r="O125" i="3"/>
  <c r="E125" i="3"/>
  <c r="O123" i="3"/>
  <c r="N123" i="3"/>
  <c r="K123" i="3"/>
  <c r="E123" i="3"/>
  <c r="O116" i="3"/>
  <c r="N116" i="3"/>
  <c r="K116" i="3"/>
  <c r="E116" i="3"/>
  <c r="O113" i="3"/>
  <c r="N113" i="3"/>
  <c r="K113" i="3"/>
  <c r="E113" i="3"/>
  <c r="I111" i="3"/>
  <c r="O110" i="3"/>
  <c r="N110" i="3"/>
  <c r="K110" i="3"/>
  <c r="E110" i="3"/>
  <c r="O107" i="3"/>
  <c r="N107" i="3"/>
  <c r="K107" i="3"/>
  <c r="E107" i="3"/>
  <c r="O101" i="3"/>
  <c r="N101" i="3"/>
  <c r="K101" i="3"/>
  <c r="E101" i="3"/>
  <c r="O99" i="3"/>
  <c r="N99" i="3"/>
  <c r="K99" i="3"/>
  <c r="E99" i="3"/>
  <c r="O97" i="3"/>
  <c r="N97" i="3"/>
  <c r="K97" i="3"/>
  <c r="E97" i="3"/>
  <c r="O94" i="3"/>
  <c r="N94" i="3"/>
  <c r="K94" i="3"/>
  <c r="E94" i="3"/>
  <c r="O91" i="3"/>
  <c r="N91" i="3"/>
  <c r="D91" i="3"/>
  <c r="O89" i="3"/>
  <c r="N89" i="3"/>
  <c r="K89" i="3"/>
  <c r="E89" i="3"/>
  <c r="O87" i="3"/>
  <c r="N87" i="3"/>
  <c r="K87" i="3"/>
  <c r="E87" i="3"/>
  <c r="I84" i="3"/>
  <c r="O80" i="3"/>
  <c r="N80" i="3"/>
  <c r="K80" i="3"/>
  <c r="E80" i="3"/>
  <c r="F65" i="3"/>
  <c r="F64" i="3"/>
  <c r="O59" i="3"/>
  <c r="N59" i="3"/>
  <c r="K59" i="3"/>
  <c r="E59" i="3"/>
  <c r="O51" i="3"/>
  <c r="N51" i="3"/>
  <c r="K51" i="3"/>
  <c r="E51" i="3"/>
  <c r="O48" i="3"/>
  <c r="N48" i="3"/>
  <c r="K48" i="3"/>
  <c r="E48" i="3"/>
  <c r="F47" i="3"/>
  <c r="F46" i="3"/>
  <c r="O32" i="3"/>
  <c r="N32" i="3"/>
  <c r="K32" i="3"/>
  <c r="I26" i="3"/>
  <c r="O19" i="3"/>
  <c r="N19" i="3"/>
  <c r="K19" i="3"/>
  <c r="E19" i="3"/>
  <c r="O16" i="3"/>
  <c r="N16" i="3"/>
  <c r="K16" i="3"/>
  <c r="E16" i="3"/>
  <c r="O13" i="3"/>
  <c r="N13" i="3"/>
  <c r="K13" i="3"/>
  <c r="O8" i="3"/>
  <c r="N8" i="3"/>
  <c r="K8" i="3"/>
  <c r="E8" i="3"/>
  <c r="M51" i="3" l="1"/>
  <c r="N141" i="3"/>
  <c r="M125" i="3"/>
  <c r="K141" i="3"/>
  <c r="M141" i="3" s="1"/>
  <c r="O141" i="3"/>
  <c r="N125" i="3"/>
  <c r="N122" i="3" s="1"/>
  <c r="K7" i="3"/>
  <c r="M59" i="3"/>
  <c r="M99" i="3"/>
  <c r="M107" i="3"/>
  <c r="N7" i="3"/>
  <c r="O7" i="3"/>
  <c r="M123" i="3"/>
  <c r="M8" i="3"/>
  <c r="E7" i="3"/>
  <c r="M89" i="3"/>
  <c r="M94" i="3"/>
  <c r="M87" i="3"/>
  <c r="M133" i="3"/>
  <c r="M146" i="3"/>
  <c r="M13" i="3"/>
  <c r="M110" i="3"/>
  <c r="M113" i="3"/>
  <c r="K96" i="3"/>
  <c r="E96" i="3"/>
  <c r="K58" i="3"/>
  <c r="O122" i="3"/>
  <c r="E32" i="3"/>
  <c r="E86" i="3"/>
  <c r="E58" i="3"/>
  <c r="O58" i="3"/>
  <c r="O86" i="3"/>
  <c r="K86" i="3"/>
  <c r="E122" i="3"/>
  <c r="O96" i="3"/>
  <c r="O31" i="3"/>
  <c r="N58" i="3"/>
  <c r="N96" i="3"/>
  <c r="K31" i="3"/>
  <c r="N31" i="3"/>
  <c r="N86" i="3"/>
  <c r="H161" i="3"/>
  <c r="H188" i="3" s="1"/>
  <c r="K122" i="3" l="1"/>
  <c r="M122" i="3" s="1"/>
  <c r="O161" i="3"/>
  <c r="O188" i="3" s="1"/>
  <c r="N161" i="3"/>
  <c r="E31" i="3"/>
  <c r="M31" i="3" s="1"/>
  <c r="M32" i="3"/>
  <c r="M58" i="3"/>
  <c r="M96" i="3"/>
  <c r="M19" i="3"/>
  <c r="M7" i="3"/>
  <c r="M86" i="3"/>
  <c r="E161" i="3" l="1"/>
  <c r="E188" i="3" s="1"/>
  <c r="K161" i="3"/>
  <c r="K188" i="3" s="1"/>
  <c r="N162" i="3"/>
  <c r="N188" i="3"/>
  <c r="N190" i="3" s="1"/>
  <c r="O162" i="3"/>
  <c r="O190" i="3"/>
  <c r="D190" i="3" l="1"/>
  <c r="C162" i="3"/>
  <c r="H23" i="1"/>
  <c r="U31" i="1"/>
  <c r="U7" i="1" s="1"/>
  <c r="V31" i="1"/>
  <c r="V7" i="1" s="1"/>
  <c r="W31" i="1"/>
  <c r="W7" i="1" s="1"/>
  <c r="X31" i="1"/>
  <c r="X7" i="1" s="1"/>
  <c r="Y31" i="1"/>
  <c r="Y7" i="1" s="1"/>
  <c r="Z31" i="1"/>
  <c r="Z7" i="1" s="1"/>
  <c r="AA31" i="1"/>
  <c r="AA7" i="1" s="1"/>
  <c r="AB31" i="1"/>
  <c r="AB7" i="1" s="1"/>
  <c r="AC31" i="1"/>
  <c r="AC7" i="1" s="1"/>
  <c r="AD31" i="1"/>
  <c r="AD7" i="1" s="1"/>
  <c r="AE31" i="1"/>
  <c r="AE7" i="1" s="1"/>
  <c r="T31" i="1"/>
  <c r="T7" i="1" s="1"/>
  <c r="Q39" i="1"/>
  <c r="Q31" i="1" s="1"/>
  <c r="U103" i="1"/>
  <c r="V103" i="1"/>
  <c r="W103" i="1"/>
  <c r="X103" i="1"/>
  <c r="Y103" i="1"/>
  <c r="Z103" i="1"/>
  <c r="AA103" i="1"/>
  <c r="AB103" i="1"/>
  <c r="AC103" i="1"/>
  <c r="AD103" i="1"/>
  <c r="AE103" i="1"/>
  <c r="T103" i="1"/>
  <c r="U98" i="1"/>
  <c r="V98" i="1"/>
  <c r="W98" i="1"/>
  <c r="X98" i="1"/>
  <c r="Y98" i="1"/>
  <c r="Z98" i="1"/>
  <c r="AA98" i="1"/>
  <c r="AB98" i="1"/>
  <c r="AC98" i="1"/>
  <c r="AD98" i="1"/>
  <c r="AE98" i="1"/>
  <c r="T98" i="1"/>
  <c r="U81" i="1"/>
  <c r="V81" i="1"/>
  <c r="W81" i="1"/>
  <c r="X81" i="1"/>
  <c r="Y81" i="1"/>
  <c r="Z81" i="1"/>
  <c r="AA81" i="1"/>
  <c r="AB81" i="1"/>
  <c r="AC81" i="1"/>
  <c r="AD81" i="1"/>
  <c r="AE81" i="1"/>
  <c r="T81" i="1"/>
  <c r="U75" i="1"/>
  <c r="V75" i="1"/>
  <c r="W75" i="1"/>
  <c r="X75" i="1"/>
  <c r="Y75" i="1"/>
  <c r="Z75" i="1"/>
  <c r="AA75" i="1"/>
  <c r="AB75" i="1"/>
  <c r="AC75" i="1"/>
  <c r="AD75" i="1"/>
  <c r="AE75" i="1"/>
  <c r="T75" i="1"/>
  <c r="U64" i="1"/>
  <c r="V64" i="1"/>
  <c r="W64" i="1"/>
  <c r="X64" i="1"/>
  <c r="Y64" i="1"/>
  <c r="Z64" i="1"/>
  <c r="AA64" i="1"/>
  <c r="AB64" i="1"/>
  <c r="AC64" i="1"/>
  <c r="AD64" i="1"/>
  <c r="AE64" i="1"/>
  <c r="T64" i="1"/>
  <c r="U48" i="1"/>
  <c r="V48" i="1"/>
  <c r="W48" i="1"/>
  <c r="X48" i="1"/>
  <c r="Y48" i="1"/>
  <c r="Z48" i="1"/>
  <c r="AA48" i="1"/>
  <c r="AB48" i="1"/>
  <c r="AC48" i="1"/>
  <c r="AD48" i="1"/>
  <c r="AE48" i="1"/>
  <c r="T48" i="1"/>
  <c r="U41" i="1"/>
  <c r="V41" i="1"/>
  <c r="W41" i="1"/>
  <c r="X41" i="1"/>
  <c r="Y41" i="1"/>
  <c r="Z41" i="1"/>
  <c r="AA41" i="1"/>
  <c r="AB41" i="1"/>
  <c r="AC41" i="1"/>
  <c r="AD41" i="1"/>
  <c r="AE41" i="1"/>
  <c r="T41" i="1"/>
  <c r="S110" i="1"/>
  <c r="T106" i="1" l="1"/>
  <c r="AC106" i="1"/>
  <c r="AB106" i="1"/>
  <c r="X106" i="1"/>
  <c r="AE106" i="1"/>
  <c r="W106" i="1"/>
  <c r="Y106" i="1"/>
  <c r="AD106" i="1"/>
  <c r="Z106" i="1"/>
  <c r="V106" i="1"/>
  <c r="AA106" i="1"/>
  <c r="U106" i="1"/>
  <c r="Q41" i="1"/>
  <c r="L41" i="1" l="1"/>
  <c r="Q98" i="1" l="1"/>
  <c r="Q81" i="1"/>
  <c r="D81" i="1"/>
  <c r="M87" i="1" l="1"/>
  <c r="L81" i="1" l="1"/>
  <c r="M83" i="1"/>
  <c r="M82" i="1"/>
  <c r="H87" i="1" l="1"/>
  <c r="M86" i="1"/>
  <c r="M74" i="1"/>
  <c r="M104" i="1" l="1"/>
  <c r="D75" i="1" l="1"/>
  <c r="L103" i="1"/>
  <c r="N103" i="1"/>
  <c r="O103" i="1"/>
  <c r="Q103" i="1"/>
  <c r="I98" i="1"/>
  <c r="J98" i="1"/>
  <c r="L98" i="1"/>
  <c r="N98" i="1"/>
  <c r="O98" i="1"/>
  <c r="N81" i="1"/>
  <c r="O81" i="1"/>
  <c r="I75" i="1"/>
  <c r="J75" i="1"/>
  <c r="L75" i="1"/>
  <c r="N75" i="1"/>
  <c r="O75" i="1"/>
  <c r="Q75" i="1"/>
  <c r="Q48" i="1"/>
  <c r="L48" i="1"/>
  <c r="G64" i="1"/>
  <c r="I64" i="1"/>
  <c r="J64" i="1"/>
  <c r="L64" i="1"/>
  <c r="N64" i="1"/>
  <c r="O64" i="1"/>
  <c r="Q64" i="1"/>
  <c r="N41" i="1"/>
  <c r="O41" i="1"/>
  <c r="L31" i="1"/>
  <c r="Q7" i="1"/>
  <c r="G31" i="1"/>
  <c r="G7" i="1" s="1"/>
  <c r="G103" i="1"/>
  <c r="G98" i="1"/>
  <c r="G75" i="1"/>
  <c r="G41" i="1"/>
  <c r="D103" i="1"/>
  <c r="D98" i="1"/>
  <c r="D48" i="1"/>
  <c r="D41" i="1"/>
  <c r="D31" i="1"/>
  <c r="D7" i="1" s="1"/>
  <c r="D64" i="1"/>
  <c r="L7" i="1" l="1"/>
  <c r="L106" i="1" s="1"/>
  <c r="K108" i="1" s="1"/>
  <c r="G48" i="1"/>
  <c r="G81" i="1"/>
  <c r="D106" i="1"/>
  <c r="S98" i="1"/>
  <c r="Q106" i="1"/>
  <c r="P108" i="1" s="1"/>
  <c r="G106" i="1" l="1"/>
  <c r="C108" i="1" s="1"/>
  <c r="C31" i="1"/>
  <c r="E31" i="1"/>
  <c r="F31" i="1"/>
  <c r="I31" i="1"/>
  <c r="I7" i="1" s="1"/>
  <c r="J31" i="1"/>
  <c r="J7" i="1" s="1"/>
  <c r="K31" i="1"/>
  <c r="M31" i="1"/>
  <c r="N31" i="1"/>
  <c r="N7" i="1" s="1"/>
  <c r="O31" i="1"/>
  <c r="O7" i="1" s="1"/>
  <c r="P31" i="1"/>
  <c r="R31" i="1" s="1"/>
  <c r="S7" i="1" l="1"/>
  <c r="I81" i="1" l="1"/>
  <c r="J81" i="1"/>
  <c r="S109" i="1" l="1"/>
  <c r="I48" i="1"/>
  <c r="J48" i="1"/>
  <c r="N48" i="1"/>
  <c r="N106" i="1" s="1"/>
  <c r="O48" i="1"/>
  <c r="O106" i="1" s="1"/>
  <c r="I41" i="1"/>
  <c r="J41" i="1"/>
  <c r="I103" i="1" l="1"/>
  <c r="J103" i="1"/>
  <c r="S75" i="1" l="1"/>
  <c r="I106" i="1" l="1"/>
  <c r="S64" i="1" l="1"/>
  <c r="S108" i="1"/>
  <c r="S41" i="1"/>
  <c r="S103" i="1"/>
  <c r="S48" i="1"/>
  <c r="S81" i="1"/>
  <c r="J106" i="1"/>
  <c r="S106" i="1" l="1"/>
  <c r="I6" i="4" l="1"/>
  <c r="J6" i="4" s="1"/>
</calcChain>
</file>

<file path=xl/sharedStrings.xml><?xml version="1.0" encoding="utf-8"?>
<sst xmlns="http://schemas.openxmlformats.org/spreadsheetml/2006/main" count="1673" uniqueCount="606">
  <si>
    <t>№п/п</t>
  </si>
  <si>
    <t>Наименование ГРБС</t>
  </si>
  <si>
    <t>+</t>
  </si>
  <si>
    <t>-</t>
  </si>
  <si>
    <t>передвижки</t>
  </si>
  <si>
    <t>областной бюджет</t>
  </si>
  <si>
    <t>Администрация ТМР</t>
  </si>
  <si>
    <t>Департамент муниципального имущества АТМР</t>
  </si>
  <si>
    <t>Департамент образования АТМР</t>
  </si>
  <si>
    <t>Департамент труда и социального развития ТМР</t>
  </si>
  <si>
    <t>Департамент финансов АТМР</t>
  </si>
  <si>
    <t>Департамент ЖКХ и строительства АТМР</t>
  </si>
  <si>
    <t>МУ КСП</t>
  </si>
  <si>
    <t>ИТОГО</t>
  </si>
  <si>
    <t>ВСЕГО</t>
  </si>
  <si>
    <t>бюджет поселений</t>
  </si>
  <si>
    <t xml:space="preserve"> бюджет района</t>
  </si>
  <si>
    <t>Всего</t>
  </si>
  <si>
    <t>федеральный бюджет + ФСР ЖКХ</t>
  </si>
  <si>
    <t>Департамент культуры и молодежной политики АТМР</t>
  </si>
  <si>
    <t>Дорожный фонд</t>
  </si>
  <si>
    <t xml:space="preserve">  рублей</t>
  </si>
  <si>
    <t>дефицит в том числе</t>
  </si>
  <si>
    <t>Увеличение собственных доходов</t>
  </si>
  <si>
    <t>Дорожный фонд всего:</t>
  </si>
  <si>
    <t>За счет остатков на нач. года  ДФ</t>
  </si>
  <si>
    <t>Субсидия на повышение оплаты труда отдельным категорим</t>
  </si>
  <si>
    <t>План предыдущей редакции бюджета</t>
  </si>
  <si>
    <t>Изменения текущей редакции бюджета</t>
  </si>
  <si>
    <t>% изменений</t>
  </si>
  <si>
    <t>Х</t>
  </si>
  <si>
    <t>Проведение работ по судну "Борис Кустодиев" (средний ремонт)</t>
  </si>
  <si>
    <t>Ремонт кровли здания Выползовского ДК после ураганного ветра 05.08</t>
  </si>
  <si>
    <t>ремонт Константиновского СКК</t>
  </si>
  <si>
    <t>содержание газеты "Берега"</t>
  </si>
  <si>
    <t>приобретение оргтехники "Столбищенский ДК" подарочный сертификат</t>
  </si>
  <si>
    <t>Проезд больных гемодиализом</t>
  </si>
  <si>
    <t>Содержание КСП</t>
  </si>
  <si>
    <t xml:space="preserve"> перераспределеные средства  областной субсидии</t>
  </si>
  <si>
    <t>за счет  5% собственных доходов</t>
  </si>
  <si>
    <t>рублей</t>
  </si>
  <si>
    <t>бюджет района</t>
  </si>
  <si>
    <t>бюджет поселения</t>
  </si>
  <si>
    <t>2020 год</t>
  </si>
  <si>
    <t>2021 год</t>
  </si>
  <si>
    <t xml:space="preserve">                                                      2019 год                                                                                             </t>
  </si>
  <si>
    <t>бюджет фед.+ обл.</t>
  </si>
  <si>
    <t>Межсезонные пассажирские перевозки</t>
  </si>
  <si>
    <t>Перевозки речным транспортом</t>
  </si>
  <si>
    <t>Мероприятия по БДД</t>
  </si>
  <si>
    <t>Обеспечение деятельности организации</t>
  </si>
  <si>
    <t>Ремонт дорог в рамках  Агломерация "Ярославская"</t>
  </si>
  <si>
    <t>Оплата лизинговых платежей</t>
  </si>
  <si>
    <t>в том числе:                   инициативное бюджетирование</t>
  </si>
  <si>
    <t>Содержание и ремонт дорог, ПСД</t>
  </si>
  <si>
    <t>Субсидирование доставки товаров на селе</t>
  </si>
  <si>
    <t>Содержание муниципального жилфонда, установка приборов учета</t>
  </si>
  <si>
    <t>Мероприятия по газификации  на территории г.Тутаев</t>
  </si>
  <si>
    <t>Мероприятия по переводу ЖФ на индивидуальное газ.отопление</t>
  </si>
  <si>
    <t>Мероприятия по сбору и переработке ливневых стоков</t>
  </si>
  <si>
    <t>ТОЭ строительство водоводов на территори гп Тутаев</t>
  </si>
  <si>
    <t>Инициативное бюджетирование</t>
  </si>
  <si>
    <t>Уличное освещение</t>
  </si>
  <si>
    <t>Содержание сетей ул.освещение</t>
  </si>
  <si>
    <t>Содержание учреждения</t>
  </si>
  <si>
    <t>Мероприятия по благоустройству</t>
  </si>
  <si>
    <t>Мероприятия по формированию современной гор.среды</t>
  </si>
  <si>
    <t>Содержание  кладбищ</t>
  </si>
  <si>
    <t>Межевание земельных участков</t>
  </si>
  <si>
    <t>дотация на выравнивание УБО поселений</t>
  </si>
  <si>
    <t>Газификация п.Копниское, п.Мишаки</t>
  </si>
  <si>
    <t>Ремонт водопровода Судилово</t>
  </si>
  <si>
    <t>Подготовка к зиме</t>
  </si>
  <si>
    <t>Расходы на приобретение автотранспорта  врамках фед. проека  "Старшее поколение"</t>
  </si>
  <si>
    <t>Денежная выплата  "Почетный Донор"</t>
  </si>
  <si>
    <t>Проезд многодетных</t>
  </si>
  <si>
    <t>проезд многодетных  (кредиторская задолженность)</t>
  </si>
  <si>
    <t>Увеличение (+), уменьшение (-), руб.</t>
  </si>
  <si>
    <t>Наименование источника дохода</t>
  </si>
  <si>
    <t>Налоговые и неналоговые доходы, всего</t>
  </si>
  <si>
    <t>в том числе:</t>
  </si>
  <si>
    <t>Субсидии бюджетам субъектов Российской Федерации и муниципальных образований (межбюджетные субсидии)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</si>
  <si>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</si>
  <si>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</si>
  <si>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Межбюджетные трансферты на обеспечение культурно - досуговых мероприятий</t>
  </si>
  <si>
    <t>Межбюджетные трансферты на обеспечение мероприятий по формированию современной городской среды</t>
  </si>
  <si>
    <t>Межбюджетные трансферты на содержание и организацию деятельности дорожного хозяйства</t>
  </si>
  <si>
    <t>2. Изменения расходной части бюджета Тутаевского муниципального района</t>
  </si>
  <si>
    <t>Доходы</t>
  </si>
  <si>
    <t>Расходы</t>
  </si>
  <si>
    <t xml:space="preserve">За счёт остатков на нач. года </t>
  </si>
  <si>
    <t>Увеличение  (уменьшение) собственных доходов</t>
  </si>
  <si>
    <t>Увеличение обл.  и фед.средств</t>
  </si>
  <si>
    <t>увеличение за  счёт дотации</t>
  </si>
  <si>
    <t>условно утверждённые</t>
  </si>
  <si>
    <t>№</t>
  </si>
  <si>
    <t xml:space="preserve">Наименование </t>
  </si>
  <si>
    <t>Средства вышестоящих бюджетов</t>
  </si>
  <si>
    <t>Средства бюджета поселения</t>
  </si>
  <si>
    <t>План предыдущей редакции</t>
  </si>
  <si>
    <t>Изменения текущей редакции</t>
  </si>
  <si>
    <t>% изменения</t>
  </si>
  <si>
    <t>х</t>
  </si>
  <si>
    <t>ИТОГО программные расходы</t>
  </si>
  <si>
    <t>ИТОГО непрограммные расходы бюджета</t>
  </si>
  <si>
    <t>Всего расходов</t>
  </si>
  <si>
    <t>Итого расходов:</t>
  </si>
  <si>
    <t>Муниципальная программа "Развитие образования, физической культуры и спорта в Тутаевском муниципальном районе"</t>
  </si>
  <si>
    <t>Муниципальная программа  "Развитие культуры, туризма и молодежной политики в Тутаевском муниципальном районе"</t>
  </si>
  <si>
    <t>Ведомственная целевая программа «Молодежь»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</si>
  <si>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</si>
  <si>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</si>
  <si>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Ведомственная целевая программа «Сохранение и развитие культуры Тутаевского муниципального района»</t>
  </si>
  <si>
    <t xml:space="preserve">Ведомственная целевая программа департамента образования Администрации Тутаевского муниципального района 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</si>
  <si>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</si>
  <si>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Муниципальная целевая программа "Развитие физической культуры и спорта в Тутаевском муниципальном районе"</t>
  </si>
  <si>
    <t>Муниципальная программа "Социальная поддержка населения Тутаевского муниципального района"</t>
  </si>
  <si>
    <t xml:space="preserve">Ведомственная целевая программа «Социальная поддержка населения Тутаевского муниципального района» </t>
  </si>
  <si>
    <t>Муниципальная целевая программа "Улучшение условий и охраны труда" по Тутаевскому муниципальному району</t>
  </si>
  <si>
    <t>Муниципальная программа "Доступная среда "</t>
  </si>
  <si>
    <t>Муниципальная программа "Обеспечение качественными коммунальными услугами населения Тутаевского муниципального района"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</si>
  <si>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</si>
  <si>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</si>
  <si>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</si>
  <si>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</si>
  <si>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</si>
  <si>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</si>
  <si>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Муниципальная целевая программа "Развитие потребительского рынка Тутаевского муниципального района "</t>
  </si>
  <si>
    <t>Муниципальная целевая программа "Развитие агропромышленного комплекса и сельских территорий Тутаевского муниципального района"</t>
  </si>
  <si>
    <t>Ведомственная целевая программа департамента финансов администрации Тутаевского муниципального района</t>
  </si>
  <si>
    <t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t>
  </si>
  <si>
    <t>Муниципальная программа "Информатизация управленческой деятельности Администрации Тутаевского муниципального района"</t>
  </si>
  <si>
    <t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</si>
  <si>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</si>
  <si>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</si>
  <si>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</si>
  <si>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</si>
  <si>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Муниципальная целевая программа "Благоустройство и озеленение территории  в Тутаевского муниципального  района"</t>
  </si>
  <si>
    <t>Муниципальная программа "Охрана окружающей среды и рациональное природопользование в Тутаевском муниципальном районе"</t>
  </si>
  <si>
    <t>Муниципальная программа "Обеспечение муниципальных закупок в Тутаевском муниципальном районе"</t>
  </si>
  <si>
    <t>Муниципальная программа "Формирование  современной городской среды"  Тутаевского муниципального района</t>
  </si>
  <si>
    <t>Муниципальная программа "Внедрение и развитие аппаратно-программного комплекса "Безопасный город"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</si>
  <si>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</si>
  <si>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1.1</t>
  </si>
  <si>
    <t>1.2</t>
  </si>
  <si>
    <t>1.3</t>
  </si>
  <si>
    <t>1.4</t>
  </si>
  <si>
    <t>1.5</t>
  </si>
  <si>
    <t>2</t>
  </si>
  <si>
    <t>ГРБС</t>
  </si>
  <si>
    <t>2.1</t>
  </si>
  <si>
    <t>2.2</t>
  </si>
  <si>
    <t>2.3</t>
  </si>
  <si>
    <t>3</t>
  </si>
  <si>
    <t>3.1</t>
  </si>
  <si>
    <t>3.2</t>
  </si>
  <si>
    <t>4</t>
  </si>
  <si>
    <t>5</t>
  </si>
  <si>
    <t>5.1</t>
  </si>
  <si>
    <t>5.2</t>
  </si>
  <si>
    <t>5.3</t>
  </si>
  <si>
    <t>5.4</t>
  </si>
  <si>
    <t>9</t>
  </si>
  <si>
    <t>9.1</t>
  </si>
  <si>
    <t>9.2</t>
  </si>
  <si>
    <t>9.3</t>
  </si>
  <si>
    <t>11</t>
  </si>
  <si>
    <t>12</t>
  </si>
  <si>
    <t>13</t>
  </si>
  <si>
    <t>14</t>
  </si>
  <si>
    <t>15</t>
  </si>
  <si>
    <t>17</t>
  </si>
  <si>
    <t>17.1</t>
  </si>
  <si>
    <t>17.2</t>
  </si>
  <si>
    <t>19</t>
  </si>
  <si>
    <t>20</t>
  </si>
  <si>
    <t>21</t>
  </si>
  <si>
    <t>22</t>
  </si>
  <si>
    <t>23</t>
  </si>
  <si>
    <t>24</t>
  </si>
  <si>
    <t>40.9.00</t>
  </si>
  <si>
    <t>Расходы на  мероприятия по строительству и реконструкции объектов газификации на территории гп Тутаев</t>
  </si>
  <si>
    <t>X</t>
  </si>
  <si>
    <t>Уведомление о бюджетных ассигнованиях из областного бюджета</t>
  </si>
  <si>
    <t>Расходы на содержание ребенка в семье опекунов</t>
  </si>
  <si>
    <t>На определение поставщиков (подрядчиков, исполнителей) в сельских поселениях</t>
  </si>
  <si>
    <t>проведение оценки условий труда</t>
  </si>
  <si>
    <t>Мероприятия в сфере культуры</t>
  </si>
  <si>
    <t>Средства района</t>
  </si>
  <si>
    <t xml:space="preserve">ИТОГО </t>
  </si>
  <si>
    <t>ДК</t>
  </si>
  <si>
    <t>ДО</t>
  </si>
  <si>
    <t>субсидии на поддержку СОНКО</t>
  </si>
  <si>
    <t>Спортивные мероприятия (уточнение программы)</t>
  </si>
  <si>
    <t>Организация образовательного процесса (уточнение КБК и программы)</t>
  </si>
  <si>
    <t>АТМР</t>
  </si>
  <si>
    <t>ДМИ</t>
  </si>
  <si>
    <t>ДТиСР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</si>
  <si>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соглашениями, в том числе:</t>
  </si>
  <si>
    <t>Примечание</t>
  </si>
  <si>
    <t>Обучение муниципальных служащих</t>
  </si>
  <si>
    <t>Антитеррористические мероприятия (библиотека)</t>
  </si>
  <si>
    <t>Трудоустройство несовершеннолетних граждан (софинансирование)</t>
  </si>
  <si>
    <t>Обеспечение деятельности учреждений по организации досуга в сфере культуры</t>
  </si>
  <si>
    <t>Ремонт молодежного центра Галактика</t>
  </si>
  <si>
    <t>Мероприятия инициативного бюджетирования</t>
  </si>
  <si>
    <t>Мероприятия в области сохранения и восстановления исторического облика</t>
  </si>
  <si>
    <t>Муниципальная программа "Градостроительная деятельность на территории ТМР"</t>
  </si>
  <si>
    <t>Налоговые доходы</t>
  </si>
  <si>
    <t>Неналоговые доходы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</si>
  <si>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</si>
  <si>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 xml:space="preserve">Безвозмездные поступления </t>
  </si>
  <si>
    <t>Содержание бюджетного учреждения МУ Агентство по развитию ТМР</t>
  </si>
  <si>
    <t>Содержание департамента</t>
  </si>
  <si>
    <t>Содержание ЦОУК</t>
  </si>
  <si>
    <t>Содержание органов местного самоуправления</t>
  </si>
  <si>
    <t>Мероприятия по внешнему благоустройство</t>
  </si>
  <si>
    <t>,</t>
  </si>
  <si>
    <t>Субсидия на возмещение затрат по доставке товаров на село</t>
  </si>
  <si>
    <t>Ежемесячная выплата в связи с рождением 1 ребенка</t>
  </si>
  <si>
    <t>ДТ и СР</t>
  </si>
  <si>
    <t>ДТ иСР</t>
  </si>
  <si>
    <t>Содержание МУ ЖКК</t>
  </si>
  <si>
    <t>Дотации бюджетов субъектов Российской Федерации и муниципальных образований</t>
  </si>
  <si>
    <t>Иные мероприятия, предусмотренные НПА ЯО (средства депутатов)</t>
  </si>
  <si>
    <t>Оздоровительная компания</t>
  </si>
  <si>
    <t>Содержание МЦ Галактика</t>
  </si>
  <si>
    <t>Содержание учреждений общего образования</t>
  </si>
  <si>
    <t>Расходы на оборудование социально значимых объектов с целью обеспечения доступности для инвалидов</t>
  </si>
  <si>
    <t>Обеспечение мероприятий по разработке и экспертизе ПСД</t>
  </si>
  <si>
    <t>Установка камер видеонаблюдения на территории Города</t>
  </si>
  <si>
    <t>Проведение гас. экспертизы</t>
  </si>
  <si>
    <t>Содержание МКУ ЦКО</t>
  </si>
  <si>
    <t>Покупка основных средств</t>
  </si>
  <si>
    <t>Содержание газеты Берега</t>
  </si>
  <si>
    <t>Субсидирование  на частичное возмещение расходов по теплоснабжению населения и соц.сферы</t>
  </si>
  <si>
    <t>Повышение уровня благоустройства дворовых территорий ДФ</t>
  </si>
  <si>
    <t>Повышение уровня благоустройства дворовых территорий бл-во</t>
  </si>
  <si>
    <t xml:space="preserve">Мероприятия по благоустройству (обеспечение деятельности) </t>
  </si>
  <si>
    <t>Арендная плата за землю</t>
  </si>
  <si>
    <t>Доходы от сдачи в аренду имущества</t>
  </si>
  <si>
    <t xml:space="preserve">Прочие доходы от оказания платных услуг (работ) получателями средств бюджетов муниципальных районов </t>
  </si>
  <si>
    <t>Доходы от продажи земельных участков</t>
  </si>
  <si>
    <t>Доходы от продажи муниципального имущества</t>
  </si>
  <si>
    <t xml:space="preserve">Штрафы, санкции, возмещение ущерба 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</si>
  <si>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</si>
  <si>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Профилактика правонарушений</t>
  </si>
  <si>
    <t>Содержание ЕДДС</t>
  </si>
  <si>
    <t>Выплаты по обязательствам муниципального образования</t>
  </si>
  <si>
    <t>Содержание КДН</t>
  </si>
  <si>
    <t>АТМР, ДФ, ДИ</t>
  </si>
  <si>
    <t>Оценка недвижимости, признание прав и регулирование отношений по муниципальной собственности</t>
  </si>
  <si>
    <t>Расходы по строительству межпоселковых газопроводов п. Мишаки, Кузилово, Емишево на тер. Артемьевского сп (соф)</t>
  </si>
  <si>
    <t>Присмотр и уход за детьми, осваивающими образовательные программы дошкольного образования</t>
  </si>
  <si>
    <t xml:space="preserve">Питание обучающихся </t>
  </si>
  <si>
    <t>Содержание учреждений доп. Образования</t>
  </si>
  <si>
    <t>Расходы по доп. Работам  на строительство межпоселковых газопроводов Копниское  на тер. Чебаковского сп</t>
  </si>
  <si>
    <t>Ежемесячная выплата в связи с рождением 3 ребенка</t>
  </si>
  <si>
    <t>Поддержка граждан, подвергшихся радиации</t>
  </si>
  <si>
    <t>Расходы на содержание муниципального казенного учреждения соц. обслуживания населения</t>
  </si>
  <si>
    <t>Субсидия на оплату жилищно-коммунальных услуг гражданам</t>
  </si>
  <si>
    <t>Социальная поддержка отдельных категорий граждан в части  единовременной денежной выплаты</t>
  </si>
  <si>
    <t>Денежные выплаты отдельным категориям</t>
  </si>
  <si>
    <t>Ежемесячное пособие на ребенка</t>
  </si>
  <si>
    <t>Компенсация отдельным категориям граждан на оплату взноса на кап. ремонт</t>
  </si>
  <si>
    <t>Услуги банка и почты на оплату взноса на кап. ремонт отдельным категориям</t>
  </si>
  <si>
    <t>Ежемесячная денежная выплата, назначаемая в случае рождения 3-его ребенка до достижения возраста  3-х лет</t>
  </si>
  <si>
    <t>Соц. помощь отдельным категориям</t>
  </si>
  <si>
    <t>Расходы на обеспечение  деятельности  органов местного самоуправления в сфере соц. защиты</t>
  </si>
  <si>
    <t>Межбюджетные трансферты на обеспечение мероприятий на строительство и реконструкцию объектов водоснабжения и водоотведения</t>
  </si>
  <si>
    <t>Межбюджетные трансферты на обеспечение физкультурно-спортивных мероприятий</t>
  </si>
  <si>
    <t>Пособие беременной жене военнослужащего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</si>
  <si>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</si>
  <si>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Субсидирование автомобильных пассажирских перевозок (речные перевозки)</t>
  </si>
  <si>
    <t xml:space="preserve">Инициативное бюджетирование </t>
  </si>
  <si>
    <t>ЕДВ Почетным донорам</t>
  </si>
  <si>
    <t>ДТ</t>
  </si>
  <si>
    <t>Субвенция на организацию питания обучающихся образовательных организаций</t>
  </si>
  <si>
    <t>Содержание ЗАГС</t>
  </si>
  <si>
    <t xml:space="preserve">Мероприятия на благоустройство, реставрацию и реконструкцию памятников </t>
  </si>
  <si>
    <t>Содержание дошкольных учреждений</t>
  </si>
  <si>
    <t xml:space="preserve">  2. Изменения  расходов  бюджета Тутаевского муниципального района на 2020 год (редакция 2 февраль 2020)</t>
  </si>
  <si>
    <t>%</t>
  </si>
  <si>
    <t>Муниципальная программа "Развитие дорожного хозяйства в Тутаевском муниципальном районе"</t>
  </si>
  <si>
    <t>Муниципальная программа "Развитие, ремонт и содержание муниципального жилищного фонда в Тутаевском  муниципальном районе"</t>
  </si>
  <si>
    <t>Обеспечение деятельности учреждения</t>
  </si>
  <si>
    <t>Ремонт дорог ТМР (Борисовское,Мартыново)</t>
  </si>
  <si>
    <t>Муниципальная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</si>
  <si>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Муниципальная целевая программа "Развитие сетей уличного освещения на территории  Тутаевского муниципального района"</t>
  </si>
  <si>
    <t>содержание мест захоронений</t>
  </si>
  <si>
    <t>Мероприятия по строительству и реконструкции ЛОС л/б Тутаев (соф+доп работы)</t>
  </si>
  <si>
    <t>Муниципальная целевая программа "Стимулирование инвестиционной деятельности в Тутаевском муниципальном  районе "</t>
  </si>
  <si>
    <t xml:space="preserve">1. Изменения доходов бюджета Тутаевского муниципального района на 2020 год </t>
  </si>
  <si>
    <t>2022 год</t>
  </si>
  <si>
    <t>Межбюджетные трансферты на реализацию мероприятий по сокращению доли загрязненных сточных вод в части строительства и реконструкции (модернизации) объектов водоотведения</t>
  </si>
  <si>
    <t>Расходы на определение поставщиков и подрядчиков</t>
  </si>
  <si>
    <t xml:space="preserve">проведение ремонтных работ в рамках нац проекта "Образование" </t>
  </si>
  <si>
    <t xml:space="preserve">компенсация отдельным категориям граждан оплаты взноса на капитальный ремонт общего имущества в многоквартирном доме </t>
  </si>
  <si>
    <t>реконструкция межшкольного стадиона Левый берег</t>
  </si>
  <si>
    <t>Строительство и ремонт водопроводных сетей</t>
  </si>
  <si>
    <t>Проведение инженерных коммуникаций  к инвестиционным площадкам(соф)</t>
  </si>
  <si>
    <t>за декабрь 2019г</t>
  </si>
  <si>
    <t>Обустройство спортивной площадки у СШ №3</t>
  </si>
  <si>
    <t>4250 тыс. руб Грант</t>
  </si>
  <si>
    <t>Строительство ледовой арены</t>
  </si>
  <si>
    <t>Мероприятия в области спорта</t>
  </si>
  <si>
    <t>917,4 Школа 6 Решаем вместе</t>
  </si>
  <si>
    <t>остатки на нач. года 29,8 тыс. руб., 800 тыс.руб. внебюджет</t>
  </si>
  <si>
    <t>Дополнительное программное обеспечение</t>
  </si>
  <si>
    <t xml:space="preserve"> ДФ</t>
  </si>
  <si>
    <t>99.9.00</t>
  </si>
  <si>
    <t>Грант</t>
  </si>
  <si>
    <t>Пособие на рождение ребенка гражданам, не подлежащим  обязать. соц. страхованию на случай временной нетрудоспособности  в связи с материнством</t>
  </si>
  <si>
    <t>273,0т.руб ул. Казанская   900,0 т.руб ПСД водопроводы</t>
  </si>
  <si>
    <t>оформление документов лицам без определённого места жительства</t>
  </si>
  <si>
    <t>Установка освещения на детской площадке  ОПХ</t>
  </si>
  <si>
    <t>ПСД и ремонт дорог гп Тутаев (ул. Строителей)</t>
  </si>
  <si>
    <t>Актуализация схем коммунальной инфраструктуры</t>
  </si>
  <si>
    <t>Межбюджетные трансферты на обеспечение   мероприятий в области  дорожного хозяйства  на ремонт и содержание автомобильных дорог</t>
  </si>
  <si>
    <t>Межбюджетные трансферты на обеспечение мероприятий по уличному освещению</t>
  </si>
  <si>
    <t>Межбюджетные трансферты на содержание и организацию деятельности по благоустройству на территории поселения</t>
  </si>
  <si>
    <t>Межбюджетные трансферты на обеспечение мероприятий в области благоустройства и озеленения</t>
  </si>
  <si>
    <t>Межбюджетные трансферты 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</si>
  <si>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>3. Изменения  источников дефицита  бюджета  Тутаевского муниципального района на 2020 год и плановый период 2021-2022 годов</t>
  </si>
  <si>
    <t>Условно утвержденные</t>
  </si>
  <si>
    <t>Ликвидация борщевика (Софинасирование)</t>
  </si>
  <si>
    <t>Школьный автобус</t>
  </si>
  <si>
    <t>Содержание ЦБ</t>
  </si>
  <si>
    <t>ДФ</t>
  </si>
  <si>
    <t>Актуализация схем коммунальной инфраструктуры(теплоснб)</t>
  </si>
  <si>
    <t>Межевание земель</t>
  </si>
  <si>
    <t>Расходы на премирование работников</t>
  </si>
  <si>
    <t>Приобретение оргтехники</t>
  </si>
  <si>
    <t>АТМР, ДФ</t>
  </si>
  <si>
    <t xml:space="preserve"> -200 Администрация, -93,7 Ддеп. Фин</t>
  </si>
  <si>
    <t xml:space="preserve">  -330 Вакансии, -130  Премия</t>
  </si>
  <si>
    <t xml:space="preserve"> -177 премирование в программу</t>
  </si>
  <si>
    <t xml:space="preserve"> -20 ремонт кровли, - 16 премирование</t>
  </si>
  <si>
    <t xml:space="preserve"> -150 Админ., -50 ДМИ, -85 ДФ</t>
  </si>
  <si>
    <t>Представительские расходы</t>
  </si>
  <si>
    <t>АТМР,  ДФ, ДМИ, ДО, ДФ, ДК</t>
  </si>
  <si>
    <t>ОМС 2185, ЖКК 90, ЦКО 200, ЦБ 100</t>
  </si>
  <si>
    <t xml:space="preserve">учеба -90, </t>
  </si>
  <si>
    <t>премирование в программу</t>
  </si>
  <si>
    <t>АТМР-1075 т.р. (1,5 ставки советника, -1 специалист архитектура),АТМР - перенесено в программу -1160, ДФ -1154  содержание,  ДМИ - 1055</t>
  </si>
  <si>
    <t>Видионаблюдение на административное здание</t>
  </si>
  <si>
    <t>Содержание имущества</t>
  </si>
  <si>
    <t>300 ремонт АТМР</t>
  </si>
  <si>
    <t xml:space="preserve"> -500 экономия на ком. Услугах </t>
  </si>
  <si>
    <t>Классификация</t>
  </si>
  <si>
    <t>Субсидия на реализацию мероприятий по строительству объектов газификации</t>
  </si>
  <si>
    <t>950 202 20077 05 0000 150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</si>
  <si>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</si>
  <si>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953 202 29999 05 2015 150</t>
  </si>
  <si>
    <t>Субсидия на реализацию мероприятий по патриотическому воспитанию граждан</t>
  </si>
  <si>
    <t>956 202 29999 05 2010 150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</si>
  <si>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</si>
  <si>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950 202 29999 05 2032 150</t>
  </si>
  <si>
    <t>953 202 30024 05 3015 150</t>
  </si>
  <si>
    <t>954 202 30024 05 3020 150</t>
  </si>
  <si>
    <t>Субвенция на частичную оплату стоимости путевки в организации отдыха детей и их оздоровления</t>
  </si>
  <si>
    <t>953 202 30024 05 3033 150</t>
  </si>
  <si>
    <t>954 202 35084 05 0000 150</t>
  </si>
  <si>
    <t>954 202 35220 05 0000 150</t>
  </si>
  <si>
    <t>Субвенция на осуществление ежемесячной денежной  выплаты на ребенка в возрасте от трех до семи лет включительно в части расходов по доставке выплат получателям</t>
  </si>
  <si>
    <t>954 202 30024 05 3042 150</t>
  </si>
  <si>
    <t>950 202 49999 05 4006 150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</si>
  <si>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(резервный фонд – решения Правительства ЯО)</t>
  </si>
  <si>
    <t>955 202 45160 05 4002 150</t>
  </si>
  <si>
    <t>Межбюджетный трансферт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</si>
  <si>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954 202 49999 05 4007 150</t>
  </si>
  <si>
    <t>950 202 40014 05 2904 150</t>
  </si>
  <si>
    <t>950 202 40014 05 2908 150</t>
  </si>
  <si>
    <t>950 202 40014 05 2923 150</t>
  </si>
  <si>
    <t>950 202 40014 05 2925 150</t>
  </si>
  <si>
    <t>950 202 40014 05 2926 150</t>
  </si>
  <si>
    <t>952 202 40014 05 2927 150</t>
  </si>
  <si>
    <t>950 202 40014 05 2931 150</t>
  </si>
  <si>
    <t>950 202 40014 05 2937 150</t>
  </si>
  <si>
    <t>952 202 40014 05 2943 150</t>
  </si>
  <si>
    <t>950 202 40014 05 2945 150</t>
  </si>
  <si>
    <t>950 202 40014 05 2969 150</t>
  </si>
  <si>
    <t>950 202 40014 05 5013 150</t>
  </si>
  <si>
    <t>Межбюджетные трансферты на обеспечение мероприятий по землеустройству и землепользованию, по определению кадастровой стоимости и приобретению прав собственности</t>
  </si>
  <si>
    <t>Межбюджетные трансферты на обеспечение мероприятий по содержанию мест захоронения</t>
  </si>
  <si>
    <t>Межбюджетные трансферты на обеспечение мероприятий по содержанию, реконструкции и ремонту муниципального жилищного фонда</t>
  </si>
  <si>
    <t>Межбюджетные трансферты на обеспечение мероприятий по начислению и сбору платы за найм муниципального жилищного фонда</t>
  </si>
  <si>
    <t>Уведомление о бюджетных ассигнованиях из  бюджета поселения</t>
  </si>
  <si>
    <t>953 202 30024 05 3040 150</t>
  </si>
  <si>
    <t>Субвенция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</si>
  <si>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 xml:space="preserve">Прочие безвозмездные поступления в бюджеты муниципальных районов
</t>
  </si>
  <si>
    <t>950 207 05030 05 0000 150</t>
  </si>
  <si>
    <t>по фактическим поступлениям</t>
  </si>
  <si>
    <t>Субсидирование автомобильных пассажирских перевозок</t>
  </si>
  <si>
    <t>952 202 40014 05 2902 150</t>
  </si>
  <si>
    <t xml:space="preserve">Межбюджетные трансферты на обеспечение мероприятий по управлению, распоряжению имуществом, оценке недвижимости, признанию прав и регулированию отношений по муниципальной собственности поселения </t>
  </si>
  <si>
    <t>956 202 40014 05 2921 150</t>
  </si>
  <si>
    <t>953 202 40014 05 2922 150</t>
  </si>
  <si>
    <t>950 202 40014 05 2955 150</t>
  </si>
  <si>
    <t>Межбюджетные трансферты на обеспечение  других обязательств в рамках передаваемых полномочий по содержанию казны  поселения</t>
  </si>
  <si>
    <t>950 202 40014 05 2956 150</t>
  </si>
  <si>
    <t>Межбюджетные трансферты на содержание и организация деятельности аварийно-спасательных служб и (или) аварийно-спасательных формирований на территории поселения</t>
  </si>
  <si>
    <t>ЕДВ за классное руководство</t>
  </si>
  <si>
    <t>Мероприятия по патриотическому воспитанию граждан</t>
  </si>
  <si>
    <t>ДК, ДО</t>
  </si>
  <si>
    <t>ежемесячных выплат на детей в возрасте от трех до семи лет включительно</t>
  </si>
  <si>
    <t xml:space="preserve">Обеспечение деятельности учреждений по организации досуга в сфере культуры </t>
  </si>
  <si>
    <t>АТМР, ДМИ</t>
  </si>
  <si>
    <t>Водоснабжение населения</t>
  </si>
  <si>
    <t xml:space="preserve">ИТОГО межбюджетные  расходы </t>
  </si>
  <si>
    <t xml:space="preserve">Настоящий проект разработан в соответствии с Бюджетным кодексом Российской Федерации, Положением о бюджетном устройстве и бюджетном процессе в Тутаевском муниципальном районе, утвержденным решением МС ТМР от 28.09.2012 №116-г. Проект разработан в целях:  отражения межбюджетных трансфертов, передаваемых из других бюджетов бюджетной системы; удовлетворения обоснованных заявок ГРБС; установления общего объема предоставления муниципальных гарантий, целей и условий гарантирования.
</t>
  </si>
  <si>
    <t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t>
  </si>
  <si>
    <t>Всего изменения по программе</t>
  </si>
  <si>
    <t>Субвенция на формирование отчетности</t>
  </si>
  <si>
    <t>Содержание дорог</t>
  </si>
  <si>
    <t>градостроительные документы  (Чеб. Лев.)</t>
  </si>
  <si>
    <t>Субсидия на поддержку молодых специалистов на селе</t>
  </si>
  <si>
    <t>Гранты победителям соревнований на селе</t>
  </si>
  <si>
    <t>Прочие неналоговые доходы</t>
  </si>
  <si>
    <t>Плата за негативное воздействие на окружающую среду</t>
  </si>
  <si>
    <t>938 112 0100 01 0000 120</t>
  </si>
  <si>
    <t>182 105 02000 02 0000 110</t>
  </si>
  <si>
    <t>182 105 03000 01 0000 110</t>
  </si>
  <si>
    <t>предложение главного администратора доходов, фактические поступления</t>
  </si>
  <si>
    <t>952 114 02053 05 0000 410</t>
  </si>
  <si>
    <t>предложения главного администратора доходов</t>
  </si>
  <si>
    <t>000 116 00000 00 0000 140</t>
  </si>
  <si>
    <t>950 117 05050 05 0000 180</t>
  </si>
  <si>
    <t>Субсидии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</si>
  <si>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Субсидия на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селькие населенные пункты</t>
  </si>
  <si>
    <t>Субвенция на освобождение от оплаты стоимости  проезда детей из многодетных семей</t>
  </si>
  <si>
    <t>постановление Правительства Ярославской области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</si>
  <si>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</si>
  <si>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953 202 30024 05 3009 150</t>
  </si>
  <si>
    <t>Субвенция на социальную поддержку отдельных категорий  граждан в части ежемесячной денежной выплаты ветеранам труда, труженикам тыла, реабилитированным лицам</t>
  </si>
  <si>
    <t>954 202 30024 05 3023 150</t>
  </si>
  <si>
    <t>954 202 35380 05 0000 150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</si>
  <si>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</si>
  <si>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Субвенции бюджетам муниципальных районов на государственную регистрацию актов гражданского состояния</t>
  </si>
  <si>
    <t>950 202 35930 05 0000 150</t>
  </si>
  <si>
    <t xml:space="preserve">  2. Изменения  расходов  бюджета Тутаевского муниципального района на 2020 год</t>
  </si>
  <si>
    <t>Единый налог на вмененный доход</t>
  </si>
  <si>
    <t>Единый сельскохозяйственный налог</t>
  </si>
  <si>
    <t xml:space="preserve">на основании фактических и ожидаемых поступлений </t>
  </si>
  <si>
    <t>952 114 06000 00 0000 430</t>
  </si>
  <si>
    <t>предложения главных администраторов доходов, задолженность прошлых лет</t>
  </si>
  <si>
    <t>950 202 25393 05 0000 150</t>
  </si>
  <si>
    <t>956 202 25519 05 0000 150</t>
  </si>
  <si>
    <t>Субсидия на обеспечение детских музыкальных, художественных, хореографических школ, школ искусств необходимыми инструментами, оборудованием и материалами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</si>
  <si>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</si>
  <si>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953 202 35303 05 0000 150</t>
  </si>
  <si>
    <t>Субвенция на реализацию мероприятий, направленных на оказание государственной социальной помощи на основании социального контракта, в части расходов по доставке выплат получателям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</si>
  <si>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</si>
  <si>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952 111 05075 05 0000 120</t>
  </si>
  <si>
    <t>950 202 40014 05 7393 150</t>
  </si>
  <si>
    <t xml:space="preserve"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 </t>
  </si>
  <si>
    <t>950 202 40014 05 7642 150</t>
  </si>
  <si>
    <t>Кап ремонт кровли центральной библиотеки</t>
  </si>
  <si>
    <t>Распоряжение и содержание имущества АТМР</t>
  </si>
  <si>
    <t>Муниципальные гарантии</t>
  </si>
  <si>
    <t>Иные обязательства ОМС</t>
  </si>
  <si>
    <t>Содержание нового бюджетного учреждения</t>
  </si>
  <si>
    <t>950 202 40014 05 2980 150</t>
  </si>
  <si>
    <t>Межбюджетные трансферты на обеспечение мероприятий по выполнению прочих обязательств органами местного самоуправления</t>
  </si>
  <si>
    <t>950 202 29999 05 2004 150</t>
  </si>
  <si>
    <t>954 202 30024 05 3004 150</t>
  </si>
  <si>
    <t xml:space="preserve">Межбюджетные трансферты на благоустройство, реставрацию и реконструкцию воинских захоронений и военно-мемориальных объектов за счет областных средств </t>
  </si>
  <si>
    <t>954 202 30024 05 3041 150</t>
  </si>
  <si>
    <t>954 202 30024 05 3038 150</t>
  </si>
  <si>
    <t xml:space="preserve">956 202 25519 05 0000 150 </t>
  </si>
  <si>
    <t>Субсидия на капитальный ремонт учреждений культурно-досугового типа в сельской местности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</si>
  <si>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</si>
  <si>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953 202 35304 05 0000 150</t>
  </si>
  <si>
    <t>Субвенция на оплату жилищно -  коммунальных услуг отдельным категориям граждан за счет средств федерального бюджета</t>
  </si>
  <si>
    <t>954 202 35250 05 0000 150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</si>
  <si>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</si>
  <si>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954 202 30024 05 3005 150</t>
  </si>
  <si>
    <t>Субвенция на социальную поддержку отдельных категорий  граждан в части ежемесячного пособия на ребенка</t>
  </si>
  <si>
    <t>954 202 30024 05 3022 150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</si>
  <si>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</si>
  <si>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954 202 35302 05 0000 150</t>
  </si>
  <si>
    <t>Налог, взимаемый в связи с патентной системой налогообложения</t>
  </si>
  <si>
    <t>котельные</t>
  </si>
  <si>
    <t>Проезд детей из многодетных семей</t>
  </si>
  <si>
    <t>расходы на голосование</t>
  </si>
  <si>
    <t xml:space="preserve">развития и укрепления материально-технической базы домов культуры </t>
  </si>
  <si>
    <t>Содержание учреждений дополнительного образования</t>
  </si>
  <si>
    <t>Бережливое управление в учреждениях ТМР</t>
  </si>
  <si>
    <t>расходов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</si>
  <si>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Дефицит        бюджета 4 редакция</t>
  </si>
  <si>
    <t>Пояснительная записка                                                                                                                                                                                                                                                               к проекту решения МС ТМР "О внесении изменений в решение Муниципального Совета ТМР от 26.12.2019 №73-г "О бюджете Тутаевского муниципального района на 2020 год и на плановый период 2021 - 2022 годов"</t>
  </si>
  <si>
    <t>Субсидия на повышение оплаты труда отдельных категорий работников муниципальных учреждений в сфере образования</t>
  </si>
  <si>
    <t>953 202 29999 05 2037 150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</si>
  <si>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</si>
  <si>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</si>
  <si>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>953 202 30024 05 3017 150</t>
  </si>
  <si>
    <t>954 202 30024 05 3019 150</t>
  </si>
  <si>
    <t>Субвенция на денежные выплаты</t>
  </si>
  <si>
    <t>954 202 30024 05 3021 150</t>
  </si>
  <si>
    <t>Субвенция на оказание социальной помощи отдельным категориям  граждан</t>
  </si>
  <si>
    <t>950 202 30024 05 3028 150</t>
  </si>
  <si>
    <t>Субвенция на обеспечение профилактики безнадзорности, правонарушений несовершеннолетних и защиты их прав</t>
  </si>
  <si>
    <t>954 202 30024 05 3029 150</t>
  </si>
  <si>
    <t>Субвенция на обеспечение деятельности органов местного самоуправления в сфере социальной защиты населения</t>
  </si>
  <si>
    <t>953 202 30024 05 3030 150</t>
  </si>
  <si>
    <t>Субвенция на обеспечение деятельности   органов опеки и попечительства</t>
  </si>
  <si>
    <t>950 202 30024 05 3031 150</t>
  </si>
  <si>
    <t>Субвенция на реализацию отдельных полномочий в сфере законодательства об административных правонарушениях</t>
  </si>
  <si>
    <t>954 202 30024 05 3037 150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</si>
  <si>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</si>
  <si>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</si>
  <si>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>954 202 35137 05 0000 150</t>
  </si>
  <si>
    <t>954 202 35462 05 0000 150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</si>
  <si>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</si>
  <si>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954 202 35573 05 0000 150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</si>
  <si>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</si>
  <si>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954 202 30022 05 0000 150</t>
  </si>
  <si>
    <t>Субвенция на предоставление гражданам субсидий на оплату жилого помещения и коммунальных услуг</t>
  </si>
  <si>
    <t>Мероприятия по строительству и реконструкции ЛОС л/б Тутаев (доп. работы)</t>
  </si>
  <si>
    <t xml:space="preserve"> Агломерация (софин)</t>
  </si>
  <si>
    <t>Плата за найм</t>
  </si>
  <si>
    <t xml:space="preserve">ремонт и содержание  МКД </t>
  </si>
  <si>
    <t>экономия при торгах</t>
  </si>
  <si>
    <t>Повышение уровня благоустройства дворовых территорий ДФ (доп.работы)</t>
  </si>
  <si>
    <t>Повышение уровня благоустройства дворовых территорий бл-во (доп.работы)</t>
  </si>
  <si>
    <t xml:space="preserve">Мероприятия по внешнему благоустройство </t>
  </si>
  <si>
    <t>ПСД Волжская набережная</t>
  </si>
  <si>
    <t>Письмо  Чебаковское сп</t>
  </si>
  <si>
    <t>Мероприятия по строительству и реконструкции ЛОС л/б Тутаев (кред 2019г)</t>
  </si>
  <si>
    <t>Ливневые стоки</t>
  </si>
  <si>
    <t xml:space="preserve">Мероприятия по дор.фонду (обеспечение деятельности) </t>
  </si>
  <si>
    <t>954 202 35270 05 0000 150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</si>
  <si>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</si>
  <si>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950 202 40014 05 2393 150</t>
  </si>
  <si>
    <t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средств поселения</t>
  </si>
  <si>
    <t>952 202 40014 05 2944 150</t>
  </si>
  <si>
    <t>Межбюджетные трансферты на обеспечение мероприятий по капитальному ремонту лифтов МКД, в части жилых помещений, находящихся в муниципальной собственности</t>
  </si>
  <si>
    <t>950 202 40014 05 2961 150</t>
  </si>
  <si>
    <t>Межбюджетные трансферты на обеспечение мероприятий  по переработке и утилизации ливневых стоков</t>
  </si>
  <si>
    <t>Межбюджетные трансферты на обеспечение мероприятий по содержанию военно-мемориального комплекса пл.Юности</t>
  </si>
  <si>
    <t>956 202 40014 05 2968 150</t>
  </si>
  <si>
    <t>954 202 40014 05 2975 150</t>
  </si>
  <si>
    <t>Межбюджетные трансферты на дополнительное пенсионное обеспечение муниципальных служащих городского поселения Тутаев</t>
  </si>
  <si>
    <t>950 202 40014 05 5555 150</t>
  </si>
  <si>
    <t>Межбюджетные трансферты на реализацию регионального проекта «Формирование современной городской среды»</t>
  </si>
  <si>
    <t>950 202 19999 05 1006 150</t>
  </si>
  <si>
    <t>Дотации на поощрение достижения наилучших значений показателей по отдельным направлениям развития муниципальных образований Ярославской области</t>
  </si>
  <si>
    <t>Акцизы по подакцизным товарам (продукции), производимым на территории Российской Федерации</t>
  </si>
  <si>
    <t>100 103 02000 01 0000 110</t>
  </si>
  <si>
    <t>Государственная пошлина</t>
  </si>
  <si>
    <t>182 105 04000 02 0000 110</t>
  </si>
  <si>
    <t>Дивиденды по акциям, принадлежащим муниципальным районам</t>
  </si>
  <si>
    <t>952 111 01050 05 0000 120</t>
  </si>
  <si>
    <t>по данным главного администратора доходов</t>
  </si>
  <si>
    <t>953 113 01995 05 0000 130</t>
  </si>
  <si>
    <t>000 108 00000 01 0000 110</t>
  </si>
  <si>
    <t>фактические поступления</t>
  </si>
  <si>
    <t>по фактическим данным</t>
  </si>
  <si>
    <t>953 202 29999 05 2049 150</t>
  </si>
  <si>
    <t>Субсидия на проведение ремонтных работ в помещениях, предназначенных для создания центров образования детей цифрового и гуманитарного профилей «Точка роста»</t>
  </si>
  <si>
    <t>953 202 30024 05 3013 150</t>
  </si>
  <si>
    <t>Субвенция на организацию образовательного процесса в дошкольных образовательных организациях</t>
  </si>
  <si>
    <t>953 202 30024 05 3014 150</t>
  </si>
  <si>
    <t>зацию образовательного процесса в общеобразовательных организациях</t>
  </si>
  <si>
    <t>Резервный фонд</t>
  </si>
  <si>
    <t>Обучение сотрудников</t>
  </si>
  <si>
    <t>Несанкционированные свалки</t>
  </si>
  <si>
    <t>Содержание казенных учреждений</t>
  </si>
  <si>
    <t>Оценка имущества</t>
  </si>
  <si>
    <t>Пенсии муниципальным служащим</t>
  </si>
  <si>
    <t>Отлов и содержание животных без владельцев</t>
  </si>
  <si>
    <t>953 202 30024 05 3010 150</t>
  </si>
  <si>
    <t>Субвенция на государственную поддержку опеки и попечительства</t>
  </si>
  <si>
    <t>950 202 30024 05 3027 150</t>
  </si>
  <si>
    <t>Субвенция на отлов, содержание и возврат животных без владельцев на прежние места их обитания</t>
  </si>
  <si>
    <t>954 202 30024 05 3036 150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</si>
  <si>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</si>
  <si>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Информационное обеспечение и покупка орг техники</t>
  </si>
  <si>
    <t>в связи с переносом срока заработной платы</t>
  </si>
  <si>
    <t xml:space="preserve">Дотация на поощрение достижения наилучших значений показателей </t>
  </si>
  <si>
    <t>Содержание учреждений спорта</t>
  </si>
  <si>
    <t>Содержание прочих учреждений</t>
  </si>
  <si>
    <t>Содержание централизованной бухгалтерии</t>
  </si>
  <si>
    <t>952 111 05000 00 0000 120</t>
  </si>
  <si>
    <t>предложение главного администратора доходов</t>
  </si>
  <si>
    <t>Перенос срока заработной платы</t>
  </si>
  <si>
    <t>Ежемесячные  денежные выплаты на ребенка в возрасте от трех до семи лет</t>
  </si>
  <si>
    <t>Мероприятия по внешнему благоустройство (сод. Кладбищ)</t>
  </si>
  <si>
    <t>невостребованные БА</t>
  </si>
  <si>
    <t>обесп.соф.мероприятий программы гор.среда</t>
  </si>
  <si>
    <t>Плата за капремонт лифтов</t>
  </si>
  <si>
    <t>Оформление документов лицам без определнного места жительства</t>
  </si>
  <si>
    <t>950 202 40014 05 2693 150</t>
  </si>
  <si>
    <t>Межбюджетные трансферты на софинансирование расходов в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</si>
  <si>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950 202 40014 05 2916 150</t>
  </si>
  <si>
    <t>Межбюджетные трансферты на обеспечение мероприятий по осуществлению грузопассажирских  перевозок на речном транспорте</t>
  </si>
  <si>
    <t>Содеражние административной комиссии</t>
  </si>
  <si>
    <t>Компенсация родительской платы</t>
  </si>
  <si>
    <t>Содержание учреждений социальной защиты</t>
  </si>
  <si>
    <t>Социальная помощь отдельным категориям граждан</t>
  </si>
  <si>
    <t xml:space="preserve">Содержание, реставрацию и реконструкцию памятников </t>
  </si>
  <si>
    <t>953 202 30024 05 3007 150</t>
  </si>
  <si>
    <t>Инвестиционная деятельность (рек.ул.Строителей)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</si>
  <si>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</si>
  <si>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956 202 25467 05 0000 150</t>
  </si>
  <si>
    <t>Дефицит                    бюджета 5 редакция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</si>
</sst>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.0%"/>
    <numFmt numFmtId="165" formatCode="#,##0.00;[Red]#,##0.00"/>
    <numFmt numFmtId="166" formatCode="#,##0.00_ ;\-#,##0.00\ "/>
    <numFmt numFmtId="167" formatCode="#,##0.00_р_."/>
    <numFmt numFmtId="168" formatCode="000000"/>
    <numFmt numFmtId="169" formatCode="#,##0;[Red]#,##0"/>
  </numFmts>
  <fonts count="3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rgb="FFFFF8EF"/>
        <bgColor indexed="64"/>
      </patternFill>
    </fill>
    <fill>
      <patternFill patternType="solid">
        <fgColor rgb="FFFFF8EF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8F8F8"/>
        <bgColor theme="0"/>
      </patternFill>
    </fill>
    <fill>
      <patternFill patternType="solid">
        <fgColor rgb="FFF8F8F8"/>
        <bgColor indexed="64"/>
      </patternFill>
    </fill>
    <fill>
      <patternFill patternType="solid">
        <fgColor rgb="FFFDFCF5"/>
        <bgColor indexed="64"/>
      </patternFill>
    </fill>
    <fill>
      <patternFill patternType="solid">
        <fgColor rgb="FFFDFCF5"/>
        <bgColor theme="0"/>
      </patternFill>
    </fill>
    <fill>
      <patternFill patternType="solid">
        <fgColor theme="0" tint="-0.34998626667073579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8" fillId="0" borderId="0"/>
    <xf numFmtId="0" fontId="11" fillId="0" borderId="0"/>
    <xf numFmtId="0" fontId="11" fillId="0" borderId="0"/>
  </cellStyleXfs>
  <cellXfs count="1135">
    <xf numFmtId="0" fontId="0" fillId="0" borderId="0" xfId="0"/>
    <xf numFmtId="164" fontId="1" fillId="0" borderId="1" xfId="0" applyNumberFormat="1" applyFont="1" applyBorder="1"/>
    <xf numFmtId="0" fontId="1" fillId="2" borderId="1" xfId="0" applyFont="1" applyFill="1" applyBorder="1" applyAlignment="1">
      <alignment wrapText="1"/>
    </xf>
    <xf numFmtId="4" fontId="2" fillId="0" borderId="1" xfId="0" applyNumberFormat="1" applyFont="1" applyBorder="1"/>
    <xf numFmtId="0" fontId="1" fillId="2" borderId="1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wrapText="1"/>
    </xf>
    <xf numFmtId="4" fontId="1" fillId="0" borderId="3" xfId="0" applyNumberFormat="1" applyFont="1" applyBorder="1"/>
    <xf numFmtId="164" fontId="1" fillId="0" borderId="3" xfId="0" applyNumberFormat="1" applyFont="1" applyBorder="1"/>
    <xf numFmtId="4" fontId="2" fillId="0" borderId="3" xfId="0" applyNumberFormat="1" applyFont="1" applyBorder="1"/>
    <xf numFmtId="4" fontId="1" fillId="0" borderId="1" xfId="0" applyNumberFormat="1" applyFont="1" applyBorder="1"/>
    <xf numFmtId="4" fontId="2" fillId="0" borderId="5" xfId="0" applyNumberFormat="1" applyFont="1" applyBorder="1"/>
    <xf numFmtId="4" fontId="2" fillId="0" borderId="8" xfId="0" applyNumberFormat="1" applyFont="1" applyBorder="1"/>
    <xf numFmtId="0" fontId="1" fillId="2" borderId="6" xfId="0" applyFont="1" applyFill="1" applyBorder="1" applyAlignment="1">
      <alignment horizontal="left" wrapText="1"/>
    </xf>
    <xf numFmtId="4" fontId="1" fillId="0" borderId="6" xfId="0" applyNumberFormat="1" applyFont="1" applyBorder="1"/>
    <xf numFmtId="0" fontId="1" fillId="0" borderId="1" xfId="0" applyFont="1" applyBorder="1" applyAlignment="1">
      <alignment horizontal="left" wrapText="1"/>
    </xf>
    <xf numFmtId="0" fontId="1" fillId="0" borderId="27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10" fontId="1" fillId="0" borderId="1" xfId="0" applyNumberFormat="1" applyFont="1" applyBorder="1"/>
    <xf numFmtId="4" fontId="1" fillId="0" borderId="35" xfId="0" applyNumberFormat="1" applyFont="1" applyBorder="1"/>
    <xf numFmtId="0" fontId="1" fillId="0" borderId="0" xfId="0" applyFont="1"/>
    <xf numFmtId="0" fontId="1" fillId="2" borderId="3" xfId="0" applyFont="1" applyFill="1" applyBorder="1" applyAlignment="1">
      <alignment horizontal="left" wrapText="1"/>
    </xf>
    <xf numFmtId="0" fontId="2" fillId="0" borderId="35" xfId="0" applyFont="1" applyBorder="1" applyAlignment="1">
      <alignment horizontal="left"/>
    </xf>
    <xf numFmtId="4" fontId="2" fillId="0" borderId="35" xfId="0" applyNumberFormat="1" applyFont="1" applyBorder="1"/>
    <xf numFmtId="4" fontId="1" fillId="2" borderId="1" xfId="0" applyNumberFormat="1" applyFont="1" applyFill="1" applyBorder="1"/>
    <xf numFmtId="4" fontId="2" fillId="2" borderId="1" xfId="0" applyNumberFormat="1" applyFont="1" applyFill="1" applyBorder="1"/>
    <xf numFmtId="0" fontId="2" fillId="0" borderId="32" xfId="0" applyFont="1" applyBorder="1" applyAlignment="1">
      <alignment horizontal="center"/>
    </xf>
    <xf numFmtId="0" fontId="2" fillId="0" borderId="0" xfId="0" applyFont="1" applyBorder="1" applyAlignment="1"/>
    <xf numFmtId="0" fontId="2" fillId="0" borderId="32" xfId="0" applyFont="1" applyBorder="1" applyAlignment="1"/>
    <xf numFmtId="0" fontId="1" fillId="0" borderId="6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 applyAlignment="1">
      <alignment horizontal="center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wrapText="1"/>
    </xf>
    <xf numFmtId="0" fontId="1" fillId="2" borderId="3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wrapText="1"/>
    </xf>
    <xf numFmtId="164" fontId="1" fillId="0" borderId="6" xfId="0" applyNumberFormat="1" applyFont="1" applyBorder="1"/>
    <xf numFmtId="4" fontId="1" fillId="2" borderId="6" xfId="0" applyNumberFormat="1" applyFont="1" applyFill="1" applyBorder="1"/>
    <xf numFmtId="4" fontId="1" fillId="0" borderId="17" xfId="0" applyNumberFormat="1" applyFont="1" applyBorder="1"/>
    <xf numFmtId="4" fontId="1" fillId="0" borderId="14" xfId="0" applyNumberFormat="1" applyFont="1" applyBorder="1"/>
    <xf numFmtId="4" fontId="1" fillId="0" borderId="2" xfId="0" applyNumberFormat="1" applyFont="1" applyBorder="1"/>
    <xf numFmtId="0" fontId="2" fillId="0" borderId="7" xfId="0" applyFont="1" applyBorder="1"/>
    <xf numFmtId="0" fontId="2" fillId="2" borderId="7" xfId="0" applyFont="1" applyFill="1" applyBorder="1" applyAlignment="1">
      <alignment horizontal="center" wrapText="1"/>
    </xf>
    <xf numFmtId="4" fontId="2" fillId="0" borderId="4" xfId="0" applyNumberFormat="1" applyFont="1" applyBorder="1"/>
    <xf numFmtId="4" fontId="1" fillId="2" borderId="3" xfId="0" applyNumberFormat="1" applyFont="1" applyFill="1" applyBorder="1"/>
    <xf numFmtId="10" fontId="1" fillId="0" borderId="6" xfId="0" applyNumberFormat="1" applyFont="1" applyBorder="1"/>
    <xf numFmtId="0" fontId="1" fillId="0" borderId="15" xfId="0" applyFont="1" applyBorder="1" applyAlignment="1">
      <alignment horizontal="center"/>
    </xf>
    <xf numFmtId="0" fontId="1" fillId="2" borderId="40" xfId="0" applyFont="1" applyFill="1" applyBorder="1" applyAlignment="1">
      <alignment horizontal="left" wrapText="1"/>
    </xf>
    <xf numFmtId="0" fontId="1" fillId="2" borderId="27" xfId="0" applyFont="1" applyFill="1" applyBorder="1" applyAlignment="1">
      <alignment horizontal="left" wrapText="1"/>
    </xf>
    <xf numFmtId="4" fontId="1" fillId="0" borderId="26" xfId="0" applyNumberFormat="1" applyFont="1" applyBorder="1"/>
    <xf numFmtId="4" fontId="1" fillId="0" borderId="22" xfId="0" applyNumberFormat="1" applyFont="1" applyBorder="1"/>
    <xf numFmtId="164" fontId="1" fillId="0" borderId="14" xfId="0" applyNumberFormat="1" applyFont="1" applyBorder="1"/>
    <xf numFmtId="0" fontId="1" fillId="2" borderId="2" xfId="0" applyFont="1" applyFill="1" applyBorder="1" applyAlignment="1">
      <alignment horizontal="left" wrapText="1"/>
    </xf>
    <xf numFmtId="0" fontId="1" fillId="0" borderId="32" xfId="0" applyFont="1" applyBorder="1" applyAlignment="1"/>
    <xf numFmtId="0" fontId="1" fillId="0" borderId="15" xfId="0" applyFont="1" applyBorder="1" applyAlignment="1"/>
    <xf numFmtId="0" fontId="2" fillId="2" borderId="5" xfId="0" applyFont="1" applyFill="1" applyBorder="1" applyAlignment="1">
      <alignment horizontal="center" wrapText="1"/>
    </xf>
    <xf numFmtId="0" fontId="1" fillId="0" borderId="25" xfId="0" applyFont="1" applyBorder="1" applyAlignment="1">
      <alignment horizontal="center"/>
    </xf>
    <xf numFmtId="0" fontId="2" fillId="2" borderId="39" xfId="0" applyFont="1" applyFill="1" applyBorder="1" applyAlignment="1">
      <alignment horizontal="center" wrapText="1"/>
    </xf>
    <xf numFmtId="4" fontId="1" fillId="0" borderId="25" xfId="0" applyNumberFormat="1" applyFont="1" applyBorder="1"/>
    <xf numFmtId="0" fontId="1" fillId="0" borderId="6" xfId="0" applyFont="1" applyBorder="1" applyAlignment="1">
      <alignment horizontal="left" wrapText="1"/>
    </xf>
    <xf numFmtId="0" fontId="2" fillId="0" borderId="4" xfId="0" applyFont="1" applyBorder="1" applyAlignment="1"/>
    <xf numFmtId="10" fontId="1" fillId="0" borderId="3" xfId="0" applyNumberFormat="1" applyFont="1" applyBorder="1"/>
    <xf numFmtId="0" fontId="1" fillId="0" borderId="19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left" wrapText="1"/>
    </xf>
    <xf numFmtId="4" fontId="2" fillId="0" borderId="33" xfId="0" applyNumberFormat="1" applyFont="1" applyBorder="1"/>
    <xf numFmtId="4" fontId="2" fillId="0" borderId="24" xfId="0" applyNumberFormat="1" applyFont="1" applyBorder="1" applyAlignment="1"/>
    <xf numFmtId="0" fontId="2" fillId="0" borderId="25" xfId="0" applyFont="1" applyBorder="1"/>
    <xf numFmtId="0" fontId="2" fillId="0" borderId="1" xfId="0" applyFont="1" applyBorder="1" applyAlignment="1">
      <alignment horizontal="left"/>
    </xf>
    <xf numFmtId="0" fontId="1" fillId="0" borderId="25" xfId="0" applyFont="1" applyBorder="1"/>
    <xf numFmtId="0" fontId="1" fillId="0" borderId="1" xfId="0" applyFont="1" applyBorder="1" applyAlignment="1">
      <alignment horizontal="left"/>
    </xf>
    <xf numFmtId="0" fontId="2" fillId="0" borderId="34" xfId="0" applyFont="1" applyBorder="1"/>
    <xf numFmtId="0" fontId="1" fillId="0" borderId="35" xfId="0" applyFont="1" applyBorder="1"/>
    <xf numFmtId="2" fontId="1" fillId="0" borderId="35" xfId="0" applyNumberFormat="1" applyFont="1" applyBorder="1"/>
    <xf numFmtId="0" fontId="1" fillId="0" borderId="36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4" fontId="3" fillId="0" borderId="6" xfId="0" applyNumberFormat="1" applyFont="1" applyBorder="1"/>
    <xf numFmtId="4" fontId="3" fillId="0" borderId="1" xfId="0" applyNumberFormat="1" applyFont="1" applyBorder="1"/>
    <xf numFmtId="164" fontId="3" fillId="0" borderId="1" xfId="0" applyNumberFormat="1" applyFont="1" applyBorder="1"/>
    <xf numFmtId="4" fontId="3" fillId="2" borderId="1" xfId="0" applyNumberFormat="1" applyFont="1" applyFill="1" applyBorder="1"/>
    <xf numFmtId="164" fontId="2" fillId="0" borderId="3" xfId="0" applyNumberFormat="1" applyFont="1" applyBorder="1"/>
    <xf numFmtId="164" fontId="1" fillId="0" borderId="37" xfId="0" applyNumberFormat="1" applyFont="1" applyBorder="1"/>
    <xf numFmtId="10" fontId="2" fillId="0" borderId="1" xfId="0" applyNumberFormat="1" applyFont="1" applyBorder="1"/>
    <xf numFmtId="4" fontId="1" fillId="0" borderId="1" xfId="0" applyNumberFormat="1" applyFont="1" applyBorder="1" applyAlignment="1">
      <alignment wrapText="1"/>
    </xf>
    <xf numFmtId="10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4" fontId="2" fillId="0" borderId="43" xfId="0" applyNumberFormat="1" applyFont="1" applyBorder="1"/>
    <xf numFmtId="4" fontId="2" fillId="0" borderId="7" xfId="0" applyNumberFormat="1" applyFont="1" applyBorder="1"/>
    <xf numFmtId="4" fontId="2" fillId="0" borderId="0" xfId="0" applyNumberFormat="1" applyFont="1" applyBorder="1" applyAlignment="1">
      <alignment horizontal="center"/>
    </xf>
    <xf numFmtId="4" fontId="2" fillId="0" borderId="39" xfId="0" applyNumberFormat="1" applyFont="1" applyBorder="1"/>
    <xf numFmtId="4" fontId="2" fillId="0" borderId="40" xfId="0" applyNumberFormat="1" applyFont="1" applyBorder="1"/>
    <xf numFmtId="4" fontId="2" fillId="0" borderId="47" xfId="0" applyNumberFormat="1" applyFont="1" applyBorder="1"/>
    <xf numFmtId="4" fontId="2" fillId="0" borderId="46" xfId="0" applyNumberFormat="1" applyFont="1" applyBorder="1"/>
    <xf numFmtId="4" fontId="2" fillId="0" borderId="27" xfId="0" applyNumberFormat="1" applyFont="1" applyBorder="1"/>
    <xf numFmtId="4" fontId="1" fillId="0" borderId="27" xfId="0" applyNumberFormat="1" applyFont="1" applyBorder="1" applyAlignment="1">
      <alignment wrapText="1"/>
    </xf>
    <xf numFmtId="0" fontId="1" fillId="0" borderId="34" xfId="0" applyFont="1" applyBorder="1"/>
    <xf numFmtId="4" fontId="2" fillId="0" borderId="25" xfId="0" applyNumberFormat="1" applyFont="1" applyBorder="1"/>
    <xf numFmtId="0" fontId="2" fillId="0" borderId="0" xfId="0" applyFont="1" applyBorder="1" applyAlignment="1">
      <alignment horizontal="right"/>
    </xf>
    <xf numFmtId="0" fontId="2" fillId="2" borderId="2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right" vertical="top" wrapText="1"/>
    </xf>
    <xf numFmtId="4" fontId="2" fillId="0" borderId="18" xfId="0" applyNumberFormat="1" applyFont="1" applyBorder="1"/>
    <xf numFmtId="4" fontId="1" fillId="0" borderId="19" xfId="0" applyNumberFormat="1" applyFont="1" applyBorder="1"/>
    <xf numFmtId="4" fontId="1" fillId="0" borderId="13" xfId="0" applyNumberFormat="1" applyFont="1" applyBorder="1"/>
    <xf numFmtId="4" fontId="1" fillId="0" borderId="12" xfId="0" applyNumberFormat="1" applyFont="1" applyBorder="1"/>
    <xf numFmtId="4" fontId="1" fillId="0" borderId="15" xfId="0" applyNumberFormat="1" applyFont="1" applyBorder="1"/>
    <xf numFmtId="4" fontId="1" fillId="0" borderId="37" xfId="0" applyNumberFormat="1" applyFont="1" applyBorder="1"/>
    <xf numFmtId="4" fontId="1" fillId="0" borderId="29" xfId="0" applyNumberFormat="1" applyFont="1" applyBorder="1"/>
    <xf numFmtId="4" fontId="1" fillId="0" borderId="48" xfId="0" applyNumberFormat="1" applyFont="1" applyBorder="1"/>
    <xf numFmtId="4" fontId="6" fillId="0" borderId="1" xfId="0" applyNumberFormat="1" applyFont="1" applyBorder="1"/>
    <xf numFmtId="164" fontId="6" fillId="0" borderId="1" xfId="0" applyNumberFormat="1" applyFont="1" applyBorder="1"/>
    <xf numFmtId="9" fontId="1" fillId="0" borderId="1" xfId="0" applyNumberFormat="1" applyFont="1" applyBorder="1"/>
    <xf numFmtId="0" fontId="9" fillId="0" borderId="0" xfId="0" applyFont="1" applyAlignment="1"/>
    <xf numFmtId="0" fontId="9" fillId="0" borderId="42" xfId="0" applyFont="1" applyBorder="1" applyAlignment="1">
      <alignment wrapText="1"/>
    </xf>
    <xf numFmtId="0" fontId="9" fillId="0" borderId="42" xfId="0" applyFont="1" applyBorder="1" applyAlignment="1">
      <alignment horizontal="center" vertical="center" wrapText="1"/>
    </xf>
    <xf numFmtId="0" fontId="10" fillId="0" borderId="42" xfId="0" applyFont="1" applyBorder="1" applyAlignment="1">
      <alignment wrapText="1"/>
    </xf>
    <xf numFmtId="2" fontId="12" fillId="10" borderId="42" xfId="0" applyNumberFormat="1" applyFont="1" applyFill="1" applyBorder="1" applyAlignment="1">
      <alignment wrapText="1"/>
    </xf>
    <xf numFmtId="0" fontId="10" fillId="0" borderId="42" xfId="0" applyFont="1" applyBorder="1" applyAlignment="1">
      <alignment vertical="top" wrapText="1"/>
    </xf>
    <xf numFmtId="0" fontId="10" fillId="0" borderId="17" xfId="0" applyFont="1" applyBorder="1" applyAlignment="1">
      <alignment wrapText="1"/>
    </xf>
    <xf numFmtId="0" fontId="10" fillId="0" borderId="74" xfId="0" applyFont="1" applyBorder="1" applyAlignment="1">
      <alignment wrapText="1"/>
    </xf>
    <xf numFmtId="0" fontId="13" fillId="6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4" fontId="3" fillId="0" borderId="1" xfId="1" applyNumberFormat="1" applyFont="1" applyBorder="1" applyAlignment="1">
      <alignment horizontal="center" vertical="center" wrapText="1"/>
    </xf>
    <xf numFmtId="0" fontId="14" fillId="7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4" fontId="3" fillId="2" borderId="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13" fillId="7" borderId="1" xfId="0" applyFont="1" applyFill="1" applyBorder="1" applyAlignment="1">
      <alignment vertical="top" wrapText="1"/>
    </xf>
    <xf numFmtId="14" fontId="14" fillId="7" borderId="1" xfId="0" applyNumberFormat="1" applyFont="1" applyFill="1" applyBorder="1" applyAlignment="1">
      <alignment vertical="top" wrapText="1"/>
    </xf>
    <xf numFmtId="4" fontId="12" fillId="14" borderId="42" xfId="0" applyNumberFormat="1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42" xfId="0" applyFont="1" applyBorder="1" applyAlignment="1">
      <alignment vertical="center" wrapText="1"/>
    </xf>
    <xf numFmtId="0" fontId="10" fillId="0" borderId="75" xfId="0" applyFont="1" applyBorder="1" applyAlignment="1">
      <alignment wrapText="1"/>
    </xf>
    <xf numFmtId="4" fontId="10" fillId="0" borderId="22" xfId="0" applyNumberFormat="1" applyFont="1" applyBorder="1" applyAlignment="1">
      <alignment wrapText="1"/>
    </xf>
    <xf numFmtId="49" fontId="16" fillId="0" borderId="0" xfId="0" applyNumberFormat="1" applyFont="1" applyAlignment="1">
      <alignment horizontal="center"/>
    </xf>
    <xf numFmtId="0" fontId="16" fillId="0" borderId="52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49" fontId="12" fillId="6" borderId="7" xfId="0" applyNumberFormat="1" applyFont="1" applyFill="1" applyBorder="1" applyAlignment="1">
      <alignment horizontal="center"/>
    </xf>
    <xf numFmtId="0" fontId="12" fillId="6" borderId="18" xfId="0" applyFont="1" applyFill="1" applyBorder="1" applyAlignment="1">
      <alignment horizontal="center" wrapText="1"/>
    </xf>
    <xf numFmtId="49" fontId="12" fillId="6" borderId="43" xfId="0" applyNumberFormat="1" applyFont="1" applyFill="1" applyBorder="1" applyAlignment="1">
      <alignment horizontal="center" wrapText="1"/>
    </xf>
    <xf numFmtId="3" fontId="12" fillId="6" borderId="4" xfId="0" applyNumberFormat="1" applyFont="1" applyFill="1" applyBorder="1" applyAlignment="1">
      <alignment horizontal="center" vertical="center"/>
    </xf>
    <xf numFmtId="3" fontId="12" fillId="6" borderId="5" xfId="0" applyNumberFormat="1" applyFont="1" applyFill="1" applyBorder="1" applyAlignment="1">
      <alignment horizontal="center" vertical="center"/>
    </xf>
    <xf numFmtId="10" fontId="12" fillId="6" borderId="8" xfId="0" applyNumberFormat="1" applyFont="1" applyFill="1" applyBorder="1" applyAlignment="1">
      <alignment horizontal="center" vertical="center"/>
    </xf>
    <xf numFmtId="4" fontId="12" fillId="6" borderId="5" xfId="0" applyNumberFormat="1" applyFont="1" applyFill="1" applyBorder="1" applyAlignment="1">
      <alignment horizontal="right" vertical="center"/>
    </xf>
    <xf numFmtId="3" fontId="12" fillId="6" borderId="58" xfId="0" applyNumberFormat="1" applyFont="1" applyFill="1" applyBorder="1" applyAlignment="1">
      <alignment horizontal="center" vertical="center"/>
    </xf>
    <xf numFmtId="4" fontId="12" fillId="6" borderId="4" xfId="0" applyNumberFormat="1" applyFont="1" applyFill="1" applyBorder="1" applyAlignment="1">
      <alignment horizontal="right" vertical="center"/>
    </xf>
    <xf numFmtId="4" fontId="12" fillId="6" borderId="8" xfId="0" applyNumberFormat="1" applyFont="1" applyFill="1" applyBorder="1" applyAlignment="1">
      <alignment horizontal="right" vertical="center"/>
    </xf>
    <xf numFmtId="0" fontId="10" fillId="0" borderId="0" xfId="0" applyFont="1" applyAlignment="1"/>
    <xf numFmtId="2" fontId="12" fillId="10" borderId="0" xfId="0" applyNumberFormat="1" applyFont="1" applyFill="1" applyAlignment="1"/>
    <xf numFmtId="49" fontId="12" fillId="0" borderId="59" xfId="0" applyNumberFormat="1" applyFont="1" applyBorder="1" applyAlignment="1">
      <alignment horizontal="center"/>
    </xf>
    <xf numFmtId="0" fontId="10" fillId="0" borderId="64" xfId="0" applyFont="1" applyBorder="1" applyAlignment="1">
      <alignment horizontal="left" wrapText="1"/>
    </xf>
    <xf numFmtId="49" fontId="10" fillId="0" borderId="41" xfId="0" applyNumberFormat="1" applyFont="1" applyBorder="1" applyAlignment="1">
      <alignment horizontal="center" wrapText="1"/>
    </xf>
    <xf numFmtId="4" fontId="10" fillId="0" borderId="25" xfId="0" applyNumberFormat="1" applyFont="1" applyBorder="1" applyAlignment="1">
      <alignment horizontal="right" vertical="center"/>
    </xf>
    <xf numFmtId="4" fontId="10" fillId="0" borderId="1" xfId="0" applyNumberFormat="1" applyFont="1" applyBorder="1" applyAlignment="1">
      <alignment horizontal="right" vertical="center"/>
    </xf>
    <xf numFmtId="10" fontId="10" fillId="0" borderId="12" xfId="0" applyNumberFormat="1" applyFont="1" applyBorder="1" applyAlignment="1">
      <alignment horizontal="right" vertical="center"/>
    </xf>
    <xf numFmtId="164" fontId="10" fillId="0" borderId="12" xfId="0" applyNumberFormat="1" applyFont="1" applyBorder="1" applyAlignment="1">
      <alignment horizontal="right" vertical="center"/>
    </xf>
    <xf numFmtId="3" fontId="10" fillId="0" borderId="42" xfId="0" applyNumberFormat="1" applyFont="1" applyBorder="1" applyAlignment="1">
      <alignment horizontal="right" vertical="center"/>
    </xf>
    <xf numFmtId="10" fontId="10" fillId="0" borderId="27" xfId="0" applyNumberFormat="1" applyFont="1" applyBorder="1" applyAlignment="1">
      <alignment horizontal="right" vertical="center"/>
    </xf>
    <xf numFmtId="4" fontId="10" fillId="0" borderId="12" xfId="0" applyNumberFormat="1" applyFont="1" applyBorder="1" applyAlignment="1">
      <alignment horizontal="right" vertical="center"/>
    </xf>
    <xf numFmtId="3" fontId="10" fillId="0" borderId="25" xfId="0" applyNumberFormat="1" applyFont="1" applyBorder="1" applyAlignment="1">
      <alignment horizontal="center" vertical="center"/>
    </xf>
    <xf numFmtId="10" fontId="10" fillId="0" borderId="12" xfId="0" applyNumberFormat="1" applyFont="1" applyBorder="1" applyAlignment="1">
      <alignment horizontal="center" vertical="center"/>
    </xf>
    <xf numFmtId="3" fontId="10" fillId="0" borderId="42" xfId="0" applyNumberFormat="1" applyFont="1" applyBorder="1" applyAlignment="1">
      <alignment horizontal="center" vertical="center"/>
    </xf>
    <xf numFmtId="10" fontId="10" fillId="0" borderId="27" xfId="0" applyNumberFormat="1" applyFont="1" applyBorder="1" applyAlignment="1">
      <alignment horizontal="center" vertical="center"/>
    </xf>
    <xf numFmtId="2" fontId="12" fillId="10" borderId="59" xfId="0" applyNumberFormat="1" applyFont="1" applyFill="1" applyBorder="1" applyAlignment="1">
      <alignment horizontal="center"/>
    </xf>
    <xf numFmtId="2" fontId="15" fillId="10" borderId="64" xfId="0" applyNumberFormat="1" applyFont="1" applyFill="1" applyBorder="1" applyAlignment="1">
      <alignment horizontal="left" wrapText="1"/>
    </xf>
    <xf numFmtId="2" fontId="15" fillId="10" borderId="41" xfId="0" applyNumberFormat="1" applyFont="1" applyFill="1" applyBorder="1" applyAlignment="1">
      <alignment horizontal="center" wrapText="1"/>
    </xf>
    <xf numFmtId="2" fontId="15" fillId="10" borderId="25" xfId="0" applyNumberFormat="1" applyFont="1" applyFill="1" applyBorder="1" applyAlignment="1">
      <alignment horizontal="center" vertical="center"/>
    </xf>
    <xf numFmtId="4" fontId="15" fillId="10" borderId="1" xfId="0" applyNumberFormat="1" applyFont="1" applyFill="1" applyBorder="1" applyAlignment="1">
      <alignment horizontal="right" vertical="center"/>
    </xf>
    <xf numFmtId="2" fontId="15" fillId="10" borderId="12" xfId="0" applyNumberFormat="1" applyFont="1" applyFill="1" applyBorder="1" applyAlignment="1">
      <alignment horizontal="center" vertical="center"/>
    </xf>
    <xf numFmtId="2" fontId="15" fillId="10" borderId="42" xfId="0" applyNumberFormat="1" applyFont="1" applyFill="1" applyBorder="1" applyAlignment="1">
      <alignment horizontal="center" vertical="center"/>
    </xf>
    <xf numFmtId="2" fontId="15" fillId="10" borderId="27" xfId="0" applyNumberFormat="1" applyFont="1" applyFill="1" applyBorder="1" applyAlignment="1">
      <alignment horizontal="center" vertical="center"/>
    </xf>
    <xf numFmtId="2" fontId="15" fillId="10" borderId="25" xfId="0" applyNumberFormat="1" applyFont="1" applyFill="1" applyBorder="1" applyAlignment="1">
      <alignment horizontal="right" vertical="center"/>
    </xf>
    <xf numFmtId="2" fontId="15" fillId="10" borderId="12" xfId="0" applyNumberFormat="1" applyFont="1" applyFill="1" applyBorder="1" applyAlignment="1">
      <alignment horizontal="right" vertical="center"/>
    </xf>
    <xf numFmtId="49" fontId="10" fillId="5" borderId="25" xfId="0" applyNumberFormat="1" applyFont="1" applyFill="1" applyBorder="1" applyAlignment="1">
      <alignment horizontal="left" wrapText="1"/>
    </xf>
    <xf numFmtId="49" fontId="10" fillId="0" borderId="1" xfId="0" applyNumberFormat="1" applyFont="1" applyBorder="1" applyAlignment="1">
      <alignment horizontal="center" wrapText="1"/>
    </xf>
    <xf numFmtId="3" fontId="10" fillId="0" borderId="1" xfId="0" applyNumberFormat="1" applyFont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164" fontId="10" fillId="0" borderId="27" xfId="0" applyNumberFormat="1" applyFont="1" applyBorder="1" applyAlignment="1">
      <alignment horizontal="center" vertical="center"/>
    </xf>
    <xf numFmtId="2" fontId="15" fillId="10" borderId="1" xfId="0" applyNumberFormat="1" applyFont="1" applyFill="1" applyBorder="1" applyAlignment="1">
      <alignment horizontal="right" vertical="center"/>
    </xf>
    <xf numFmtId="164" fontId="10" fillId="0" borderId="12" xfId="0" applyNumberFormat="1" applyFont="1" applyBorder="1" applyAlignment="1">
      <alignment horizontal="center" vertical="center"/>
    </xf>
    <xf numFmtId="10" fontId="10" fillId="0" borderId="42" xfId="0" applyNumberFormat="1" applyFont="1" applyBorder="1" applyAlignment="1">
      <alignment horizontal="center" vertical="center"/>
    </xf>
    <xf numFmtId="0" fontId="10" fillId="0" borderId="64" xfId="0" applyFont="1" applyBorder="1" applyAlignment="1">
      <alignment horizontal="left" vertical="center" wrapText="1"/>
    </xf>
    <xf numFmtId="2" fontId="10" fillId="0" borderId="42" xfId="0" applyNumberFormat="1" applyFont="1" applyBorder="1" applyAlignment="1">
      <alignment horizontal="center" vertical="center"/>
    </xf>
    <xf numFmtId="4" fontId="10" fillId="0" borderId="25" xfId="0" applyNumberFormat="1" applyFont="1" applyBorder="1" applyAlignment="1">
      <alignment horizontal="center" vertical="center"/>
    </xf>
    <xf numFmtId="49" fontId="10" fillId="0" borderId="41" xfId="0" applyNumberFormat="1" applyFont="1" applyBorder="1" applyAlignment="1">
      <alignment horizontal="center" vertical="center" wrapText="1"/>
    </xf>
    <xf numFmtId="49" fontId="12" fillId="7" borderId="59" xfId="0" applyNumberFormat="1" applyFont="1" applyFill="1" applyBorder="1" applyAlignment="1">
      <alignment horizontal="center"/>
    </xf>
    <xf numFmtId="0" fontId="18" fillId="7" borderId="64" xfId="0" applyFont="1" applyFill="1" applyBorder="1" applyAlignment="1">
      <alignment horizontal="left" wrapText="1"/>
    </xf>
    <xf numFmtId="49" fontId="18" fillId="7" borderId="41" xfId="0" applyNumberFormat="1" applyFont="1" applyFill="1" applyBorder="1" applyAlignment="1">
      <alignment horizontal="center" wrapText="1"/>
    </xf>
    <xf numFmtId="3" fontId="10" fillId="7" borderId="25" xfId="0" applyNumberFormat="1" applyFont="1" applyFill="1" applyBorder="1" applyAlignment="1">
      <alignment horizontal="center" vertical="center"/>
    </xf>
    <xf numFmtId="4" fontId="10" fillId="7" borderId="1" xfId="0" applyNumberFormat="1" applyFont="1" applyFill="1" applyBorder="1" applyAlignment="1">
      <alignment horizontal="right" vertical="center"/>
    </xf>
    <xf numFmtId="10" fontId="10" fillId="7" borderId="12" xfId="0" applyNumberFormat="1" applyFont="1" applyFill="1" applyBorder="1" applyAlignment="1">
      <alignment horizontal="center" vertical="center"/>
    </xf>
    <xf numFmtId="10" fontId="10" fillId="7" borderId="42" xfId="0" applyNumberFormat="1" applyFont="1" applyFill="1" applyBorder="1" applyAlignment="1">
      <alignment horizontal="center" vertical="center"/>
    </xf>
    <xf numFmtId="10" fontId="10" fillId="7" borderId="27" xfId="0" applyNumberFormat="1" applyFont="1" applyFill="1" applyBorder="1" applyAlignment="1">
      <alignment horizontal="center" vertical="center"/>
    </xf>
    <xf numFmtId="4" fontId="10" fillId="7" borderId="25" xfId="0" applyNumberFormat="1" applyFont="1" applyFill="1" applyBorder="1" applyAlignment="1">
      <alignment horizontal="right" vertical="center"/>
    </xf>
    <xf numFmtId="4" fontId="10" fillId="7" borderId="12" xfId="0" applyNumberFormat="1" applyFont="1" applyFill="1" applyBorder="1" applyAlignment="1">
      <alignment horizontal="right" vertical="center"/>
    </xf>
    <xf numFmtId="49" fontId="12" fillId="0" borderId="53" xfId="0" applyNumberFormat="1" applyFont="1" applyBorder="1" applyAlignment="1">
      <alignment horizontal="center"/>
    </xf>
    <xf numFmtId="0" fontId="10" fillId="0" borderId="65" xfId="0" applyFont="1" applyBorder="1" applyAlignment="1">
      <alignment horizontal="left" wrapText="1"/>
    </xf>
    <xf numFmtId="49" fontId="10" fillId="0" borderId="54" xfId="0" applyNumberFormat="1" applyFont="1" applyBorder="1" applyAlignment="1">
      <alignment horizontal="center" wrapText="1"/>
    </xf>
    <xf numFmtId="3" fontId="10" fillId="0" borderId="34" xfId="0" applyNumberFormat="1" applyFont="1" applyBorder="1" applyAlignment="1">
      <alignment horizontal="center" vertical="center"/>
    </xf>
    <xf numFmtId="4" fontId="10" fillId="0" borderId="35" xfId="0" applyNumberFormat="1" applyFont="1" applyBorder="1" applyAlignment="1">
      <alignment horizontal="right" vertical="center"/>
    </xf>
    <xf numFmtId="10" fontId="10" fillId="0" borderId="36" xfId="0" applyNumberFormat="1" applyFont="1" applyBorder="1" applyAlignment="1">
      <alignment horizontal="center" vertical="center"/>
    </xf>
    <xf numFmtId="3" fontId="10" fillId="0" borderId="55" xfId="0" applyNumberFormat="1" applyFont="1" applyBorder="1" applyAlignment="1">
      <alignment horizontal="center" vertical="center"/>
    </xf>
    <xf numFmtId="10" fontId="10" fillId="0" borderId="47" xfId="0" applyNumberFormat="1" applyFont="1" applyBorder="1" applyAlignment="1">
      <alignment horizontal="center" vertical="center"/>
    </xf>
    <xf numFmtId="4" fontId="10" fillId="0" borderId="34" xfId="0" applyNumberFormat="1" applyFont="1" applyBorder="1" applyAlignment="1">
      <alignment horizontal="right" vertical="center"/>
    </xf>
    <xf numFmtId="4" fontId="10" fillId="0" borderId="36" xfId="0" applyNumberFormat="1" applyFont="1" applyBorder="1" applyAlignment="1">
      <alignment horizontal="right" vertical="center"/>
    </xf>
    <xf numFmtId="0" fontId="12" fillId="10" borderId="0" xfId="0" applyFont="1" applyFill="1" applyAlignment="1"/>
    <xf numFmtId="4" fontId="10" fillId="0" borderId="26" xfId="0" applyNumberFormat="1" applyFont="1" applyBorder="1" applyAlignment="1">
      <alignment horizontal="right" vertical="center"/>
    </xf>
    <xf numFmtId="4" fontId="10" fillId="0" borderId="6" xfId="0" applyNumberFormat="1" applyFont="1" applyBorder="1" applyAlignment="1">
      <alignment horizontal="right" vertical="center"/>
    </xf>
    <xf numFmtId="10" fontId="10" fillId="0" borderId="17" xfId="0" applyNumberFormat="1" applyFont="1" applyBorder="1" applyAlignment="1">
      <alignment horizontal="center" vertical="center"/>
    </xf>
    <xf numFmtId="10" fontId="10" fillId="0" borderId="2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right" vertical="center"/>
    </xf>
    <xf numFmtId="49" fontId="10" fillId="0" borderId="22" xfId="0" applyNumberFormat="1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right" vertical="center"/>
    </xf>
    <xf numFmtId="10" fontId="10" fillId="0" borderId="14" xfId="0" applyNumberFormat="1" applyFont="1" applyBorder="1" applyAlignment="1">
      <alignment horizontal="center" vertical="center"/>
    </xf>
    <xf numFmtId="0" fontId="10" fillId="0" borderId="66" xfId="0" applyFont="1" applyBorder="1" applyAlignment="1">
      <alignment horizontal="left" wrapText="1"/>
    </xf>
    <xf numFmtId="49" fontId="12" fillId="10" borderId="59" xfId="0" applyNumberFormat="1" applyFont="1" applyFill="1" applyBorder="1" applyAlignment="1">
      <alignment horizontal="center"/>
    </xf>
    <xf numFmtId="49" fontId="12" fillId="0" borderId="61" xfId="0" applyNumberFormat="1" applyFont="1" applyBorder="1" applyAlignment="1">
      <alignment horizontal="center"/>
    </xf>
    <xf numFmtId="3" fontId="10" fillId="0" borderId="26" xfId="0" applyNumberFormat="1" applyFont="1" applyBorder="1" applyAlignment="1">
      <alignment horizontal="center" vertical="center"/>
    </xf>
    <xf numFmtId="4" fontId="10" fillId="0" borderId="26" xfId="0" applyNumberFormat="1" applyFont="1" applyBorder="1" applyAlignment="1">
      <alignment horizontal="center" vertical="center"/>
    </xf>
    <xf numFmtId="3" fontId="10" fillId="0" borderId="17" xfId="0" applyNumberFormat="1" applyFont="1" applyBorder="1" applyAlignment="1">
      <alignment horizontal="center" vertical="center"/>
    </xf>
    <xf numFmtId="4" fontId="10" fillId="0" borderId="17" xfId="0" applyNumberFormat="1" applyFont="1" applyBorder="1" applyAlignment="1">
      <alignment horizontal="center" vertical="center"/>
    </xf>
    <xf numFmtId="3" fontId="12" fillId="6" borderId="39" xfId="0" applyNumberFormat="1" applyFont="1" applyFill="1" applyBorder="1" applyAlignment="1">
      <alignment horizontal="center" vertical="center"/>
    </xf>
    <xf numFmtId="167" fontId="10" fillId="0" borderId="42" xfId="0" applyNumberFormat="1" applyFont="1" applyBorder="1" applyAlignment="1">
      <alignment horizontal="center" vertical="center"/>
    </xf>
    <xf numFmtId="3" fontId="10" fillId="0" borderId="25" xfId="0" applyNumberFormat="1" applyFont="1" applyBorder="1" applyAlignment="1">
      <alignment horizontal="right" vertical="center"/>
    </xf>
    <xf numFmtId="167" fontId="10" fillId="0" borderId="42" xfId="0" applyNumberFormat="1" applyFont="1" applyBorder="1" applyAlignment="1">
      <alignment horizontal="right" vertical="center"/>
    </xf>
    <xf numFmtId="164" fontId="10" fillId="0" borderId="27" xfId="0" applyNumberFormat="1" applyFont="1" applyBorder="1" applyAlignment="1">
      <alignment horizontal="right" vertical="center"/>
    </xf>
    <xf numFmtId="49" fontId="12" fillId="0" borderId="60" xfId="0" applyNumberFormat="1" applyFont="1" applyBorder="1" applyAlignment="1">
      <alignment horizontal="center"/>
    </xf>
    <xf numFmtId="0" fontId="10" fillId="0" borderId="63" xfId="0" applyFont="1" applyBorder="1" applyAlignment="1">
      <alignment wrapText="1"/>
    </xf>
    <xf numFmtId="49" fontId="10" fillId="0" borderId="49" xfId="0" applyNumberFormat="1" applyFont="1" applyBorder="1" applyAlignment="1">
      <alignment horizontal="center" wrapText="1"/>
    </xf>
    <xf numFmtId="3" fontId="10" fillId="0" borderId="19" xfId="0" applyNumberFormat="1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right" vertical="center"/>
    </xf>
    <xf numFmtId="10" fontId="10" fillId="0" borderId="13" xfId="0" applyNumberFormat="1" applyFont="1" applyBorder="1" applyAlignment="1">
      <alignment horizontal="center" vertical="center"/>
    </xf>
    <xf numFmtId="3" fontId="10" fillId="0" borderId="56" xfId="0" applyNumberFormat="1" applyFont="1" applyBorder="1" applyAlignment="1">
      <alignment horizontal="center" vertical="center"/>
    </xf>
    <xf numFmtId="10" fontId="10" fillId="0" borderId="40" xfId="0" applyNumberFormat="1" applyFont="1" applyBorder="1" applyAlignment="1">
      <alignment horizontal="center" vertical="center"/>
    </xf>
    <xf numFmtId="4" fontId="10" fillId="0" borderId="19" xfId="0" applyNumberFormat="1" applyFont="1" applyBorder="1" applyAlignment="1">
      <alignment horizontal="right" vertical="center"/>
    </xf>
    <xf numFmtId="4" fontId="10" fillId="0" borderId="13" xfId="0" applyNumberFormat="1" applyFont="1" applyBorder="1" applyAlignment="1">
      <alignment horizontal="right" vertical="center"/>
    </xf>
    <xf numFmtId="49" fontId="12" fillId="0" borderId="20" xfId="0" applyNumberFormat="1" applyFont="1" applyBorder="1" applyAlignment="1">
      <alignment horizontal="center"/>
    </xf>
    <xf numFmtId="0" fontId="10" fillId="0" borderId="66" xfId="0" applyFont="1" applyBorder="1" applyAlignment="1">
      <alignment wrapText="1"/>
    </xf>
    <xf numFmtId="3" fontId="10" fillId="0" borderId="15" xfId="0" applyNumberFormat="1" applyFont="1" applyBorder="1" applyAlignment="1">
      <alignment horizontal="center" vertical="center"/>
    </xf>
    <xf numFmtId="4" fontId="10" fillId="0" borderId="9" xfId="0" applyNumberFormat="1" applyFont="1" applyBorder="1" applyAlignment="1">
      <alignment horizontal="right" vertical="center"/>
    </xf>
    <xf numFmtId="10" fontId="10" fillId="0" borderId="37" xfId="0" applyNumberFormat="1" applyFont="1" applyBorder="1" applyAlignment="1">
      <alignment horizontal="center" vertical="center"/>
    </xf>
    <xf numFmtId="3" fontId="10" fillId="0" borderId="71" xfId="0" applyNumberFormat="1" applyFont="1" applyBorder="1" applyAlignment="1">
      <alignment horizontal="center" vertical="center"/>
    </xf>
    <xf numFmtId="10" fontId="10" fillId="0" borderId="44" xfId="0" applyNumberFormat="1" applyFont="1" applyBorder="1" applyAlignment="1">
      <alignment horizontal="center" vertical="center"/>
    </xf>
    <xf numFmtId="4" fontId="10" fillId="0" borderId="15" xfId="0" applyNumberFormat="1" applyFont="1" applyBorder="1" applyAlignment="1">
      <alignment horizontal="right" vertical="center"/>
    </xf>
    <xf numFmtId="4" fontId="10" fillId="0" borderId="37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wrapText="1"/>
    </xf>
    <xf numFmtId="49" fontId="10" fillId="0" borderId="6" xfId="0" applyNumberFormat="1" applyFont="1" applyBorder="1" applyAlignment="1">
      <alignment horizontal="center" wrapText="1"/>
    </xf>
    <xf numFmtId="3" fontId="10" fillId="0" borderId="6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2" fillId="8" borderId="18" xfId="0" applyFont="1" applyFill="1" applyBorder="1" applyAlignment="1">
      <alignment horizontal="center" wrapText="1"/>
    </xf>
    <xf numFmtId="49" fontId="12" fillId="8" borderId="43" xfId="0" applyNumberFormat="1" applyFont="1" applyFill="1" applyBorder="1" applyAlignment="1">
      <alignment horizontal="center" wrapText="1"/>
    </xf>
    <xf numFmtId="49" fontId="12" fillId="0" borderId="32" xfId="0" applyNumberFormat="1" applyFont="1" applyBorder="1" applyAlignment="1">
      <alignment horizontal="center"/>
    </xf>
    <xf numFmtId="0" fontId="10" fillId="5" borderId="68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3" fontId="12" fillId="6" borderId="11" xfId="0" applyNumberFormat="1" applyFont="1" applyFill="1" applyBorder="1" applyAlignment="1">
      <alignment horizontal="center" vertical="center"/>
    </xf>
    <xf numFmtId="4" fontId="12" fillId="6" borderId="33" xfId="0" applyNumberFormat="1" applyFont="1" applyFill="1" applyBorder="1" applyAlignment="1">
      <alignment horizontal="right" vertical="center"/>
    </xf>
    <xf numFmtId="10" fontId="12" fillId="6" borderId="57" xfId="0" applyNumberFormat="1" applyFont="1" applyFill="1" applyBorder="1" applyAlignment="1">
      <alignment horizontal="center" vertical="center"/>
    </xf>
    <xf numFmtId="3" fontId="12" fillId="6" borderId="21" xfId="0" applyNumberFormat="1" applyFont="1" applyFill="1" applyBorder="1" applyAlignment="1">
      <alignment horizontal="center" vertical="center"/>
    </xf>
    <xf numFmtId="4" fontId="12" fillId="6" borderId="11" xfId="0" applyNumberFormat="1" applyFont="1" applyFill="1" applyBorder="1" applyAlignment="1">
      <alignment horizontal="right" vertical="center"/>
    </xf>
    <xf numFmtId="4" fontId="12" fillId="6" borderId="57" xfId="0" applyNumberFormat="1" applyFont="1" applyFill="1" applyBorder="1" applyAlignment="1">
      <alignment horizontal="right" vertical="center"/>
    </xf>
    <xf numFmtId="4" fontId="10" fillId="0" borderId="33" xfId="0" applyNumberFormat="1" applyFont="1" applyBorder="1" applyAlignment="1">
      <alignment horizontal="right" vertical="center"/>
    </xf>
    <xf numFmtId="4" fontId="10" fillId="0" borderId="11" xfId="0" applyNumberFormat="1" applyFont="1" applyBorder="1" applyAlignment="1">
      <alignment horizontal="right" vertical="center"/>
    </xf>
    <xf numFmtId="4" fontId="10" fillId="0" borderId="57" xfId="0" applyNumberFormat="1" applyFont="1" applyBorder="1" applyAlignment="1">
      <alignment horizontal="right" vertical="center"/>
    </xf>
    <xf numFmtId="0" fontId="10" fillId="5" borderId="66" xfId="0" applyFont="1" applyFill="1" applyBorder="1" applyAlignment="1">
      <alignment horizontal="left" wrapText="1"/>
    </xf>
    <xf numFmtId="164" fontId="10" fillId="0" borderId="13" xfId="0" applyNumberFormat="1" applyFont="1" applyBorder="1" applyAlignment="1">
      <alignment horizontal="center" vertical="center"/>
    </xf>
    <xf numFmtId="49" fontId="12" fillId="6" borderId="59" xfId="0" applyNumberFormat="1" applyFont="1" applyFill="1" applyBorder="1" applyAlignment="1">
      <alignment horizontal="center"/>
    </xf>
    <xf numFmtId="4" fontId="10" fillId="0" borderId="56" xfId="0" applyNumberFormat="1" applyFont="1" applyBorder="1" applyAlignment="1">
      <alignment horizontal="center" vertical="center"/>
    </xf>
    <xf numFmtId="164" fontId="10" fillId="0" borderId="40" xfId="0" applyNumberFormat="1" applyFont="1" applyBorder="1" applyAlignment="1">
      <alignment horizontal="center" vertical="center"/>
    </xf>
    <xf numFmtId="0" fontId="10" fillId="0" borderId="65" xfId="0" applyFont="1" applyBorder="1" applyAlignment="1">
      <alignment wrapText="1"/>
    </xf>
    <xf numFmtId="0" fontId="10" fillId="5" borderId="63" xfId="2" applyFont="1" applyFill="1" applyBorder="1" applyAlignment="1">
      <alignment horizontal="left" wrapText="1"/>
    </xf>
    <xf numFmtId="0" fontId="10" fillId="5" borderId="63" xfId="0" applyFont="1" applyFill="1" applyBorder="1" applyAlignment="1">
      <alignment horizontal="left" wrapText="1"/>
    </xf>
    <xf numFmtId="49" fontId="10" fillId="5" borderId="49" xfId="0" applyNumberFormat="1" applyFont="1" applyFill="1" applyBorder="1" applyAlignment="1">
      <alignment horizontal="center" wrapText="1"/>
    </xf>
    <xf numFmtId="49" fontId="12" fillId="6" borderId="62" xfId="0" applyNumberFormat="1" applyFont="1" applyFill="1" applyBorder="1" applyAlignment="1">
      <alignment horizontal="center"/>
    </xf>
    <xf numFmtId="4" fontId="10" fillId="0" borderId="21" xfId="0" applyNumberFormat="1" applyFont="1" applyBorder="1" applyAlignment="1">
      <alignment horizontal="right" vertical="center"/>
    </xf>
    <xf numFmtId="49" fontId="12" fillId="8" borderId="16" xfId="0" applyNumberFormat="1" applyFont="1" applyFill="1" applyBorder="1" applyAlignment="1">
      <alignment horizontal="center" wrapText="1"/>
    </xf>
    <xf numFmtId="3" fontId="12" fillId="6" borderId="46" xfId="0" applyNumberFormat="1" applyFont="1" applyFill="1" applyBorder="1" applyAlignment="1">
      <alignment horizontal="center" vertical="center"/>
    </xf>
    <xf numFmtId="49" fontId="10" fillId="5" borderId="22" xfId="0" applyNumberFormat="1" applyFont="1" applyFill="1" applyBorder="1" applyAlignment="1">
      <alignment horizontal="center" wrapText="1"/>
    </xf>
    <xf numFmtId="4" fontId="12" fillId="6" borderId="18" xfId="0" applyNumberFormat="1" applyFont="1" applyFill="1" applyBorder="1" applyAlignment="1">
      <alignment horizontal="right" vertical="center"/>
    </xf>
    <xf numFmtId="0" fontId="10" fillId="0" borderId="66" xfId="0" applyFont="1" applyBorder="1" applyAlignment="1">
      <alignment horizontal="left" vertical="top" wrapText="1"/>
    </xf>
    <xf numFmtId="0" fontId="12" fillId="8" borderId="67" xfId="0" applyFont="1" applyFill="1" applyBorder="1" applyAlignment="1">
      <alignment horizontal="left" wrapText="1"/>
    </xf>
    <xf numFmtId="10" fontId="12" fillId="6" borderId="33" xfId="0" applyNumberFormat="1" applyFont="1" applyFill="1" applyBorder="1" applyAlignment="1">
      <alignment horizontal="center" vertical="center"/>
    </xf>
    <xf numFmtId="3" fontId="12" fillId="6" borderId="33" xfId="0" applyNumberFormat="1" applyFont="1" applyFill="1" applyBorder="1" applyAlignment="1">
      <alignment horizontal="center" vertical="center"/>
    </xf>
    <xf numFmtId="3" fontId="10" fillId="0" borderId="56" xfId="0" applyNumberFormat="1" applyFont="1" applyFill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49" fontId="10" fillId="5" borderId="0" xfId="0" applyNumberFormat="1" applyFont="1" applyFill="1" applyBorder="1" applyAlignment="1">
      <alignment horizontal="center" wrapText="1"/>
    </xf>
    <xf numFmtId="10" fontId="10" fillId="0" borderId="35" xfId="0" applyNumberFormat="1" applyFont="1" applyBorder="1" applyAlignment="1">
      <alignment horizontal="center" vertical="center"/>
    </xf>
    <xf numFmtId="3" fontId="10" fillId="0" borderId="35" xfId="0" applyNumberFormat="1" applyFont="1" applyBorder="1" applyAlignment="1">
      <alignment horizontal="center" vertical="center"/>
    </xf>
    <xf numFmtId="0" fontId="12" fillId="8" borderId="18" xfId="0" applyFont="1" applyFill="1" applyBorder="1" applyAlignment="1">
      <alignment horizontal="left" wrapText="1"/>
    </xf>
    <xf numFmtId="10" fontId="12" fillId="6" borderId="5" xfId="0" applyNumberFormat="1" applyFont="1" applyFill="1" applyBorder="1" applyAlignment="1">
      <alignment horizontal="center" vertical="center"/>
    </xf>
    <xf numFmtId="0" fontId="10" fillId="0" borderId="63" xfId="0" applyFont="1" applyBorder="1" applyAlignment="1">
      <alignment horizontal="left" wrapText="1"/>
    </xf>
    <xf numFmtId="10" fontId="10" fillId="0" borderId="3" xfId="0" applyNumberFormat="1" applyFont="1" applyBorder="1" applyAlignment="1">
      <alignment horizontal="center" vertical="center"/>
    </xf>
    <xf numFmtId="0" fontId="12" fillId="8" borderId="1" xfId="0" applyFont="1" applyFill="1" applyBorder="1" applyAlignment="1">
      <alignment horizontal="left" wrapText="1"/>
    </xf>
    <xf numFmtId="49" fontId="12" fillId="8" borderId="1" xfId="0" applyNumberFormat="1" applyFont="1" applyFill="1" applyBorder="1" applyAlignment="1">
      <alignment horizontal="center" wrapText="1"/>
    </xf>
    <xf numFmtId="3" fontId="12" fillId="6" borderId="1" xfId="0" applyNumberFormat="1" applyFont="1" applyFill="1" applyBorder="1" applyAlignment="1">
      <alignment horizontal="center" vertical="center"/>
    </xf>
    <xf numFmtId="4" fontId="12" fillId="6" borderId="1" xfId="0" applyNumberFormat="1" applyFont="1" applyFill="1" applyBorder="1" applyAlignment="1">
      <alignment horizontal="right" vertical="center"/>
    </xf>
    <xf numFmtId="10" fontId="12" fillId="6" borderId="1" xfId="0" applyNumberFormat="1" applyFont="1" applyFill="1" applyBorder="1" applyAlignment="1">
      <alignment horizontal="center" vertical="center"/>
    </xf>
    <xf numFmtId="4" fontId="10" fillId="0" borderId="71" xfId="0" applyNumberFormat="1" applyFont="1" applyBorder="1" applyAlignment="1">
      <alignment horizontal="right" vertical="center"/>
    </xf>
    <xf numFmtId="4" fontId="10" fillId="0" borderId="23" xfId="0" applyNumberFormat="1" applyFont="1" applyBorder="1" applyAlignment="1">
      <alignment horizontal="right" vertical="center"/>
    </xf>
    <xf numFmtId="49" fontId="10" fillId="5" borderId="1" xfId="0" applyNumberFormat="1" applyFont="1" applyFill="1" applyBorder="1" applyAlignment="1">
      <alignment horizontal="center" wrapText="1"/>
    </xf>
    <xf numFmtId="0" fontId="10" fillId="0" borderId="6" xfId="0" applyFont="1" applyBorder="1" applyAlignment="1">
      <alignment horizontal="left" wrapText="1"/>
    </xf>
    <xf numFmtId="49" fontId="10" fillId="5" borderId="6" xfId="0" applyNumberFormat="1" applyFont="1" applyFill="1" applyBorder="1" applyAlignment="1">
      <alignment horizontal="center" wrapText="1"/>
    </xf>
    <xf numFmtId="4" fontId="10" fillId="0" borderId="6" xfId="0" applyNumberFormat="1" applyFont="1" applyBorder="1" applyAlignment="1">
      <alignment horizontal="center" vertical="center"/>
    </xf>
    <xf numFmtId="49" fontId="10" fillId="5" borderId="3" xfId="0" applyNumberFormat="1" applyFont="1" applyFill="1" applyBorder="1" applyAlignment="1">
      <alignment horizontal="center" wrapText="1"/>
    </xf>
    <xf numFmtId="4" fontId="10" fillId="0" borderId="3" xfId="0" applyNumberFormat="1" applyFont="1" applyBorder="1" applyAlignment="1">
      <alignment horizontal="center" vertical="center"/>
    </xf>
    <xf numFmtId="49" fontId="10" fillId="5" borderId="35" xfId="0" applyNumberFormat="1" applyFont="1" applyFill="1" applyBorder="1" applyAlignment="1">
      <alignment horizontal="center" wrapText="1"/>
    </xf>
    <xf numFmtId="4" fontId="10" fillId="0" borderId="35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left" wrapText="1"/>
    </xf>
    <xf numFmtId="0" fontId="10" fillId="0" borderId="34" xfId="0" applyFont="1" applyBorder="1" applyAlignment="1">
      <alignment horizontal="left" wrapText="1"/>
    </xf>
    <xf numFmtId="49" fontId="9" fillId="0" borderId="0" xfId="0" applyNumberFormat="1" applyFont="1" applyAlignme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10" fontId="10" fillId="0" borderId="9" xfId="0" applyNumberFormat="1" applyFont="1" applyBorder="1" applyAlignment="1">
      <alignment horizontal="center" vertical="center"/>
    </xf>
    <xf numFmtId="3" fontId="12" fillId="6" borderId="8" xfId="0" applyNumberFormat="1" applyFont="1" applyFill="1" applyBorder="1" applyAlignment="1">
      <alignment horizontal="center" vertical="center"/>
    </xf>
    <xf numFmtId="0" fontId="10" fillId="0" borderId="76" xfId="0" applyFont="1" applyBorder="1" applyAlignment="1">
      <alignment wrapText="1"/>
    </xf>
    <xf numFmtId="0" fontId="10" fillId="0" borderId="71" xfId="0" applyFont="1" applyBorder="1" applyAlignment="1">
      <alignment wrapText="1"/>
    </xf>
    <xf numFmtId="4" fontId="10" fillId="0" borderId="58" xfId="0" applyNumberFormat="1" applyFont="1" applyBorder="1" applyAlignment="1">
      <alignment horizontal="right" vertical="center"/>
    </xf>
    <xf numFmtId="4" fontId="10" fillId="0" borderId="72" xfId="0" applyNumberFormat="1" applyFont="1" applyBorder="1" applyAlignment="1">
      <alignment horizontal="right" vertical="center"/>
    </xf>
    <xf numFmtId="0" fontId="10" fillId="0" borderId="72" xfId="0" applyFont="1" applyBorder="1" applyAlignment="1">
      <alignment wrapText="1"/>
    </xf>
    <xf numFmtId="0" fontId="10" fillId="0" borderId="77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0" fillId="0" borderId="68" xfId="0" applyFont="1" applyBorder="1" applyAlignment="1">
      <alignment horizontal="left" wrapText="1"/>
    </xf>
    <xf numFmtId="4" fontId="10" fillId="0" borderId="71" xfId="0" applyNumberFormat="1" applyFont="1" applyBorder="1" applyAlignment="1">
      <alignment horizontal="center" vertical="center"/>
    </xf>
    <xf numFmtId="4" fontId="12" fillId="14" borderId="72" xfId="0" applyNumberFormat="1" applyFont="1" applyFill="1" applyBorder="1" applyAlignment="1">
      <alignment wrapText="1"/>
    </xf>
    <xf numFmtId="49" fontId="10" fillId="5" borderId="16" xfId="0" applyNumberFormat="1" applyFont="1" applyFill="1" applyBorder="1" applyAlignment="1">
      <alignment horizontal="center" wrapText="1"/>
    </xf>
    <xf numFmtId="3" fontId="10" fillId="0" borderId="11" xfId="0" applyNumberFormat="1" applyFont="1" applyBorder="1" applyAlignment="1">
      <alignment horizontal="center" vertical="center"/>
    </xf>
    <xf numFmtId="10" fontId="10" fillId="0" borderId="57" xfId="0" applyNumberFormat="1" applyFont="1" applyBorder="1" applyAlignment="1">
      <alignment horizontal="center" vertical="center"/>
    </xf>
    <xf numFmtId="4" fontId="10" fillId="0" borderId="21" xfId="0" applyNumberFormat="1" applyFont="1" applyBorder="1" applyAlignment="1">
      <alignment horizontal="center" vertical="center"/>
    </xf>
    <xf numFmtId="10" fontId="10" fillId="0" borderId="33" xfId="0" applyNumberFormat="1" applyFont="1" applyBorder="1" applyAlignment="1">
      <alignment horizontal="center" vertical="center"/>
    </xf>
    <xf numFmtId="3" fontId="10" fillId="0" borderId="33" xfId="0" applyNumberFormat="1" applyFont="1" applyBorder="1" applyAlignment="1">
      <alignment horizontal="center" vertical="center"/>
    </xf>
    <xf numFmtId="10" fontId="10" fillId="0" borderId="46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wrapText="1"/>
    </xf>
    <xf numFmtId="0" fontId="10" fillId="0" borderId="12" xfId="0" applyFont="1" applyBorder="1" applyAlignment="1">
      <alignment wrapText="1"/>
    </xf>
    <xf numFmtId="0" fontId="10" fillId="0" borderId="36" xfId="0" applyFont="1" applyBorder="1" applyAlignment="1">
      <alignment wrapText="1"/>
    </xf>
    <xf numFmtId="4" fontId="10" fillId="6" borderId="70" xfId="0" applyNumberFormat="1" applyFont="1" applyFill="1" applyBorder="1" applyAlignment="1">
      <alignment horizontal="right" vertical="center"/>
    </xf>
    <xf numFmtId="4" fontId="10" fillId="6" borderId="30" xfId="0" applyNumberFormat="1" applyFont="1" applyFill="1" applyBorder="1" applyAlignment="1">
      <alignment horizontal="right" vertical="center"/>
    </xf>
    <xf numFmtId="0" fontId="10" fillId="0" borderId="30" xfId="0" applyFont="1" applyBorder="1" applyAlignment="1">
      <alignment wrapText="1"/>
    </xf>
    <xf numFmtId="2" fontId="12" fillId="10" borderId="60" xfId="0" applyNumberFormat="1" applyFont="1" applyFill="1" applyBorder="1" applyAlignment="1">
      <alignment horizontal="center"/>
    </xf>
    <xf numFmtId="2" fontId="15" fillId="10" borderId="63" xfId="0" applyNumberFormat="1" applyFont="1" applyFill="1" applyBorder="1" applyAlignment="1">
      <alignment horizontal="left" wrapText="1"/>
    </xf>
    <xf numFmtId="2" fontId="15" fillId="10" borderId="49" xfId="0" applyNumberFormat="1" applyFont="1" applyFill="1" applyBorder="1" applyAlignment="1">
      <alignment horizontal="center" wrapText="1"/>
    </xf>
    <xf numFmtId="2" fontId="15" fillId="10" borderId="19" xfId="0" applyNumberFormat="1" applyFont="1" applyFill="1" applyBorder="1" applyAlignment="1">
      <alignment horizontal="center" vertical="center"/>
    </xf>
    <xf numFmtId="4" fontId="15" fillId="10" borderId="3" xfId="0" applyNumberFormat="1" applyFont="1" applyFill="1" applyBorder="1" applyAlignment="1">
      <alignment horizontal="right" vertical="center"/>
    </xf>
    <xf numFmtId="2" fontId="15" fillId="10" borderId="13" xfId="0" applyNumberFormat="1" applyFont="1" applyFill="1" applyBorder="1" applyAlignment="1">
      <alignment horizontal="center" vertical="center"/>
    </xf>
    <xf numFmtId="2" fontId="15" fillId="10" borderId="56" xfId="0" applyNumberFormat="1" applyFont="1" applyFill="1" applyBorder="1" applyAlignment="1">
      <alignment horizontal="center" vertical="center"/>
    </xf>
    <xf numFmtId="2" fontId="15" fillId="10" borderId="40" xfId="0" applyNumberFormat="1" applyFont="1" applyFill="1" applyBorder="1" applyAlignment="1">
      <alignment horizontal="center" vertical="center"/>
    </xf>
    <xf numFmtId="2" fontId="15" fillId="10" borderId="19" xfId="0" applyNumberFormat="1" applyFont="1" applyFill="1" applyBorder="1" applyAlignment="1">
      <alignment horizontal="right" vertical="center"/>
    </xf>
    <xf numFmtId="2" fontId="15" fillId="10" borderId="13" xfId="0" applyNumberFormat="1" applyFont="1" applyFill="1" applyBorder="1" applyAlignment="1">
      <alignment horizontal="right" vertical="center"/>
    </xf>
    <xf numFmtId="4" fontId="15" fillId="10" borderId="12" xfId="0" applyNumberFormat="1" applyFont="1" applyFill="1" applyBorder="1" applyAlignment="1">
      <alignment horizontal="right" vertical="center"/>
    </xf>
    <xf numFmtId="49" fontId="12" fillId="10" borderId="60" xfId="0" applyNumberFormat="1" applyFont="1" applyFill="1" applyBorder="1" applyAlignment="1">
      <alignment horizontal="center"/>
    </xf>
    <xf numFmtId="49" fontId="15" fillId="10" borderId="41" xfId="0" applyNumberFormat="1" applyFont="1" applyFill="1" applyBorder="1" applyAlignment="1">
      <alignment horizontal="center" wrapText="1"/>
    </xf>
    <xf numFmtId="3" fontId="15" fillId="10" borderId="25" xfId="0" applyNumberFormat="1" applyFont="1" applyFill="1" applyBorder="1" applyAlignment="1">
      <alignment horizontal="center" vertical="center"/>
    </xf>
    <xf numFmtId="10" fontId="15" fillId="10" borderId="12" xfId="0" applyNumberFormat="1" applyFont="1" applyFill="1" applyBorder="1" applyAlignment="1">
      <alignment horizontal="center" vertical="center"/>
    </xf>
    <xf numFmtId="10" fontId="15" fillId="10" borderId="42" xfId="0" applyNumberFormat="1" applyFont="1" applyFill="1" applyBorder="1" applyAlignment="1">
      <alignment horizontal="center" vertical="center"/>
    </xf>
    <xf numFmtId="10" fontId="15" fillId="10" borderId="27" xfId="0" applyNumberFormat="1" applyFont="1" applyFill="1" applyBorder="1" applyAlignment="1">
      <alignment horizontal="center" vertical="center"/>
    </xf>
    <xf numFmtId="0" fontId="10" fillId="0" borderId="66" xfId="0" applyFont="1" applyBorder="1" applyAlignment="1">
      <alignment horizontal="left" vertical="center" wrapText="1"/>
    </xf>
    <xf numFmtId="49" fontId="12" fillId="12" borderId="7" xfId="0" applyNumberFormat="1" applyFont="1" applyFill="1" applyBorder="1" applyAlignment="1">
      <alignment horizontal="center"/>
    </xf>
    <xf numFmtId="0" fontId="10" fillId="6" borderId="72" xfId="0" applyFont="1" applyFill="1" applyBorder="1" applyAlignment="1">
      <alignment wrapText="1"/>
    </xf>
    <xf numFmtId="0" fontId="10" fillId="12" borderId="0" xfId="0" applyFont="1" applyFill="1" applyAlignment="1"/>
    <xf numFmtId="49" fontId="12" fillId="12" borderId="60" xfId="0" applyNumberFormat="1" applyFont="1" applyFill="1" applyBorder="1" applyAlignment="1">
      <alignment horizontal="center"/>
    </xf>
    <xf numFmtId="0" fontId="15" fillId="13" borderId="63" xfId="0" applyFont="1" applyFill="1" applyBorder="1" applyAlignment="1">
      <alignment horizontal="left" wrapText="1"/>
    </xf>
    <xf numFmtId="49" fontId="15" fillId="14" borderId="49" xfId="0" applyNumberFormat="1" applyFont="1" applyFill="1" applyBorder="1" applyAlignment="1">
      <alignment horizontal="center" wrapText="1"/>
    </xf>
    <xf numFmtId="3" fontId="12" fillId="14" borderId="19" xfId="0" applyNumberFormat="1" applyFont="1" applyFill="1" applyBorder="1" applyAlignment="1">
      <alignment horizontal="center" vertical="center"/>
    </xf>
    <xf numFmtId="4" fontId="12" fillId="14" borderId="3" xfId="0" applyNumberFormat="1" applyFont="1" applyFill="1" applyBorder="1" applyAlignment="1">
      <alignment horizontal="right" vertical="center"/>
    </xf>
    <xf numFmtId="10" fontId="12" fillId="14" borderId="13" xfId="0" applyNumberFormat="1" applyFont="1" applyFill="1" applyBorder="1" applyAlignment="1">
      <alignment horizontal="center" vertical="center"/>
    </xf>
    <xf numFmtId="10" fontId="12" fillId="14" borderId="56" xfId="0" applyNumberFormat="1" applyFont="1" applyFill="1" applyBorder="1" applyAlignment="1">
      <alignment horizontal="center" vertical="center"/>
    </xf>
    <xf numFmtId="10" fontId="12" fillId="14" borderId="40" xfId="0" applyNumberFormat="1" applyFont="1" applyFill="1" applyBorder="1" applyAlignment="1">
      <alignment horizontal="center" vertical="center"/>
    </xf>
    <xf numFmtId="4" fontId="12" fillId="14" borderId="19" xfId="0" applyNumberFormat="1" applyFont="1" applyFill="1" applyBorder="1" applyAlignment="1">
      <alignment horizontal="right" vertical="center"/>
    </xf>
    <xf numFmtId="4" fontId="12" fillId="14" borderId="13" xfId="0" applyNumberFormat="1" applyFont="1" applyFill="1" applyBorder="1" applyAlignment="1">
      <alignment horizontal="right" vertical="center"/>
    </xf>
    <xf numFmtId="49" fontId="12" fillId="12" borderId="59" xfId="0" applyNumberFormat="1" applyFont="1" applyFill="1" applyBorder="1" applyAlignment="1">
      <alignment horizontal="center"/>
    </xf>
    <xf numFmtId="0" fontId="10" fillId="5" borderId="64" xfId="0" applyFont="1" applyFill="1" applyBorder="1" applyAlignment="1">
      <alignment horizontal="left" wrapText="1"/>
    </xf>
    <xf numFmtId="49" fontId="10" fillId="2" borderId="41" xfId="0" applyNumberFormat="1" applyFont="1" applyFill="1" applyBorder="1" applyAlignment="1">
      <alignment horizontal="center" wrapText="1"/>
    </xf>
    <xf numFmtId="3" fontId="10" fillId="2" borderId="25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right" vertical="center"/>
    </xf>
    <xf numFmtId="10" fontId="10" fillId="2" borderId="12" xfId="0" applyNumberFormat="1" applyFont="1" applyFill="1" applyBorder="1" applyAlignment="1">
      <alignment horizontal="center" vertical="center"/>
    </xf>
    <xf numFmtId="10" fontId="10" fillId="2" borderId="42" xfId="0" applyNumberFormat="1" applyFont="1" applyFill="1" applyBorder="1" applyAlignment="1">
      <alignment horizontal="center" vertical="center"/>
    </xf>
    <xf numFmtId="10" fontId="10" fillId="2" borderId="27" xfId="0" applyNumberFormat="1" applyFont="1" applyFill="1" applyBorder="1" applyAlignment="1">
      <alignment horizontal="center" vertical="center"/>
    </xf>
    <xf numFmtId="4" fontId="10" fillId="2" borderId="25" xfId="0" applyNumberFormat="1" applyFont="1" applyFill="1" applyBorder="1" applyAlignment="1">
      <alignment horizontal="right" vertical="center"/>
    </xf>
    <xf numFmtId="4" fontId="10" fillId="2" borderId="12" xfId="0" applyNumberFormat="1" applyFont="1" applyFill="1" applyBorder="1" applyAlignment="1">
      <alignment horizontal="right" vertical="center"/>
    </xf>
    <xf numFmtId="0" fontId="10" fillId="2" borderId="42" xfId="0" applyFont="1" applyFill="1" applyBorder="1" applyAlignment="1">
      <alignment wrapText="1"/>
    </xf>
    <xf numFmtId="0" fontId="15" fillId="13" borderId="64" xfId="0" applyFont="1" applyFill="1" applyBorder="1" applyAlignment="1">
      <alignment horizontal="left" wrapText="1"/>
    </xf>
    <xf numFmtId="49" fontId="15" fillId="14" borderId="41" xfId="0" applyNumberFormat="1" applyFont="1" applyFill="1" applyBorder="1" applyAlignment="1">
      <alignment horizontal="center" wrapText="1"/>
    </xf>
    <xf numFmtId="3" fontId="15" fillId="14" borderId="25" xfId="0" applyNumberFormat="1" applyFont="1" applyFill="1" applyBorder="1" applyAlignment="1">
      <alignment horizontal="center" vertical="center"/>
    </xf>
    <xf numFmtId="4" fontId="15" fillId="14" borderId="1" xfId="0" applyNumberFormat="1" applyFont="1" applyFill="1" applyBorder="1" applyAlignment="1">
      <alignment horizontal="right" vertical="center"/>
    </xf>
    <xf numFmtId="10" fontId="15" fillId="14" borderId="12" xfId="0" applyNumberFormat="1" applyFont="1" applyFill="1" applyBorder="1" applyAlignment="1">
      <alignment horizontal="center" vertical="center"/>
    </xf>
    <xf numFmtId="10" fontId="15" fillId="14" borderId="42" xfId="0" applyNumberFormat="1" applyFont="1" applyFill="1" applyBorder="1" applyAlignment="1">
      <alignment horizontal="center" vertical="center"/>
    </xf>
    <xf numFmtId="10" fontId="15" fillId="14" borderId="27" xfId="0" applyNumberFormat="1" applyFont="1" applyFill="1" applyBorder="1" applyAlignment="1">
      <alignment horizontal="center" vertical="center"/>
    </xf>
    <xf numFmtId="4" fontId="15" fillId="14" borderId="25" xfId="0" applyNumberFormat="1" applyFont="1" applyFill="1" applyBorder="1" applyAlignment="1">
      <alignment horizontal="right" vertical="center"/>
    </xf>
    <xf numFmtId="4" fontId="15" fillId="14" borderId="12" xfId="0" applyNumberFormat="1" applyFont="1" applyFill="1" applyBorder="1" applyAlignment="1">
      <alignment horizontal="right" vertical="center"/>
    </xf>
    <xf numFmtId="0" fontId="12" fillId="12" borderId="0" xfId="0" applyFont="1" applyFill="1" applyAlignment="1"/>
    <xf numFmtId="0" fontId="10" fillId="5" borderId="64" xfId="2" applyFont="1" applyFill="1" applyBorder="1" applyAlignment="1">
      <alignment horizontal="left" wrapText="1"/>
    </xf>
    <xf numFmtId="164" fontId="10" fillId="0" borderId="14" xfId="0" applyNumberFormat="1" applyFont="1" applyBorder="1" applyAlignment="1">
      <alignment horizontal="center" vertical="center"/>
    </xf>
    <xf numFmtId="0" fontId="15" fillId="11" borderId="64" xfId="0" applyFont="1" applyFill="1" applyBorder="1" applyAlignment="1">
      <alignment horizontal="left" wrapText="1"/>
    </xf>
    <xf numFmtId="4" fontId="15" fillId="10" borderId="25" xfId="0" applyNumberFormat="1" applyFont="1" applyFill="1" applyBorder="1" applyAlignment="1">
      <alignment horizontal="center" vertical="center"/>
    </xf>
    <xf numFmtId="3" fontId="15" fillId="10" borderId="64" xfId="0" applyNumberFormat="1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left" wrapText="1"/>
    </xf>
    <xf numFmtId="49" fontId="15" fillId="10" borderId="1" xfId="0" applyNumberFormat="1" applyFont="1" applyFill="1" applyBorder="1" applyAlignment="1">
      <alignment horizontal="center" wrapText="1"/>
    </xf>
    <xf numFmtId="3" fontId="15" fillId="10" borderId="1" xfId="0" applyNumberFormat="1" applyFont="1" applyFill="1" applyBorder="1" applyAlignment="1">
      <alignment horizontal="center" vertical="center"/>
    </xf>
    <xf numFmtId="10" fontId="15" fillId="10" borderId="1" xfId="0" applyNumberFormat="1" applyFont="1" applyFill="1" applyBorder="1" applyAlignment="1">
      <alignment horizontal="center" vertical="center"/>
    </xf>
    <xf numFmtId="4" fontId="15" fillId="10" borderId="42" xfId="0" applyNumberFormat="1" applyFont="1" applyFill="1" applyBorder="1" applyAlignment="1">
      <alignment horizontal="right" vertical="center"/>
    </xf>
    <xf numFmtId="0" fontId="10" fillId="5" borderId="6" xfId="0" applyFont="1" applyFill="1" applyBorder="1" applyAlignment="1">
      <alignment horizontal="left" wrapText="1"/>
    </xf>
    <xf numFmtId="164" fontId="10" fillId="0" borderId="6" xfId="0" applyNumberFormat="1" applyFont="1" applyBorder="1" applyAlignment="1">
      <alignment horizontal="center" vertical="center"/>
    </xf>
    <xf numFmtId="49" fontId="12" fillId="6" borderId="60" xfId="0" applyNumberFormat="1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 wrapText="1"/>
    </xf>
    <xf numFmtId="49" fontId="12" fillId="6" borderId="5" xfId="0" applyNumberFormat="1" applyFont="1" applyFill="1" applyBorder="1" applyAlignment="1">
      <alignment horizontal="center" wrapText="1"/>
    </xf>
    <xf numFmtId="4" fontId="12" fillId="6" borderId="58" xfId="0" applyNumberFormat="1" applyFont="1" applyFill="1" applyBorder="1" applyAlignment="1">
      <alignment horizontal="right" vertical="center"/>
    </xf>
    <xf numFmtId="0" fontId="18" fillId="9" borderId="11" xfId="0" applyFont="1" applyFill="1" applyBorder="1" applyAlignment="1">
      <alignment horizontal="left" wrapText="1"/>
    </xf>
    <xf numFmtId="49" fontId="18" fillId="7" borderId="33" xfId="0" applyNumberFormat="1" applyFont="1" applyFill="1" applyBorder="1" applyAlignment="1">
      <alignment horizontal="center" wrapText="1"/>
    </xf>
    <xf numFmtId="3" fontId="10" fillId="7" borderId="33" xfId="0" applyNumberFormat="1" applyFont="1" applyFill="1" applyBorder="1" applyAlignment="1">
      <alignment horizontal="center" vertical="center"/>
    </xf>
    <xf numFmtId="4" fontId="10" fillId="7" borderId="33" xfId="0" applyNumberFormat="1" applyFont="1" applyFill="1" applyBorder="1" applyAlignment="1">
      <alignment horizontal="right" vertical="center"/>
    </xf>
    <xf numFmtId="10" fontId="10" fillId="7" borderId="33" xfId="0" applyNumberFormat="1" applyFont="1" applyFill="1" applyBorder="1" applyAlignment="1">
      <alignment horizontal="center" vertical="center"/>
    </xf>
    <xf numFmtId="10" fontId="10" fillId="7" borderId="57" xfId="0" applyNumberFormat="1" applyFont="1" applyFill="1" applyBorder="1" applyAlignment="1">
      <alignment horizontal="center" vertical="center"/>
    </xf>
    <xf numFmtId="4" fontId="10" fillId="7" borderId="56" xfId="0" applyNumberFormat="1" applyFont="1" applyFill="1" applyBorder="1" applyAlignment="1">
      <alignment horizontal="right" vertical="center"/>
    </xf>
    <xf numFmtId="4" fontId="10" fillId="7" borderId="13" xfId="0" applyNumberFormat="1" applyFont="1" applyFill="1" applyBorder="1" applyAlignment="1">
      <alignment horizontal="right" vertical="center"/>
    </xf>
    <xf numFmtId="4" fontId="12" fillId="14" borderId="56" xfId="0" applyNumberFormat="1" applyFont="1" applyFill="1" applyBorder="1" applyAlignment="1">
      <alignment wrapText="1"/>
    </xf>
    <xf numFmtId="0" fontId="10" fillId="5" borderId="15" xfId="2" applyFont="1" applyFill="1" applyBorder="1" applyAlignment="1">
      <alignment horizontal="left" wrapText="1"/>
    </xf>
    <xf numFmtId="49" fontId="10" fillId="0" borderId="9" xfId="0" applyNumberFormat="1" applyFont="1" applyBorder="1" applyAlignment="1">
      <alignment horizontal="center" wrapText="1"/>
    </xf>
    <xf numFmtId="4" fontId="10" fillId="0" borderId="42" xfId="0" applyNumberFormat="1" applyFont="1" applyBorder="1" applyAlignment="1">
      <alignment horizontal="right" vertical="center"/>
    </xf>
    <xf numFmtId="0" fontId="15" fillId="9" borderId="4" xfId="0" applyFont="1" applyFill="1" applyBorder="1" applyAlignment="1">
      <alignment horizontal="left" wrapText="1"/>
    </xf>
    <xf numFmtId="49" fontId="15" fillId="7" borderId="5" xfId="0" applyNumberFormat="1" applyFont="1" applyFill="1" applyBorder="1" applyAlignment="1">
      <alignment horizontal="center" wrapText="1"/>
    </xf>
    <xf numFmtId="3" fontId="15" fillId="7" borderId="5" xfId="0" applyNumberFormat="1" applyFont="1" applyFill="1" applyBorder="1" applyAlignment="1">
      <alignment horizontal="center" vertical="center"/>
    </xf>
    <xf numFmtId="4" fontId="15" fillId="7" borderId="5" xfId="0" applyNumberFormat="1" applyFont="1" applyFill="1" applyBorder="1" applyAlignment="1">
      <alignment horizontal="right" vertical="center"/>
    </xf>
    <xf numFmtId="10" fontId="15" fillId="7" borderId="5" xfId="0" applyNumberFormat="1" applyFont="1" applyFill="1" applyBorder="1" applyAlignment="1">
      <alignment horizontal="center" vertical="center"/>
    </xf>
    <xf numFmtId="10" fontId="15" fillId="7" borderId="8" xfId="0" applyNumberFormat="1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left" wrapText="1"/>
    </xf>
    <xf numFmtId="4" fontId="10" fillId="0" borderId="9" xfId="0" applyNumberFormat="1" applyFont="1" applyBorder="1" applyAlignment="1">
      <alignment horizontal="center" vertical="center"/>
    </xf>
    <xf numFmtId="49" fontId="10" fillId="7" borderId="5" xfId="0" applyNumberFormat="1" applyFont="1" applyFill="1" applyBorder="1" applyAlignment="1">
      <alignment horizontal="center" wrapText="1"/>
    </xf>
    <xf numFmtId="3" fontId="10" fillId="7" borderId="5" xfId="0" applyNumberFormat="1" applyFont="1" applyFill="1" applyBorder="1" applyAlignment="1">
      <alignment horizontal="center" vertical="center"/>
    </xf>
    <xf numFmtId="4" fontId="10" fillId="7" borderId="5" xfId="0" applyNumberFormat="1" applyFont="1" applyFill="1" applyBorder="1" applyAlignment="1">
      <alignment horizontal="right" vertical="center"/>
    </xf>
    <xf numFmtId="10" fontId="10" fillId="7" borderId="5" xfId="0" applyNumberFormat="1" applyFont="1" applyFill="1" applyBorder="1" applyAlignment="1">
      <alignment horizontal="center" vertical="center"/>
    </xf>
    <xf numFmtId="10" fontId="10" fillId="7" borderId="8" xfId="0" applyNumberFormat="1" applyFont="1" applyFill="1" applyBorder="1" applyAlignment="1">
      <alignment horizontal="center" vertical="center"/>
    </xf>
    <xf numFmtId="4" fontId="10" fillId="7" borderId="42" xfId="0" applyNumberFormat="1" applyFont="1" applyFill="1" applyBorder="1" applyAlignment="1">
      <alignment horizontal="right" vertical="center"/>
    </xf>
    <xf numFmtId="49" fontId="10" fillId="0" borderId="3" xfId="0" applyNumberFormat="1" applyFont="1" applyBorder="1" applyAlignment="1">
      <alignment horizontal="center" wrapText="1"/>
    </xf>
    <xf numFmtId="4" fontId="10" fillId="0" borderId="17" xfId="0" applyNumberFormat="1" applyFont="1" applyBorder="1" applyAlignment="1">
      <alignment horizontal="right" vertical="center"/>
    </xf>
    <xf numFmtId="4" fontId="10" fillId="0" borderId="8" xfId="0" applyNumberFormat="1" applyFont="1" applyBorder="1" applyAlignment="1">
      <alignment horizontal="right" vertical="center"/>
    </xf>
    <xf numFmtId="0" fontId="10" fillId="0" borderId="56" xfId="0" applyFont="1" applyBorder="1" applyAlignment="1">
      <alignment wrapText="1"/>
    </xf>
    <xf numFmtId="0" fontId="12" fillId="8" borderId="1" xfId="0" applyFont="1" applyFill="1" applyBorder="1" applyAlignment="1">
      <alignment horizontal="center" wrapText="1"/>
    </xf>
    <xf numFmtId="4" fontId="12" fillId="6" borderId="51" xfId="0" applyNumberFormat="1" applyFont="1" applyFill="1" applyBorder="1" applyAlignment="1">
      <alignment horizontal="right" vertical="center"/>
    </xf>
    <xf numFmtId="4" fontId="12" fillId="6" borderId="48" xfId="0" applyNumberFormat="1" applyFont="1" applyFill="1" applyBorder="1" applyAlignment="1">
      <alignment horizontal="right" vertical="center"/>
    </xf>
    <xf numFmtId="0" fontId="10" fillId="0" borderId="73" xfId="0" applyFont="1" applyBorder="1" applyAlignment="1">
      <alignment wrapText="1"/>
    </xf>
    <xf numFmtId="0" fontId="15" fillId="11" borderId="1" xfId="0" applyFont="1" applyFill="1" applyBorder="1" applyAlignment="1">
      <alignment horizontal="center" wrapText="1"/>
    </xf>
    <xf numFmtId="49" fontId="15" fillId="11" borderId="1" xfId="0" applyNumberFormat="1" applyFont="1" applyFill="1" applyBorder="1" applyAlignment="1">
      <alignment horizontal="center" wrapText="1"/>
    </xf>
    <xf numFmtId="0" fontId="12" fillId="10" borderId="74" xfId="0" applyFont="1" applyFill="1" applyBorder="1" applyAlignment="1">
      <alignment wrapText="1"/>
    </xf>
    <xf numFmtId="49" fontId="10" fillId="5" borderId="1" xfId="0" applyNumberFormat="1" applyFont="1" applyFill="1" applyBorder="1" applyAlignment="1">
      <alignment horizontal="left" wrapText="1"/>
    </xf>
    <xf numFmtId="164" fontId="10" fillId="0" borderId="1" xfId="0" applyNumberFormat="1" applyFont="1" applyBorder="1" applyAlignment="1">
      <alignment horizontal="center" vertical="center"/>
    </xf>
    <xf numFmtId="4" fontId="10" fillId="0" borderId="74" xfId="0" applyNumberFormat="1" applyFont="1" applyBorder="1" applyAlignment="1">
      <alignment wrapText="1"/>
    </xf>
    <xf numFmtId="4" fontId="10" fillId="0" borderId="55" xfId="0" applyNumberFormat="1" applyFont="1" applyBorder="1" applyAlignment="1">
      <alignment horizontal="right" vertical="center"/>
    </xf>
    <xf numFmtId="4" fontId="10" fillId="0" borderId="75" xfId="0" applyNumberFormat="1" applyFont="1" applyBorder="1" applyAlignment="1">
      <alignment wrapText="1"/>
    </xf>
    <xf numFmtId="49" fontId="12" fillId="6" borderId="20" xfId="0" applyNumberFormat="1" applyFont="1" applyFill="1" applyBorder="1" applyAlignment="1">
      <alignment horizontal="center"/>
    </xf>
    <xf numFmtId="49" fontId="12" fillId="0" borderId="60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6" borderId="18" xfId="0" applyFont="1" applyFill="1" applyBorder="1" applyAlignment="1">
      <alignment horizontal="center" vertical="top" wrapText="1"/>
    </xf>
    <xf numFmtId="0" fontId="10" fillId="0" borderId="19" xfId="0" applyFont="1" applyBorder="1" applyAlignment="1">
      <alignment horizontal="left" vertical="top" wrapText="1"/>
    </xf>
    <xf numFmtId="0" fontId="10" fillId="0" borderId="25" xfId="0" applyFont="1" applyBorder="1" applyAlignment="1">
      <alignment horizontal="left" vertical="top" wrapText="1"/>
    </xf>
    <xf numFmtId="49" fontId="10" fillId="0" borderId="35" xfId="0" applyNumberFormat="1" applyFont="1" applyBorder="1" applyAlignment="1">
      <alignment horizontal="center" wrapText="1"/>
    </xf>
    <xf numFmtId="164" fontId="10" fillId="0" borderId="36" xfId="0" applyNumberFormat="1" applyFont="1" applyBorder="1" applyAlignment="1">
      <alignment horizontal="center" vertical="center"/>
    </xf>
    <xf numFmtId="4" fontId="10" fillId="0" borderId="55" xfId="0" applyNumberFormat="1" applyFont="1" applyBorder="1" applyAlignment="1">
      <alignment horizontal="center" vertical="center"/>
    </xf>
    <xf numFmtId="164" fontId="10" fillId="0" borderId="47" xfId="0" applyNumberFormat="1" applyFont="1" applyBorder="1" applyAlignment="1">
      <alignment horizontal="center" vertical="center"/>
    </xf>
    <xf numFmtId="49" fontId="12" fillId="6" borderId="38" xfId="0" applyNumberFormat="1" applyFont="1" applyFill="1" applyBorder="1" applyAlignment="1">
      <alignment horizontal="left" vertical="center" wrapText="1"/>
    </xf>
    <xf numFmtId="49" fontId="10" fillId="8" borderId="50" xfId="0" applyNumberFormat="1" applyFont="1" applyFill="1" applyBorder="1" applyAlignment="1">
      <alignment horizontal="center" wrapText="1"/>
    </xf>
    <xf numFmtId="3" fontId="12" fillId="6" borderId="38" xfId="0" applyNumberFormat="1" applyFont="1" applyFill="1" applyBorder="1" applyAlignment="1">
      <alignment horizontal="center" vertical="center"/>
    </xf>
    <xf numFmtId="4" fontId="12" fillId="6" borderId="50" xfId="0" applyNumberFormat="1" applyFont="1" applyFill="1" applyBorder="1" applyAlignment="1">
      <alignment horizontal="right" vertical="center"/>
    </xf>
    <xf numFmtId="3" fontId="12" fillId="6" borderId="78" xfId="0" applyNumberFormat="1" applyFont="1" applyFill="1" applyBorder="1" applyAlignment="1">
      <alignment horizontal="center" vertical="center"/>
    </xf>
    <xf numFmtId="49" fontId="10" fillId="2" borderId="19" xfId="0" applyNumberFormat="1" applyFont="1" applyFill="1" applyBorder="1" applyAlignment="1">
      <alignment horizontal="left" vertical="center" wrapText="1"/>
    </xf>
    <xf numFmtId="49" fontId="10" fillId="2" borderId="25" xfId="0" applyNumberFormat="1" applyFont="1" applyFill="1" applyBorder="1" applyAlignment="1">
      <alignment horizontal="left" vertical="center" wrapText="1"/>
    </xf>
    <xf numFmtId="49" fontId="10" fillId="2" borderId="34" xfId="0" applyNumberFormat="1" applyFont="1" applyFill="1" applyBorder="1" applyAlignment="1">
      <alignment horizontal="left" vertical="center" wrapText="1"/>
    </xf>
    <xf numFmtId="49" fontId="10" fillId="2" borderId="3" xfId="0" applyNumberFormat="1" applyFont="1" applyFill="1" applyBorder="1" applyAlignment="1">
      <alignment horizontal="left" vertical="center" wrapText="1"/>
    </xf>
    <xf numFmtId="49" fontId="10" fillId="2" borderId="26" xfId="0" applyNumberFormat="1" applyFont="1" applyFill="1" applyBorder="1" applyAlignment="1">
      <alignment horizontal="left" vertical="center" wrapText="1"/>
    </xf>
    <xf numFmtId="49" fontId="12" fillId="6" borderId="7" xfId="0" applyNumberFormat="1" applyFont="1" applyFill="1" applyBorder="1" applyAlignment="1">
      <alignment horizontal="left" vertical="center" wrapText="1"/>
    </xf>
    <xf numFmtId="49" fontId="10" fillId="8" borderId="5" xfId="0" applyNumberFormat="1" applyFont="1" applyFill="1" applyBorder="1" applyAlignment="1">
      <alignment horizontal="center" wrapText="1"/>
    </xf>
    <xf numFmtId="3" fontId="12" fillId="6" borderId="18" xfId="0" applyNumberFormat="1" applyFont="1" applyFill="1" applyBorder="1" applyAlignment="1">
      <alignment horizontal="center" vertical="center"/>
    </xf>
    <xf numFmtId="0" fontId="10" fillId="0" borderId="67" xfId="0" applyFont="1" applyBorder="1" applyAlignment="1">
      <alignment horizontal="left" wrapText="1"/>
    </xf>
    <xf numFmtId="49" fontId="15" fillId="3" borderId="7" xfId="0" applyNumberFormat="1" applyFont="1" applyFill="1" applyBorder="1" applyAlignment="1">
      <alignment horizontal="center" vertical="center"/>
    </xf>
    <xf numFmtId="49" fontId="15" fillId="3" borderId="18" xfId="0" applyNumberFormat="1" applyFont="1" applyFill="1" applyBorder="1" applyAlignment="1">
      <alignment horizontal="center" vertical="center" wrapText="1"/>
    </xf>
    <xf numFmtId="0" fontId="15" fillId="3" borderId="43" xfId="0" applyFont="1" applyFill="1" applyBorder="1" applyAlignment="1">
      <alignment horizontal="center" vertical="center"/>
    </xf>
    <xf numFmtId="3" fontId="15" fillId="3" borderId="4" xfId="0" applyNumberFormat="1" applyFont="1" applyFill="1" applyBorder="1" applyAlignment="1">
      <alignment horizontal="center" vertical="center"/>
    </xf>
    <xf numFmtId="4" fontId="15" fillId="3" borderId="5" xfId="0" applyNumberFormat="1" applyFont="1" applyFill="1" applyBorder="1" applyAlignment="1">
      <alignment horizontal="center" vertical="center"/>
    </xf>
    <xf numFmtId="3" fontId="15" fillId="3" borderId="8" xfId="0" applyNumberFormat="1" applyFont="1" applyFill="1" applyBorder="1" applyAlignment="1">
      <alignment horizontal="center" vertical="center"/>
    </xf>
    <xf numFmtId="3" fontId="15" fillId="3" borderId="39" xfId="0" applyNumberFormat="1" applyFont="1" applyFill="1" applyBorder="1" applyAlignment="1">
      <alignment horizontal="center" vertical="center"/>
    </xf>
    <xf numFmtId="3" fontId="15" fillId="3" borderId="29" xfId="0" applyNumberFormat="1" applyFont="1" applyFill="1" applyBorder="1" applyAlignment="1">
      <alignment horizontal="center" vertical="center"/>
    </xf>
    <xf numFmtId="3" fontId="15" fillId="3" borderId="48" xfId="0" applyNumberFormat="1" applyFont="1" applyFill="1" applyBorder="1" applyAlignment="1">
      <alignment horizontal="center" vertical="center"/>
    </xf>
    <xf numFmtId="49" fontId="12" fillId="0" borderId="61" xfId="0" applyNumberFormat="1" applyFont="1" applyBorder="1" applyAlignment="1">
      <alignment horizontal="center" vertical="center"/>
    </xf>
    <xf numFmtId="49" fontId="10" fillId="0" borderId="64" xfId="0" applyNumberFormat="1" applyFont="1" applyBorder="1" applyAlignment="1">
      <alignment wrapText="1"/>
    </xf>
    <xf numFmtId="164" fontId="10" fillId="0" borderId="2" xfId="0" applyNumberFormat="1" applyFont="1" applyBorder="1" applyAlignment="1">
      <alignment horizontal="right" vertical="center"/>
    </xf>
    <xf numFmtId="164" fontId="18" fillId="0" borderId="12" xfId="0" applyNumberFormat="1" applyFont="1" applyBorder="1" applyAlignment="1">
      <alignment horizontal="right" vertical="center"/>
    </xf>
    <xf numFmtId="49" fontId="12" fillId="0" borderId="59" xfId="0" applyNumberFormat="1" applyFont="1" applyBorder="1" applyAlignment="1">
      <alignment horizontal="center" vertical="center"/>
    </xf>
    <xf numFmtId="49" fontId="10" fillId="0" borderId="64" xfId="0" applyNumberFormat="1" applyFont="1" applyBorder="1" applyAlignment="1">
      <alignment vertical="center" wrapText="1"/>
    </xf>
    <xf numFmtId="4" fontId="10" fillId="0" borderId="25" xfId="0" applyNumberFormat="1" applyFont="1" applyFill="1" applyBorder="1" applyAlignment="1">
      <alignment horizontal="right" vertical="center"/>
    </xf>
    <xf numFmtId="4" fontId="18" fillId="0" borderId="12" xfId="0" applyNumberFormat="1" applyFont="1" applyBorder="1" applyAlignment="1">
      <alignment horizontal="right" vertical="center"/>
    </xf>
    <xf numFmtId="4" fontId="18" fillId="0" borderId="14" xfId="0" applyNumberFormat="1" applyFont="1" applyBorder="1" applyAlignment="1">
      <alignment horizontal="right" vertical="center"/>
    </xf>
    <xf numFmtId="49" fontId="12" fillId="4" borderId="59" xfId="0" applyNumberFormat="1" applyFont="1" applyFill="1" applyBorder="1" applyAlignment="1">
      <alignment horizontal="center"/>
    </xf>
    <xf numFmtId="49" fontId="12" fillId="4" borderId="61" xfId="0" applyNumberFormat="1" applyFont="1" applyFill="1" applyBorder="1" applyAlignment="1">
      <alignment horizontal="center"/>
    </xf>
    <xf numFmtId="0" fontId="12" fillId="4" borderId="66" xfId="0" applyFont="1" applyFill="1" applyBorder="1" applyAlignment="1"/>
    <xf numFmtId="0" fontId="12" fillId="4" borderId="22" xfId="0" applyFont="1" applyFill="1" applyBorder="1" applyAlignment="1">
      <alignment horizontal="center" vertical="center"/>
    </xf>
    <xf numFmtId="4" fontId="12" fillId="4" borderId="16" xfId="0" applyNumberFormat="1" applyFont="1" applyFill="1" applyBorder="1" applyAlignment="1">
      <alignment horizontal="center" vertical="center"/>
    </xf>
    <xf numFmtId="4" fontId="12" fillId="4" borderId="33" xfId="0" applyNumberFormat="1" applyFont="1" applyFill="1" applyBorder="1" applyAlignment="1">
      <alignment horizontal="center" vertical="center"/>
    </xf>
    <xf numFmtId="4" fontId="12" fillId="4" borderId="46" xfId="0" applyNumberFormat="1" applyFont="1" applyFill="1" applyBorder="1" applyAlignment="1">
      <alignment horizontal="center" vertical="center"/>
    </xf>
    <xf numFmtId="49" fontId="15" fillId="0" borderId="53" xfId="0" applyNumberFormat="1" applyFont="1" applyBorder="1" applyAlignment="1"/>
    <xf numFmtId="0" fontId="15" fillId="0" borderId="65" xfId="0" applyFont="1" applyBorder="1" applyAlignment="1"/>
    <xf numFmtId="0" fontId="15" fillId="0" borderId="55" xfId="0" applyFont="1" applyBorder="1" applyAlignment="1">
      <alignment vertical="center"/>
    </xf>
    <xf numFmtId="4" fontId="15" fillId="0" borderId="33" xfId="0" applyNumberFormat="1" applyFont="1" applyBorder="1" applyAlignment="1">
      <alignment horizontal="right" vertical="center"/>
    </xf>
    <xf numFmtId="0" fontId="15" fillId="0" borderId="42" xfId="0" applyFont="1" applyBorder="1" applyAlignment="1">
      <alignment wrapText="1"/>
    </xf>
    <xf numFmtId="0" fontId="15" fillId="0" borderId="0" xfId="0" applyFont="1" applyAlignment="1"/>
    <xf numFmtId="49" fontId="10" fillId="0" borderId="0" xfId="0" applyNumberFormat="1" applyFont="1" applyAlignment="1"/>
    <xf numFmtId="0" fontId="10" fillId="0" borderId="0" xfId="0" applyFont="1" applyAlignment="1">
      <alignment horizontal="center" vertical="center"/>
    </xf>
    <xf numFmtId="4" fontId="20" fillId="6" borderId="5" xfId="0" applyNumberFormat="1" applyFont="1" applyFill="1" applyBorder="1" applyAlignment="1">
      <alignment horizontal="right" vertical="center"/>
    </xf>
    <xf numFmtId="4" fontId="21" fillId="10" borderId="3" xfId="0" applyNumberFormat="1" applyFont="1" applyFill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4" fontId="21" fillId="10" borderId="1" xfId="0" applyNumberFormat="1" applyFont="1" applyFill="1" applyBorder="1" applyAlignment="1">
      <alignment horizontal="right" vertical="center"/>
    </xf>
    <xf numFmtId="4" fontId="9" fillId="7" borderId="1" xfId="0" applyNumberFormat="1" applyFont="1" applyFill="1" applyBorder="1" applyAlignment="1">
      <alignment horizontal="right" vertical="center"/>
    </xf>
    <xf numFmtId="4" fontId="9" fillId="0" borderId="35" xfId="0" applyNumberFormat="1" applyFont="1" applyBorder="1" applyAlignment="1">
      <alignment horizontal="right" vertical="center"/>
    </xf>
    <xf numFmtId="4" fontId="9" fillId="0" borderId="6" xfId="0" applyNumberFormat="1" applyFont="1" applyBorder="1" applyAlignment="1">
      <alignment horizontal="right" vertical="center"/>
    </xf>
    <xf numFmtId="4" fontId="9" fillId="0" borderId="3" xfId="0" applyNumberFormat="1" applyFont="1" applyBorder="1" applyAlignment="1">
      <alignment horizontal="right" vertical="center"/>
    </xf>
    <xf numFmtId="4" fontId="9" fillId="0" borderId="9" xfId="0" applyNumberFormat="1" applyFont="1" applyBorder="1" applyAlignment="1">
      <alignment horizontal="right" vertical="center"/>
    </xf>
    <xf numFmtId="4" fontId="20" fillId="14" borderId="3" xfId="0" applyNumberFormat="1" applyFont="1" applyFill="1" applyBorder="1" applyAlignment="1">
      <alignment horizontal="right" vertical="center"/>
    </xf>
    <xf numFmtId="4" fontId="9" fillId="2" borderId="1" xfId="0" applyNumberFormat="1" applyFont="1" applyFill="1" applyBorder="1" applyAlignment="1">
      <alignment horizontal="right" vertical="center"/>
    </xf>
    <xf numFmtId="4" fontId="21" fillId="14" borderId="1" xfId="0" applyNumberFormat="1" applyFont="1" applyFill="1" applyBorder="1" applyAlignment="1">
      <alignment horizontal="right" vertical="center"/>
    </xf>
    <xf numFmtId="3" fontId="21" fillId="10" borderId="25" xfId="0" applyNumberFormat="1" applyFont="1" applyFill="1" applyBorder="1" applyAlignment="1">
      <alignment horizontal="center" vertical="center"/>
    </xf>
    <xf numFmtId="4" fontId="9" fillId="7" borderId="33" xfId="0" applyNumberFormat="1" applyFont="1" applyFill="1" applyBorder="1" applyAlignment="1">
      <alignment horizontal="right" vertical="center"/>
    </xf>
    <xf numFmtId="4" fontId="21" fillId="7" borderId="5" xfId="0" applyNumberFormat="1" applyFont="1" applyFill="1" applyBorder="1" applyAlignment="1">
      <alignment horizontal="right" vertical="center"/>
    </xf>
    <xf numFmtId="4" fontId="9" fillId="7" borderId="5" xfId="0" applyNumberFormat="1" applyFont="1" applyFill="1" applyBorder="1" applyAlignment="1">
      <alignment horizontal="right" vertical="center"/>
    </xf>
    <xf numFmtId="4" fontId="20" fillId="6" borderId="1" xfId="0" applyNumberFormat="1" applyFont="1" applyFill="1" applyBorder="1" applyAlignment="1">
      <alignment horizontal="right" vertical="center"/>
    </xf>
    <xf numFmtId="4" fontId="20" fillId="6" borderId="33" xfId="0" applyNumberFormat="1" applyFont="1" applyFill="1" applyBorder="1" applyAlignment="1">
      <alignment horizontal="right" vertical="center"/>
    </xf>
    <xf numFmtId="4" fontId="9" fillId="0" borderId="33" xfId="0" applyNumberFormat="1" applyFont="1" applyBorder="1" applyAlignment="1">
      <alignment horizontal="right" vertical="center"/>
    </xf>
    <xf numFmtId="4" fontId="20" fillId="6" borderId="50" xfId="0" applyNumberFormat="1" applyFont="1" applyFill="1" applyBorder="1" applyAlignment="1">
      <alignment horizontal="right" vertical="center"/>
    </xf>
    <xf numFmtId="4" fontId="21" fillId="3" borderId="5" xfId="0" applyNumberFormat="1" applyFont="1" applyFill="1" applyBorder="1" applyAlignment="1">
      <alignment horizontal="center" vertical="center"/>
    </xf>
    <xf numFmtId="4" fontId="20" fillId="4" borderId="35" xfId="0" applyNumberFormat="1" applyFont="1" applyFill="1" applyBorder="1" applyAlignment="1">
      <alignment horizontal="center" vertical="center"/>
    </xf>
    <xf numFmtId="49" fontId="17" fillId="0" borderId="64" xfId="0" applyNumberFormat="1" applyFont="1" applyBorder="1" applyAlignment="1">
      <alignment wrapText="1"/>
    </xf>
    <xf numFmtId="49" fontId="17" fillId="0" borderId="41" xfId="0" applyNumberFormat="1" applyFont="1" applyBorder="1" applyAlignment="1">
      <alignment horizontal="center" wrapText="1"/>
    </xf>
    <xf numFmtId="4" fontId="17" fillId="0" borderId="25" xfId="0" applyNumberFormat="1" applyFont="1" applyBorder="1" applyAlignment="1">
      <alignment horizontal="right" vertical="center"/>
    </xf>
    <xf numFmtId="4" fontId="17" fillId="0" borderId="1" xfId="0" applyNumberFormat="1" applyFont="1" applyBorder="1" applyAlignment="1">
      <alignment horizontal="right" vertical="center"/>
    </xf>
    <xf numFmtId="164" fontId="17" fillId="0" borderId="12" xfId="0" applyNumberFormat="1" applyFont="1" applyBorder="1" applyAlignment="1">
      <alignment horizontal="right" vertical="center"/>
    </xf>
    <xf numFmtId="164" fontId="17" fillId="0" borderId="27" xfId="0" applyNumberFormat="1" applyFont="1" applyBorder="1" applyAlignment="1">
      <alignment horizontal="right" vertical="center"/>
    </xf>
    <xf numFmtId="164" fontId="22" fillId="0" borderId="12" xfId="0" applyNumberFormat="1" applyFont="1" applyBorder="1" applyAlignment="1">
      <alignment horizontal="right" vertical="center"/>
    </xf>
    <xf numFmtId="4" fontId="17" fillId="0" borderId="19" xfId="0" applyNumberFormat="1" applyFont="1" applyBorder="1" applyAlignment="1">
      <alignment horizontal="right" vertical="center"/>
    </xf>
    <xf numFmtId="4" fontId="17" fillId="0" borderId="13" xfId="0" applyNumberFormat="1" applyFont="1" applyBorder="1" applyAlignment="1">
      <alignment horizontal="right" vertical="center"/>
    </xf>
    <xf numFmtId="0" fontId="17" fillId="0" borderId="42" xfId="0" applyFont="1" applyBorder="1" applyAlignment="1">
      <alignment wrapText="1"/>
    </xf>
    <xf numFmtId="0" fontId="16" fillId="6" borderId="18" xfId="0" applyFont="1" applyFill="1" applyBorder="1" applyAlignment="1">
      <alignment horizontal="center" wrapText="1"/>
    </xf>
    <xf numFmtId="49" fontId="16" fillId="6" borderId="43" xfId="0" applyNumberFormat="1" applyFont="1" applyFill="1" applyBorder="1" applyAlignment="1">
      <alignment horizontal="center" wrapText="1"/>
    </xf>
    <xf numFmtId="3" fontId="16" fillId="6" borderId="4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right" vertical="center"/>
    </xf>
    <xf numFmtId="10" fontId="16" fillId="6" borderId="8" xfId="0" applyNumberFormat="1" applyFont="1" applyFill="1" applyBorder="1" applyAlignment="1">
      <alignment horizontal="center" vertical="center"/>
    </xf>
    <xf numFmtId="3" fontId="16" fillId="6" borderId="58" xfId="0" applyNumberFormat="1" applyFont="1" applyFill="1" applyBorder="1" applyAlignment="1">
      <alignment horizontal="center" vertical="center"/>
    </xf>
    <xf numFmtId="3" fontId="16" fillId="6" borderId="8" xfId="0" applyNumberFormat="1" applyFont="1" applyFill="1" applyBorder="1" applyAlignment="1">
      <alignment horizontal="center" vertical="center"/>
    </xf>
    <xf numFmtId="4" fontId="16" fillId="6" borderId="4" xfId="0" applyNumberFormat="1" applyFont="1" applyFill="1" applyBorder="1" applyAlignment="1">
      <alignment horizontal="right" vertical="center"/>
    </xf>
    <xf numFmtId="4" fontId="16" fillId="6" borderId="8" xfId="0" applyNumberFormat="1" applyFont="1" applyFill="1" applyBorder="1" applyAlignment="1">
      <alignment horizontal="right" vertical="center"/>
    </xf>
    <xf numFmtId="0" fontId="17" fillId="0" borderId="63" xfId="0" applyFont="1" applyBorder="1" applyAlignment="1">
      <alignment wrapText="1"/>
    </xf>
    <xf numFmtId="49" fontId="17" fillId="0" borderId="49" xfId="0" applyNumberFormat="1" applyFont="1" applyBorder="1" applyAlignment="1">
      <alignment horizontal="center" wrapText="1"/>
    </xf>
    <xf numFmtId="3" fontId="17" fillId="0" borderId="19" xfId="0" applyNumberFormat="1" applyFont="1" applyBorder="1" applyAlignment="1">
      <alignment horizontal="center" vertical="center"/>
    </xf>
    <xf numFmtId="4" fontId="17" fillId="0" borderId="3" xfId="0" applyNumberFormat="1" applyFont="1" applyBorder="1" applyAlignment="1">
      <alignment horizontal="right" vertical="center"/>
    </xf>
    <xf numFmtId="10" fontId="17" fillId="0" borderId="13" xfId="0" applyNumberFormat="1" applyFont="1" applyBorder="1" applyAlignment="1">
      <alignment horizontal="center" vertical="center"/>
    </xf>
    <xf numFmtId="164" fontId="17" fillId="0" borderId="13" xfId="0" applyNumberFormat="1" applyFont="1" applyBorder="1" applyAlignment="1">
      <alignment horizontal="center" vertical="center"/>
    </xf>
    <xf numFmtId="3" fontId="17" fillId="0" borderId="56" xfId="0" applyNumberFormat="1" applyFont="1" applyBorder="1" applyAlignment="1">
      <alignment horizontal="center" vertical="center"/>
    </xf>
    <xf numFmtId="10" fontId="17" fillId="0" borderId="40" xfId="0" applyNumberFormat="1" applyFont="1" applyBorder="1" applyAlignment="1">
      <alignment horizontal="center" vertical="center"/>
    </xf>
    <xf numFmtId="0" fontId="17" fillId="0" borderId="66" xfId="0" applyFont="1" applyBorder="1" applyAlignment="1">
      <alignment wrapText="1"/>
    </xf>
    <xf numFmtId="49" fontId="17" fillId="0" borderId="22" xfId="0" applyNumberFormat="1" applyFont="1" applyBorder="1" applyAlignment="1">
      <alignment horizontal="center" wrapText="1"/>
    </xf>
    <xf numFmtId="3" fontId="17" fillId="0" borderId="34" xfId="0" applyNumberFormat="1" applyFont="1" applyBorder="1" applyAlignment="1">
      <alignment horizontal="center" vertical="center"/>
    </xf>
    <xf numFmtId="4" fontId="17" fillId="0" borderId="35" xfId="0" applyNumberFormat="1" applyFont="1" applyBorder="1" applyAlignment="1">
      <alignment horizontal="right" vertical="center"/>
    </xf>
    <xf numFmtId="10" fontId="17" fillId="0" borderId="36" xfId="0" applyNumberFormat="1" applyFont="1" applyBorder="1" applyAlignment="1">
      <alignment horizontal="center" vertical="center"/>
    </xf>
    <xf numFmtId="3" fontId="17" fillId="0" borderId="55" xfId="0" applyNumberFormat="1" applyFont="1" applyBorder="1" applyAlignment="1">
      <alignment horizontal="center" vertical="center"/>
    </xf>
    <xf numFmtId="10" fontId="17" fillId="0" borderId="47" xfId="0" applyNumberFormat="1" applyFont="1" applyBorder="1" applyAlignment="1">
      <alignment horizontal="center" vertical="center"/>
    </xf>
    <xf numFmtId="4" fontId="17" fillId="0" borderId="34" xfId="0" applyNumberFormat="1" applyFont="1" applyBorder="1" applyAlignment="1">
      <alignment horizontal="right" vertical="center"/>
    </xf>
    <xf numFmtId="4" fontId="17" fillId="0" borderId="36" xfId="0" applyNumberFormat="1" applyFont="1" applyBorder="1" applyAlignment="1">
      <alignment horizontal="right" vertical="center"/>
    </xf>
    <xf numFmtId="4" fontId="17" fillId="0" borderId="25" xfId="0" applyNumberFormat="1" applyFont="1" applyFill="1" applyBorder="1" applyAlignment="1">
      <alignment horizontal="right" vertical="center"/>
    </xf>
    <xf numFmtId="49" fontId="17" fillId="0" borderId="64" xfId="0" applyNumberFormat="1" applyFont="1" applyBorder="1" applyAlignment="1">
      <alignment vertical="center" wrapText="1"/>
    </xf>
    <xf numFmtId="49" fontId="17" fillId="0" borderId="41" xfId="0" applyNumberFormat="1" applyFont="1" applyBorder="1" applyAlignment="1">
      <alignment horizontal="center" vertical="center" wrapText="1"/>
    </xf>
    <xf numFmtId="0" fontId="17" fillId="0" borderId="42" xfId="0" applyFont="1" applyBorder="1" applyAlignment="1">
      <alignment vertical="center" wrapText="1"/>
    </xf>
    <xf numFmtId="0" fontId="17" fillId="0" borderId="0" xfId="0" applyFont="1" applyAlignment="1"/>
    <xf numFmtId="2" fontId="16" fillId="10" borderId="59" xfId="0" applyNumberFormat="1" applyFont="1" applyFill="1" applyBorder="1" applyAlignment="1">
      <alignment horizontal="center"/>
    </xf>
    <xf numFmtId="2" fontId="23" fillId="10" borderId="64" xfId="0" applyNumberFormat="1" applyFont="1" applyFill="1" applyBorder="1" applyAlignment="1">
      <alignment horizontal="left" wrapText="1"/>
    </xf>
    <xf numFmtId="2" fontId="23" fillId="10" borderId="41" xfId="0" applyNumberFormat="1" applyFont="1" applyFill="1" applyBorder="1" applyAlignment="1">
      <alignment horizontal="center" wrapText="1"/>
    </xf>
    <xf numFmtId="2" fontId="23" fillId="10" borderId="25" xfId="0" applyNumberFormat="1" applyFont="1" applyFill="1" applyBorder="1" applyAlignment="1">
      <alignment horizontal="center" vertical="center"/>
    </xf>
    <xf numFmtId="2" fontId="23" fillId="10" borderId="1" xfId="0" applyNumberFormat="1" applyFont="1" applyFill="1" applyBorder="1" applyAlignment="1">
      <alignment horizontal="right" vertical="center"/>
    </xf>
    <xf numFmtId="2" fontId="23" fillId="10" borderId="12" xfId="0" applyNumberFormat="1" applyFont="1" applyFill="1" applyBorder="1" applyAlignment="1">
      <alignment horizontal="center" vertical="center"/>
    </xf>
    <xf numFmtId="4" fontId="23" fillId="10" borderId="1" xfId="0" applyNumberFormat="1" applyFont="1" applyFill="1" applyBorder="1" applyAlignment="1">
      <alignment horizontal="right" vertical="center"/>
    </xf>
    <xf numFmtId="2" fontId="23" fillId="10" borderId="42" xfId="0" applyNumberFormat="1" applyFont="1" applyFill="1" applyBorder="1" applyAlignment="1">
      <alignment horizontal="center" vertical="center"/>
    </xf>
    <xf numFmtId="2" fontId="23" fillId="10" borderId="27" xfId="0" applyNumberFormat="1" applyFont="1" applyFill="1" applyBorder="1" applyAlignment="1">
      <alignment horizontal="center" vertical="center"/>
    </xf>
    <xf numFmtId="4" fontId="23" fillId="10" borderId="25" xfId="0" applyNumberFormat="1" applyFont="1" applyFill="1" applyBorder="1" applyAlignment="1">
      <alignment horizontal="right" vertical="center"/>
    </xf>
    <xf numFmtId="4" fontId="23" fillId="10" borderId="12" xfId="0" applyNumberFormat="1" applyFont="1" applyFill="1" applyBorder="1" applyAlignment="1">
      <alignment horizontal="right" vertical="center"/>
    </xf>
    <xf numFmtId="2" fontId="16" fillId="10" borderId="42" xfId="0" applyNumberFormat="1" applyFont="1" applyFill="1" applyBorder="1" applyAlignment="1">
      <alignment wrapText="1"/>
    </xf>
    <xf numFmtId="2" fontId="16" fillId="10" borderId="0" xfId="0" applyNumberFormat="1" applyFont="1" applyFill="1" applyAlignment="1"/>
    <xf numFmtId="49" fontId="16" fillId="0" borderId="59" xfId="0" applyNumberFormat="1" applyFont="1" applyBorder="1" applyAlignment="1">
      <alignment horizontal="center"/>
    </xf>
    <xf numFmtId="0" fontId="17" fillId="0" borderId="64" xfId="0" applyFont="1" applyBorder="1" applyAlignment="1">
      <alignment horizontal="left" vertical="center" wrapText="1"/>
    </xf>
    <xf numFmtId="3" fontId="17" fillId="0" borderId="25" xfId="0" applyNumberFormat="1" applyFont="1" applyBorder="1" applyAlignment="1">
      <alignment horizontal="center" vertical="center"/>
    </xf>
    <xf numFmtId="10" fontId="17" fillId="0" borderId="12" xfId="0" applyNumberFormat="1" applyFont="1" applyBorder="1" applyAlignment="1">
      <alignment horizontal="center" vertical="center"/>
    </xf>
    <xf numFmtId="4" fontId="17" fillId="0" borderId="42" xfId="0" applyNumberFormat="1" applyFont="1" applyBorder="1" applyAlignment="1">
      <alignment horizontal="center" vertical="center"/>
    </xf>
    <xf numFmtId="164" fontId="17" fillId="0" borderId="27" xfId="0" applyNumberFormat="1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right" vertical="center"/>
    </xf>
    <xf numFmtId="49" fontId="16" fillId="6" borderId="7" xfId="0" applyNumberFormat="1" applyFont="1" applyFill="1" applyBorder="1" applyAlignment="1">
      <alignment horizontal="center"/>
    </xf>
    <xf numFmtId="3" fontId="16" fillId="6" borderId="39" xfId="0" applyNumberFormat="1" applyFont="1" applyFill="1" applyBorder="1" applyAlignment="1">
      <alignment horizontal="center" vertical="center"/>
    </xf>
    <xf numFmtId="49" fontId="16" fillId="10" borderId="60" xfId="0" applyNumberFormat="1" applyFont="1" applyFill="1" applyBorder="1" applyAlignment="1">
      <alignment horizontal="center"/>
    </xf>
    <xf numFmtId="0" fontId="23" fillId="10" borderId="63" xfId="0" applyFont="1" applyFill="1" applyBorder="1" applyAlignment="1">
      <alignment horizontal="left" wrapText="1"/>
    </xf>
    <xf numFmtId="49" fontId="23" fillId="10" borderId="49" xfId="0" applyNumberFormat="1" applyFont="1" applyFill="1" applyBorder="1" applyAlignment="1">
      <alignment horizontal="center" wrapText="1"/>
    </xf>
    <xf numFmtId="3" fontId="23" fillId="10" borderId="19" xfId="0" applyNumberFormat="1" applyFont="1" applyFill="1" applyBorder="1" applyAlignment="1">
      <alignment horizontal="center" vertical="center"/>
    </xf>
    <xf numFmtId="4" fontId="23" fillId="10" borderId="3" xfId="0" applyNumberFormat="1" applyFont="1" applyFill="1" applyBorder="1" applyAlignment="1">
      <alignment horizontal="right" vertical="center"/>
    </xf>
    <xf numFmtId="10" fontId="23" fillId="10" borderId="13" xfId="0" applyNumberFormat="1" applyFont="1" applyFill="1" applyBorder="1" applyAlignment="1">
      <alignment horizontal="center" vertical="center"/>
    </xf>
    <xf numFmtId="10" fontId="23" fillId="10" borderId="56" xfId="0" applyNumberFormat="1" applyFont="1" applyFill="1" applyBorder="1" applyAlignment="1">
      <alignment horizontal="center" vertical="center"/>
    </xf>
    <xf numFmtId="10" fontId="23" fillId="10" borderId="40" xfId="0" applyNumberFormat="1" applyFont="1" applyFill="1" applyBorder="1" applyAlignment="1">
      <alignment horizontal="center" vertical="center"/>
    </xf>
    <xf numFmtId="4" fontId="23" fillId="10" borderId="19" xfId="0" applyNumberFormat="1" applyFont="1" applyFill="1" applyBorder="1" applyAlignment="1">
      <alignment horizontal="right" vertical="center"/>
    </xf>
    <xf numFmtId="4" fontId="23" fillId="10" borderId="13" xfId="0" applyNumberFormat="1" applyFont="1" applyFill="1" applyBorder="1" applyAlignment="1">
      <alignment horizontal="right" vertical="center"/>
    </xf>
    <xf numFmtId="0" fontId="16" fillId="10" borderId="42" xfId="0" applyFont="1" applyFill="1" applyBorder="1" applyAlignment="1">
      <alignment wrapText="1"/>
    </xf>
    <xf numFmtId="0" fontId="16" fillId="10" borderId="0" xfId="0" applyFont="1" applyFill="1" applyAlignment="1"/>
    <xf numFmtId="0" fontId="17" fillId="0" borderId="64" xfId="0" applyFont="1" applyBorder="1" applyAlignment="1">
      <alignment horizontal="left" wrapText="1"/>
    </xf>
    <xf numFmtId="164" fontId="17" fillId="0" borderId="12" xfId="0" applyNumberFormat="1" applyFont="1" applyBorder="1" applyAlignment="1">
      <alignment horizontal="center" vertical="center"/>
    </xf>
    <xf numFmtId="167" fontId="17" fillId="0" borderId="42" xfId="0" applyNumberFormat="1" applyFont="1" applyBorder="1" applyAlignment="1">
      <alignment horizontal="center" vertical="center"/>
    </xf>
    <xf numFmtId="0" fontId="17" fillId="0" borderId="69" xfId="0" applyFont="1" applyBorder="1" applyAlignment="1">
      <alignment wrapText="1"/>
    </xf>
    <xf numFmtId="4" fontId="17" fillId="0" borderId="56" xfId="0" applyNumberFormat="1" applyFont="1" applyBorder="1" applyAlignment="1">
      <alignment horizontal="center" vertical="center"/>
    </xf>
    <xf numFmtId="164" fontId="17" fillId="0" borderId="40" xfId="0" applyNumberFormat="1" applyFont="1" applyBorder="1" applyAlignment="1">
      <alignment horizontal="center" vertical="center"/>
    </xf>
    <xf numFmtId="0" fontId="17" fillId="0" borderId="68" xfId="0" applyFont="1" applyBorder="1" applyAlignment="1">
      <alignment wrapText="1"/>
    </xf>
    <xf numFmtId="49" fontId="17" fillId="0" borderId="0" xfId="0" applyNumberFormat="1" applyFont="1" applyBorder="1" applyAlignment="1">
      <alignment horizontal="center" wrapText="1"/>
    </xf>
    <xf numFmtId="4" fontId="16" fillId="14" borderId="42" xfId="0" applyNumberFormat="1" applyFont="1" applyFill="1" applyBorder="1" applyAlignment="1">
      <alignment wrapText="1"/>
    </xf>
    <xf numFmtId="0" fontId="17" fillId="0" borderId="63" xfId="0" applyFont="1" applyBorder="1" applyAlignment="1">
      <alignment horizontal="left" vertical="center" wrapText="1"/>
    </xf>
    <xf numFmtId="49" fontId="17" fillId="0" borderId="49" xfId="0" applyNumberFormat="1" applyFont="1" applyBorder="1" applyAlignment="1">
      <alignment horizontal="center" vertical="center" wrapText="1"/>
    </xf>
    <xf numFmtId="3" fontId="16" fillId="6" borderId="5" xfId="0" applyNumberFormat="1" applyFont="1" applyFill="1" applyBorder="1" applyAlignment="1">
      <alignment horizontal="center" vertical="center"/>
    </xf>
    <xf numFmtId="10" fontId="16" fillId="6" borderId="39" xfId="0" applyNumberFormat="1" applyFont="1" applyFill="1" applyBorder="1" applyAlignment="1">
      <alignment horizontal="center" vertical="center"/>
    </xf>
    <xf numFmtId="4" fontId="17" fillId="0" borderId="26" xfId="0" applyNumberFormat="1" applyFont="1" applyBorder="1" applyAlignment="1">
      <alignment horizontal="right" vertical="center"/>
    </xf>
    <xf numFmtId="4" fontId="17" fillId="0" borderId="6" xfId="0" applyNumberFormat="1" applyFont="1" applyBorder="1" applyAlignment="1">
      <alignment horizontal="right" vertical="center"/>
    </xf>
    <xf numFmtId="10" fontId="17" fillId="0" borderId="14" xfId="0" applyNumberFormat="1" applyFont="1" applyBorder="1" applyAlignment="1">
      <alignment horizontal="center" vertical="center"/>
    </xf>
    <xf numFmtId="164" fontId="17" fillId="0" borderId="14" xfId="0" applyNumberFormat="1" applyFont="1" applyBorder="1" applyAlignment="1">
      <alignment horizontal="right" vertical="center"/>
    </xf>
    <xf numFmtId="10" fontId="17" fillId="0" borderId="17" xfId="0" applyNumberFormat="1" applyFont="1" applyBorder="1" applyAlignment="1">
      <alignment horizontal="center" vertical="center"/>
    </xf>
    <xf numFmtId="10" fontId="17" fillId="0" borderId="2" xfId="0" applyNumberFormat="1" applyFont="1" applyBorder="1" applyAlignment="1">
      <alignment horizontal="center" vertical="center"/>
    </xf>
    <xf numFmtId="4" fontId="17" fillId="0" borderId="14" xfId="0" applyNumberFormat="1" applyFont="1" applyBorder="1" applyAlignment="1">
      <alignment horizontal="right" vertical="center"/>
    </xf>
    <xf numFmtId="49" fontId="17" fillId="0" borderId="54" xfId="0" applyNumberFormat="1" applyFont="1" applyBorder="1" applyAlignment="1">
      <alignment horizontal="center" wrapText="1"/>
    </xf>
    <xf numFmtId="164" fontId="17" fillId="0" borderId="36" xfId="0" applyNumberFormat="1" applyFont="1" applyBorder="1" applyAlignment="1">
      <alignment horizontal="right" vertical="center"/>
    </xf>
    <xf numFmtId="10" fontId="17" fillId="0" borderId="55" xfId="0" applyNumberFormat="1" applyFont="1" applyBorder="1" applyAlignment="1">
      <alignment horizontal="center" vertical="center"/>
    </xf>
    <xf numFmtId="0" fontId="22" fillId="7" borderId="64" xfId="0" applyFont="1" applyFill="1" applyBorder="1" applyAlignment="1">
      <alignment horizontal="left" wrapText="1"/>
    </xf>
    <xf numFmtId="49" fontId="22" fillId="7" borderId="41" xfId="0" applyNumberFormat="1" applyFont="1" applyFill="1" applyBorder="1" applyAlignment="1">
      <alignment horizontal="center" wrapText="1"/>
    </xf>
    <xf numFmtId="3" fontId="17" fillId="7" borderId="25" xfId="0" applyNumberFormat="1" applyFont="1" applyFill="1" applyBorder="1" applyAlignment="1">
      <alignment horizontal="center" vertical="center"/>
    </xf>
    <xf numFmtId="4" fontId="17" fillId="7" borderId="1" xfId="0" applyNumberFormat="1" applyFont="1" applyFill="1" applyBorder="1" applyAlignment="1">
      <alignment horizontal="right" vertical="center"/>
    </xf>
    <xf numFmtId="10" fontId="17" fillId="7" borderId="12" xfId="0" applyNumberFormat="1" applyFont="1" applyFill="1" applyBorder="1" applyAlignment="1">
      <alignment horizontal="center" vertical="center"/>
    </xf>
    <xf numFmtId="10" fontId="17" fillId="7" borderId="42" xfId="0" applyNumberFormat="1" applyFont="1" applyFill="1" applyBorder="1" applyAlignment="1">
      <alignment horizontal="center" vertical="center"/>
    </xf>
    <xf numFmtId="10" fontId="17" fillId="7" borderId="27" xfId="0" applyNumberFormat="1" applyFont="1" applyFill="1" applyBorder="1" applyAlignment="1">
      <alignment horizontal="center" vertical="center"/>
    </xf>
    <xf numFmtId="4" fontId="17" fillId="7" borderId="25" xfId="0" applyNumberFormat="1" applyFont="1" applyFill="1" applyBorder="1" applyAlignment="1">
      <alignment horizontal="right" vertical="center"/>
    </xf>
    <xf numFmtId="4" fontId="17" fillId="7" borderId="12" xfId="0" applyNumberFormat="1" applyFont="1" applyFill="1" applyBorder="1" applyAlignment="1">
      <alignment horizontal="right" vertical="center"/>
    </xf>
    <xf numFmtId="0" fontId="17" fillId="0" borderId="66" xfId="0" applyFont="1" applyBorder="1" applyAlignment="1">
      <alignment horizontal="left" wrapText="1"/>
    </xf>
    <xf numFmtId="10" fontId="17" fillId="0" borderId="42" xfId="0" applyNumberFormat="1" applyFont="1" applyBorder="1" applyAlignment="1">
      <alignment horizontal="center" vertical="center"/>
    </xf>
    <xf numFmtId="10" fontId="17" fillId="0" borderId="27" xfId="0" applyNumberFormat="1" applyFont="1" applyBorder="1" applyAlignment="1">
      <alignment horizontal="center" vertical="center"/>
    </xf>
    <xf numFmtId="0" fontId="23" fillId="10" borderId="66" xfId="0" applyFont="1" applyFill="1" applyBorder="1" applyAlignment="1">
      <alignment horizontal="left" wrapText="1"/>
    </xf>
    <xf numFmtId="49" fontId="23" fillId="10" borderId="41" xfId="0" applyNumberFormat="1" applyFont="1" applyFill="1" applyBorder="1" applyAlignment="1">
      <alignment horizontal="center" wrapText="1"/>
    </xf>
    <xf numFmtId="3" fontId="23" fillId="10" borderId="25" xfId="0" applyNumberFormat="1" applyFont="1" applyFill="1" applyBorder="1" applyAlignment="1">
      <alignment horizontal="center" vertical="center"/>
    </xf>
    <xf numFmtId="10" fontId="23" fillId="10" borderId="12" xfId="0" applyNumberFormat="1" applyFont="1" applyFill="1" applyBorder="1" applyAlignment="1">
      <alignment horizontal="center" vertical="center"/>
    </xf>
    <xf numFmtId="10" fontId="23" fillId="10" borderId="42" xfId="0" applyNumberFormat="1" applyFont="1" applyFill="1" applyBorder="1" applyAlignment="1">
      <alignment horizontal="center" vertical="center"/>
    </xf>
    <xf numFmtId="10" fontId="23" fillId="10" borderId="27" xfId="0" applyNumberFormat="1" applyFont="1" applyFill="1" applyBorder="1" applyAlignment="1">
      <alignment horizontal="center" vertical="center"/>
    </xf>
    <xf numFmtId="49" fontId="16" fillId="0" borderId="61" xfId="0" applyNumberFormat="1" applyFont="1" applyBorder="1" applyAlignment="1">
      <alignment horizontal="center"/>
    </xf>
    <xf numFmtId="3" fontId="17" fillId="0" borderId="26" xfId="0" applyNumberFormat="1" applyFont="1" applyBorder="1" applyAlignment="1">
      <alignment horizontal="center" vertical="center"/>
    </xf>
    <xf numFmtId="4" fontId="17" fillId="0" borderId="6" xfId="0" applyNumberFormat="1" applyFont="1" applyFill="1" applyBorder="1" applyAlignment="1">
      <alignment horizontal="right" vertical="center"/>
    </xf>
    <xf numFmtId="3" fontId="17" fillId="0" borderId="17" xfId="0" applyNumberFormat="1" applyFont="1" applyBorder="1" applyAlignment="1">
      <alignment horizontal="center" vertical="center"/>
    </xf>
    <xf numFmtId="0" fontId="16" fillId="6" borderId="67" xfId="0" applyFont="1" applyFill="1" applyBorder="1" applyAlignment="1">
      <alignment horizontal="center" vertical="top" wrapText="1"/>
    </xf>
    <xf numFmtId="49" fontId="16" fillId="8" borderId="16" xfId="0" applyNumberFormat="1" applyFont="1" applyFill="1" applyBorder="1" applyAlignment="1">
      <alignment horizontal="center" wrapText="1"/>
    </xf>
    <xf numFmtId="3" fontId="16" fillId="6" borderId="11" xfId="0" applyNumberFormat="1" applyFont="1" applyFill="1" applyBorder="1" applyAlignment="1">
      <alignment horizontal="center" vertical="center"/>
    </xf>
    <xf numFmtId="4" fontId="16" fillId="6" borderId="33" xfId="0" applyNumberFormat="1" applyFont="1" applyFill="1" applyBorder="1" applyAlignment="1">
      <alignment horizontal="right" vertical="center"/>
    </xf>
    <xf numFmtId="10" fontId="16" fillId="6" borderId="57" xfId="0" applyNumberFormat="1" applyFont="1" applyFill="1" applyBorder="1" applyAlignment="1">
      <alignment horizontal="center" vertical="center"/>
    </xf>
    <xf numFmtId="3" fontId="16" fillId="6" borderId="21" xfId="0" applyNumberFormat="1" applyFont="1" applyFill="1" applyBorder="1" applyAlignment="1">
      <alignment horizontal="center" vertical="center"/>
    </xf>
    <xf numFmtId="3" fontId="16" fillId="6" borderId="46" xfId="0" applyNumberFormat="1" applyFont="1" applyFill="1" applyBorder="1" applyAlignment="1">
      <alignment horizontal="center" vertical="center"/>
    </xf>
    <xf numFmtId="4" fontId="16" fillId="6" borderId="11" xfId="0" applyNumberFormat="1" applyFont="1" applyFill="1" applyBorder="1" applyAlignment="1">
      <alignment horizontal="right" vertical="center"/>
    </xf>
    <xf numFmtId="4" fontId="16" fillId="6" borderId="57" xfId="0" applyNumberFormat="1" applyFont="1" applyFill="1" applyBorder="1" applyAlignment="1">
      <alignment horizontal="right" vertical="center"/>
    </xf>
    <xf numFmtId="0" fontId="17" fillId="5" borderId="63" xfId="0" applyFont="1" applyFill="1" applyBorder="1" applyAlignment="1">
      <alignment vertical="center" wrapText="1"/>
    </xf>
    <xf numFmtId="49" fontId="17" fillId="5" borderId="16" xfId="0" applyNumberFormat="1" applyFont="1" applyFill="1" applyBorder="1" applyAlignment="1">
      <alignment horizontal="center" wrapText="1"/>
    </xf>
    <xf numFmtId="3" fontId="17" fillId="0" borderId="11" xfId="0" applyNumberFormat="1" applyFont="1" applyBorder="1" applyAlignment="1">
      <alignment horizontal="center" vertical="center"/>
    </xf>
    <xf numFmtId="4" fontId="17" fillId="0" borderId="33" xfId="0" applyNumberFormat="1" applyFont="1" applyBorder="1" applyAlignment="1">
      <alignment horizontal="right" vertical="center"/>
    </xf>
    <xf numFmtId="10" fontId="17" fillId="0" borderId="57" xfId="0" applyNumberFormat="1" applyFont="1" applyBorder="1" applyAlignment="1">
      <alignment horizontal="center" vertical="center"/>
    </xf>
    <xf numFmtId="10" fontId="17" fillId="0" borderId="33" xfId="0" applyNumberFormat="1" applyFont="1" applyBorder="1" applyAlignment="1">
      <alignment horizontal="center" vertical="center"/>
    </xf>
    <xf numFmtId="3" fontId="17" fillId="0" borderId="33" xfId="0" applyNumberFormat="1" applyFont="1" applyBorder="1" applyAlignment="1">
      <alignment horizontal="center" vertical="center"/>
    </xf>
    <xf numFmtId="10" fontId="17" fillId="0" borderId="46" xfId="0" applyNumberFormat="1" applyFont="1" applyBorder="1" applyAlignment="1">
      <alignment horizontal="center" vertical="center"/>
    </xf>
    <xf numFmtId="4" fontId="17" fillId="0" borderId="11" xfId="0" applyNumberFormat="1" applyFont="1" applyBorder="1" applyAlignment="1">
      <alignment horizontal="right" vertical="center"/>
    </xf>
    <xf numFmtId="4" fontId="17" fillId="0" borderId="57" xfId="0" applyNumberFormat="1" applyFont="1" applyBorder="1" applyAlignment="1">
      <alignment horizontal="right" vertical="center"/>
    </xf>
    <xf numFmtId="0" fontId="17" fillId="5" borderId="66" xfId="0" applyFont="1" applyFill="1" applyBorder="1" applyAlignment="1">
      <alignment wrapText="1"/>
    </xf>
    <xf numFmtId="49" fontId="17" fillId="5" borderId="22" xfId="0" applyNumberFormat="1" applyFont="1" applyFill="1" applyBorder="1" applyAlignment="1">
      <alignment horizontal="center" wrapText="1"/>
    </xf>
    <xf numFmtId="49" fontId="23" fillId="3" borderId="7" xfId="0" applyNumberFormat="1" applyFont="1" applyFill="1" applyBorder="1" applyAlignment="1">
      <alignment horizontal="center" vertical="center"/>
    </xf>
    <xf numFmtId="49" fontId="23" fillId="3" borderId="18" xfId="0" applyNumberFormat="1" applyFont="1" applyFill="1" applyBorder="1" applyAlignment="1">
      <alignment horizontal="center" vertical="center" wrapText="1"/>
    </xf>
    <xf numFmtId="0" fontId="23" fillId="3" borderId="43" xfId="0" applyFont="1" applyFill="1" applyBorder="1" applyAlignment="1">
      <alignment horizontal="center" vertical="center"/>
    </xf>
    <xf numFmtId="3" fontId="23" fillId="3" borderId="4" xfId="0" applyNumberFormat="1" applyFont="1" applyFill="1" applyBorder="1" applyAlignment="1">
      <alignment horizontal="center" vertical="center"/>
    </xf>
    <xf numFmtId="4" fontId="23" fillId="3" borderId="5" xfId="0" applyNumberFormat="1" applyFont="1" applyFill="1" applyBorder="1" applyAlignment="1">
      <alignment horizontal="right" vertical="center"/>
    </xf>
    <xf numFmtId="10" fontId="23" fillId="3" borderId="8" xfId="0" applyNumberFormat="1" applyFont="1" applyFill="1" applyBorder="1" applyAlignment="1">
      <alignment horizontal="center" vertical="center"/>
    </xf>
    <xf numFmtId="3" fontId="23" fillId="3" borderId="58" xfId="0" applyNumberFormat="1" applyFont="1" applyFill="1" applyBorder="1" applyAlignment="1">
      <alignment horizontal="center" vertical="center"/>
    </xf>
    <xf numFmtId="10" fontId="23" fillId="3" borderId="5" xfId="0" applyNumberFormat="1" applyFont="1" applyFill="1" applyBorder="1" applyAlignment="1">
      <alignment horizontal="center" vertical="center"/>
    </xf>
    <xf numFmtId="3" fontId="23" fillId="3" borderId="5" xfId="0" applyNumberFormat="1" applyFont="1" applyFill="1" applyBorder="1" applyAlignment="1">
      <alignment horizontal="center" vertical="center"/>
    </xf>
    <xf numFmtId="10" fontId="23" fillId="3" borderId="39" xfId="0" applyNumberFormat="1" applyFont="1" applyFill="1" applyBorder="1" applyAlignment="1">
      <alignment horizontal="center" vertical="center"/>
    </xf>
    <xf numFmtId="4" fontId="23" fillId="3" borderId="4" xfId="0" applyNumberFormat="1" applyFont="1" applyFill="1" applyBorder="1" applyAlignment="1">
      <alignment horizontal="right" vertical="center"/>
    </xf>
    <xf numFmtId="49" fontId="23" fillId="2" borderId="7" xfId="0" applyNumberFormat="1" applyFont="1" applyFill="1" applyBorder="1" applyAlignment="1">
      <alignment horizontal="center" vertical="center"/>
    </xf>
    <xf numFmtId="49" fontId="23" fillId="2" borderId="18" xfId="0" applyNumberFormat="1" applyFont="1" applyFill="1" applyBorder="1" applyAlignment="1">
      <alignment horizontal="center" vertical="center" wrapText="1"/>
    </xf>
    <xf numFmtId="4" fontId="23" fillId="2" borderId="5" xfId="0" applyNumberFormat="1" applyFont="1" applyFill="1" applyBorder="1" applyAlignment="1">
      <alignment horizontal="right" vertical="center"/>
    </xf>
    <xf numFmtId="4" fontId="23" fillId="2" borderId="8" xfId="0" applyNumberFormat="1" applyFont="1" applyFill="1" applyBorder="1" applyAlignment="1">
      <alignment horizontal="right" vertical="center"/>
    </xf>
    <xf numFmtId="4" fontId="23" fillId="3" borderId="5" xfId="0" applyNumberFormat="1" applyFont="1" applyFill="1" applyBorder="1" applyAlignment="1">
      <alignment horizontal="center" vertical="center"/>
    </xf>
    <xf numFmtId="3" fontId="23" fillId="3" borderId="8" xfId="0" applyNumberFormat="1" applyFont="1" applyFill="1" applyBorder="1" applyAlignment="1">
      <alignment horizontal="center" vertical="center"/>
    </xf>
    <xf numFmtId="3" fontId="23" fillId="3" borderId="39" xfId="0" applyNumberFormat="1" applyFont="1" applyFill="1" applyBorder="1" applyAlignment="1">
      <alignment horizontal="center" vertical="center"/>
    </xf>
    <xf numFmtId="3" fontId="23" fillId="3" borderId="29" xfId="0" applyNumberFormat="1" applyFont="1" applyFill="1" applyBorder="1" applyAlignment="1">
      <alignment horizontal="center" vertical="center"/>
    </xf>
    <xf numFmtId="3" fontId="23" fillId="3" borderId="48" xfId="0" applyNumberFormat="1" applyFont="1" applyFill="1" applyBorder="1" applyAlignment="1">
      <alignment horizontal="center" vertical="center"/>
    </xf>
    <xf numFmtId="4" fontId="23" fillId="3" borderId="8" xfId="0" applyNumberFormat="1" applyFont="1" applyFill="1" applyBorder="1" applyAlignment="1">
      <alignment horizontal="center" vertical="center"/>
    </xf>
    <xf numFmtId="4" fontId="17" fillId="2" borderId="1" xfId="0" applyNumberFormat="1" applyFont="1" applyFill="1" applyBorder="1" applyAlignment="1">
      <alignment horizontal="right" vertical="center"/>
    </xf>
    <xf numFmtId="0" fontId="9" fillId="0" borderId="64" xfId="0" applyFont="1" applyBorder="1" applyAlignment="1">
      <alignment horizontal="left" vertical="center" wrapText="1"/>
    </xf>
    <xf numFmtId="49" fontId="9" fillId="0" borderId="41" xfId="0" applyNumberFormat="1" applyFont="1" applyBorder="1" applyAlignment="1">
      <alignment horizontal="center" wrapText="1"/>
    </xf>
    <xf numFmtId="3" fontId="9" fillId="0" borderId="25" xfId="0" applyNumberFormat="1" applyFont="1" applyBorder="1" applyAlignment="1">
      <alignment horizontal="center" vertical="center"/>
    </xf>
    <xf numFmtId="10" fontId="9" fillId="0" borderId="12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right" vertical="center"/>
    </xf>
    <xf numFmtId="164" fontId="9" fillId="0" borderId="12" xfId="0" applyNumberFormat="1" applyFont="1" applyBorder="1" applyAlignment="1">
      <alignment horizontal="right" vertical="center"/>
    </xf>
    <xf numFmtId="4" fontId="9" fillId="0" borderId="42" xfId="0" applyNumberFormat="1" applyFont="1" applyBorder="1" applyAlignment="1">
      <alignment horizontal="center" vertical="center"/>
    </xf>
    <xf numFmtId="164" fontId="9" fillId="0" borderId="27" xfId="0" applyNumberFormat="1" applyFont="1" applyBorder="1" applyAlignment="1">
      <alignment horizontal="center" vertical="center"/>
    </xf>
    <xf numFmtId="4" fontId="9" fillId="0" borderId="12" xfId="0" applyNumberFormat="1" applyFont="1" applyBorder="1" applyAlignment="1">
      <alignment horizontal="right" vertical="center"/>
    </xf>
    <xf numFmtId="0" fontId="9" fillId="0" borderId="42" xfId="0" applyFont="1" applyBorder="1" applyAlignment="1">
      <alignment vertical="top" wrapText="1"/>
    </xf>
    <xf numFmtId="2" fontId="9" fillId="0" borderId="42" xfId="0" applyNumberFormat="1" applyFont="1" applyBorder="1" applyAlignment="1">
      <alignment horizontal="center" vertical="center"/>
    </xf>
    <xf numFmtId="3" fontId="17" fillId="0" borderId="19" xfId="0" applyNumberFormat="1" applyFont="1" applyFill="1" applyBorder="1" applyAlignment="1">
      <alignment horizontal="right" vertical="center"/>
    </xf>
    <xf numFmtId="3" fontId="17" fillId="0" borderId="34" xfId="0" applyNumberFormat="1" applyFont="1" applyBorder="1" applyAlignment="1">
      <alignment horizontal="right" vertical="center"/>
    </xf>
    <xf numFmtId="4" fontId="17" fillId="0" borderId="19" xfId="0" applyNumberFormat="1" applyFont="1" applyFill="1" applyBorder="1" applyAlignment="1">
      <alignment horizontal="right" vertical="center"/>
    </xf>
    <xf numFmtId="3" fontId="17" fillId="0" borderId="19" xfId="0" applyNumberFormat="1" applyFont="1" applyBorder="1" applyAlignment="1">
      <alignment horizontal="right" vertical="center"/>
    </xf>
    <xf numFmtId="4" fontId="17" fillId="0" borderId="21" xfId="0" applyNumberFormat="1" applyFont="1" applyBorder="1" applyAlignment="1">
      <alignment horizontal="right" vertical="center"/>
    </xf>
    <xf numFmtId="49" fontId="20" fillId="0" borderId="59" xfId="0" applyNumberFormat="1" applyFont="1" applyBorder="1" applyAlignment="1">
      <alignment horizontal="center" vertical="center"/>
    </xf>
    <xf numFmtId="49" fontId="9" fillId="0" borderId="64" xfId="0" applyNumberFormat="1" applyFont="1" applyBorder="1" applyAlignment="1">
      <alignment wrapText="1"/>
    </xf>
    <xf numFmtId="4" fontId="9" fillId="0" borderId="26" xfId="0" applyNumberFormat="1" applyFont="1" applyBorder="1" applyAlignment="1">
      <alignment horizontal="right" vertical="center"/>
    </xf>
    <xf numFmtId="164" fontId="9" fillId="0" borderId="14" xfId="0" applyNumberFormat="1" applyFont="1" applyBorder="1" applyAlignment="1">
      <alignment horizontal="right" vertical="center"/>
    </xf>
    <xf numFmtId="164" fontId="9" fillId="0" borderId="27" xfId="0" applyNumberFormat="1" applyFont="1" applyBorder="1" applyAlignment="1">
      <alignment horizontal="right" vertical="center"/>
    </xf>
    <xf numFmtId="4" fontId="24" fillId="0" borderId="14" xfId="0" applyNumberFormat="1" applyFont="1" applyBorder="1" applyAlignment="1">
      <alignment horizontal="right" vertical="center"/>
    </xf>
    <xf numFmtId="4" fontId="9" fillId="0" borderId="71" xfId="0" applyNumberFormat="1" applyFont="1" applyBorder="1" applyAlignment="1">
      <alignment horizontal="right" vertical="center"/>
    </xf>
    <xf numFmtId="4" fontId="9" fillId="0" borderId="37" xfId="0" applyNumberFormat="1" applyFont="1" applyBorder="1" applyAlignment="1">
      <alignment horizontal="right" vertical="center"/>
    </xf>
    <xf numFmtId="4" fontId="9" fillId="0" borderId="25" xfId="0" applyNumberFormat="1" applyFont="1" applyFill="1" applyBorder="1" applyAlignment="1">
      <alignment horizontal="right" vertical="center"/>
    </xf>
    <xf numFmtId="164" fontId="24" fillId="0" borderId="12" xfId="0" applyNumberFormat="1" applyFont="1" applyBorder="1" applyAlignment="1">
      <alignment horizontal="right" vertical="center"/>
    </xf>
    <xf numFmtId="4" fontId="9" fillId="0" borderId="19" xfId="0" applyNumberFormat="1" applyFont="1" applyBorder="1" applyAlignment="1">
      <alignment horizontal="right" vertical="center"/>
    </xf>
    <xf numFmtId="4" fontId="9" fillId="0" borderId="13" xfId="0" applyNumberFormat="1" applyFont="1" applyBorder="1" applyAlignment="1">
      <alignment horizontal="right" vertical="center"/>
    </xf>
    <xf numFmtId="0" fontId="20" fillId="4" borderId="64" xfId="0" applyFont="1" applyFill="1" applyBorder="1" applyAlignment="1"/>
    <xf numFmtId="0" fontId="20" fillId="4" borderId="41" xfId="0" applyFont="1" applyFill="1" applyBorder="1" applyAlignment="1">
      <alignment horizontal="center" vertical="center"/>
    </xf>
    <xf numFmtId="4" fontId="20" fillId="4" borderId="34" xfId="0" applyNumberFormat="1" applyFont="1" applyFill="1" applyBorder="1" applyAlignment="1">
      <alignment horizontal="center" vertical="center"/>
    </xf>
    <xf numFmtId="4" fontId="20" fillId="4" borderId="36" xfId="0" applyNumberFormat="1" applyFont="1" applyFill="1" applyBorder="1" applyAlignment="1">
      <alignment horizontal="center" vertical="center"/>
    </xf>
    <xf numFmtId="4" fontId="20" fillId="4" borderId="47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9" fillId="2" borderId="9" xfId="0" applyFont="1" applyFill="1" applyBorder="1" applyAlignment="1">
      <alignment vertical="top" wrapText="1"/>
    </xf>
    <xf numFmtId="0" fontId="17" fillId="0" borderId="1" xfId="0" applyFont="1" applyBorder="1" applyAlignment="1">
      <alignment wrapText="1"/>
    </xf>
    <xf numFmtId="49" fontId="12" fillId="0" borderId="1" xfId="0" applyNumberFormat="1" applyFont="1" applyBorder="1" applyAlignment="1">
      <alignment horizontal="center"/>
    </xf>
    <xf numFmtId="2" fontId="12" fillId="10" borderId="1" xfId="0" applyNumberFormat="1" applyFont="1" applyFill="1" applyBorder="1" applyAlignment="1">
      <alignment horizontal="center"/>
    </xf>
    <xf numFmtId="2" fontId="15" fillId="10" borderId="1" xfId="0" applyNumberFormat="1" applyFont="1" applyFill="1" applyBorder="1" applyAlignment="1">
      <alignment horizontal="left" wrapText="1"/>
    </xf>
    <xf numFmtId="2" fontId="15" fillId="10" borderId="1" xfId="0" applyNumberFormat="1" applyFont="1" applyFill="1" applyBorder="1" applyAlignment="1">
      <alignment horizontal="center" wrapText="1"/>
    </xf>
    <xf numFmtId="2" fontId="15" fillId="10" borderId="1" xfId="0" applyNumberFormat="1" applyFont="1" applyFill="1" applyBorder="1" applyAlignment="1">
      <alignment horizontal="center" vertical="center"/>
    </xf>
    <xf numFmtId="2" fontId="12" fillId="10" borderId="1" xfId="0" applyNumberFormat="1" applyFont="1" applyFill="1" applyBorder="1" applyAlignment="1">
      <alignment wrapText="1"/>
    </xf>
    <xf numFmtId="0" fontId="10" fillId="0" borderId="1" xfId="0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2" fillId="7" borderId="1" xfId="0" applyNumberFormat="1" applyFont="1" applyFill="1" applyBorder="1" applyAlignment="1">
      <alignment horizontal="center"/>
    </xf>
    <xf numFmtId="49" fontId="12" fillId="6" borderId="1" xfId="0" applyNumberFormat="1" applyFont="1" applyFill="1" applyBorder="1" applyAlignment="1">
      <alignment horizontal="center"/>
    </xf>
    <xf numFmtId="49" fontId="12" fillId="10" borderId="1" xfId="0" applyNumberFormat="1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 wrapText="1"/>
    </xf>
    <xf numFmtId="49" fontId="12" fillId="6" borderId="1" xfId="0" applyNumberFormat="1" applyFont="1" applyFill="1" applyBorder="1" applyAlignment="1">
      <alignment horizontal="center" wrapText="1"/>
    </xf>
    <xf numFmtId="49" fontId="12" fillId="12" borderId="1" xfId="0" applyNumberFormat="1" applyFont="1" applyFill="1" applyBorder="1" applyAlignment="1">
      <alignment horizontal="center"/>
    </xf>
    <xf numFmtId="4" fontId="12" fillId="14" borderId="1" xfId="0" applyNumberFormat="1" applyFont="1" applyFill="1" applyBorder="1" applyAlignment="1">
      <alignment wrapText="1"/>
    </xf>
    <xf numFmtId="0" fontId="10" fillId="5" borderId="1" xfId="0" applyFont="1" applyFill="1" applyBorder="1" applyAlignment="1">
      <alignment horizontal="left" wrapText="1"/>
    </xf>
    <xf numFmtId="49" fontId="10" fillId="2" borderId="1" xfId="0" applyNumberFormat="1" applyFont="1" applyFill="1" applyBorder="1" applyAlignment="1">
      <alignment horizontal="center" wrapText="1"/>
    </xf>
    <xf numFmtId="3" fontId="10" fillId="2" borderId="1" xfId="0" applyNumberFormat="1" applyFont="1" applyFill="1" applyBorder="1" applyAlignment="1">
      <alignment horizontal="center" vertical="center"/>
    </xf>
    <xf numFmtId="10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wrapText="1"/>
    </xf>
    <xf numFmtId="0" fontId="10" fillId="5" borderId="1" xfId="2" applyFont="1" applyFill="1" applyBorder="1" applyAlignment="1">
      <alignment horizontal="left" wrapText="1"/>
    </xf>
    <xf numFmtId="49" fontId="12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vertical="center" wrapText="1"/>
    </xf>
    <xf numFmtId="4" fontId="15" fillId="10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wrapText="1"/>
    </xf>
    <xf numFmtId="0" fontId="17" fillId="0" borderId="1" xfId="0" applyFont="1" applyBorder="1" applyAlignment="1">
      <alignment horizontal="center" vertical="center" wrapText="1"/>
    </xf>
    <xf numFmtId="0" fontId="25" fillId="0" borderId="0" xfId="0" applyFont="1"/>
    <xf numFmtId="14" fontId="3" fillId="7" borderId="1" xfId="0" applyNumberFormat="1" applyFont="1" applyFill="1" applyBorder="1" applyAlignment="1">
      <alignment vertical="top" wrapText="1"/>
    </xf>
    <xf numFmtId="4" fontId="14" fillId="2" borderId="1" xfId="1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top" wrapText="1"/>
    </xf>
    <xf numFmtId="166" fontId="3" fillId="0" borderId="1" xfId="1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165" fontId="14" fillId="2" borderId="1" xfId="1" applyNumberFormat="1" applyFont="1" applyFill="1" applyBorder="1" applyAlignment="1">
      <alignment vertical="top" wrapText="1"/>
    </xf>
    <xf numFmtId="0" fontId="19" fillId="0" borderId="3" xfId="0" applyFont="1" applyBorder="1" applyAlignment="1">
      <alignment horizontal="center" vertical="center" wrapText="1"/>
    </xf>
    <xf numFmtId="0" fontId="3" fillId="2" borderId="27" xfId="0" applyFont="1" applyFill="1" applyBorder="1" applyAlignment="1">
      <alignment vertical="top" wrapText="1"/>
    </xf>
    <xf numFmtId="166" fontId="3" fillId="2" borderId="1" xfId="1" applyNumberFormat="1" applyFont="1" applyFill="1" applyBorder="1" applyAlignment="1">
      <alignment horizontal="center" vertical="center" wrapText="1"/>
    </xf>
    <xf numFmtId="165" fontId="14" fillId="2" borderId="1" xfId="1" applyNumberFormat="1" applyFont="1" applyFill="1" applyBorder="1" applyAlignment="1">
      <alignment horizontal="center" vertical="center" wrapText="1"/>
    </xf>
    <xf numFmtId="0" fontId="3" fillId="0" borderId="27" xfId="3" applyNumberFormat="1" applyFont="1" applyFill="1" applyBorder="1" applyAlignment="1" applyProtection="1">
      <alignment vertical="top" wrapText="1"/>
      <protection hidden="1"/>
    </xf>
    <xf numFmtId="0" fontId="14" fillId="0" borderId="1" xfId="0" applyFont="1" applyBorder="1" applyAlignment="1">
      <alignment horizontal="left" vertical="top" wrapText="1"/>
    </xf>
    <xf numFmtId="4" fontId="13" fillId="0" borderId="1" xfId="0" applyNumberFormat="1" applyFont="1" applyBorder="1" applyAlignment="1">
      <alignment horizontal="center" vertical="center"/>
    </xf>
    <xf numFmtId="0" fontId="19" fillId="2" borderId="1" xfId="0" applyFont="1" applyFill="1" applyBorder="1" applyAlignment="1">
      <alignment vertical="top" wrapText="1"/>
    </xf>
    <xf numFmtId="0" fontId="14" fillId="0" borderId="9" xfId="0" applyFont="1" applyFill="1" applyBorder="1" applyAlignment="1">
      <alignment horizontal="left" vertical="top" wrapText="1"/>
    </xf>
    <xf numFmtId="43" fontId="13" fillId="0" borderId="1" xfId="1" applyFont="1" applyBorder="1" applyAlignment="1">
      <alignment horizontal="center" vertical="center"/>
    </xf>
    <xf numFmtId="0" fontId="26" fillId="6" borderId="1" xfId="0" applyFont="1" applyFill="1" applyBorder="1"/>
    <xf numFmtId="4" fontId="12" fillId="6" borderId="1" xfId="0" applyNumberFormat="1" applyFont="1" applyFill="1" applyBorder="1" applyAlignment="1">
      <alignment horizontal="center" vertical="center"/>
    </xf>
    <xf numFmtId="0" fontId="18" fillId="15" borderId="1" xfId="0" applyFont="1" applyFill="1" applyBorder="1" applyAlignment="1">
      <alignment horizontal="left" wrapText="1"/>
    </xf>
    <xf numFmtId="49" fontId="18" fillId="15" borderId="1" xfId="0" applyNumberFormat="1" applyFont="1" applyFill="1" applyBorder="1" applyAlignment="1">
      <alignment horizontal="center" wrapText="1"/>
    </xf>
    <xf numFmtId="3" fontId="10" fillId="15" borderId="1" xfId="0" applyNumberFormat="1" applyFont="1" applyFill="1" applyBorder="1" applyAlignment="1">
      <alignment horizontal="center" vertical="center"/>
    </xf>
    <xf numFmtId="10" fontId="10" fillId="15" borderId="1" xfId="0" applyNumberFormat="1" applyFont="1" applyFill="1" applyBorder="1" applyAlignment="1">
      <alignment horizontal="center" vertical="center"/>
    </xf>
    <xf numFmtId="4" fontId="10" fillId="15" borderId="1" xfId="0" applyNumberFormat="1" applyFont="1" applyFill="1" applyBorder="1" applyAlignment="1">
      <alignment horizontal="center" vertical="center"/>
    </xf>
    <xf numFmtId="0" fontId="15" fillId="16" borderId="1" xfId="0" applyFont="1" applyFill="1" applyBorder="1" applyAlignment="1">
      <alignment horizontal="left" wrapText="1"/>
    </xf>
    <xf numFmtId="49" fontId="15" fillId="15" borderId="1" xfId="0" applyNumberFormat="1" applyFont="1" applyFill="1" applyBorder="1" applyAlignment="1">
      <alignment horizontal="center" wrapText="1"/>
    </xf>
    <xf numFmtId="3" fontId="12" fillId="15" borderId="1" xfId="0" applyNumberFormat="1" applyFont="1" applyFill="1" applyBorder="1" applyAlignment="1">
      <alignment horizontal="center" vertical="center"/>
    </xf>
    <xf numFmtId="10" fontId="12" fillId="15" borderId="1" xfId="0" applyNumberFormat="1" applyFont="1" applyFill="1" applyBorder="1" applyAlignment="1">
      <alignment horizontal="center" vertical="center"/>
    </xf>
    <xf numFmtId="4" fontId="12" fillId="15" borderId="1" xfId="0" applyNumberFormat="1" applyFont="1" applyFill="1" applyBorder="1" applyAlignment="1">
      <alignment horizontal="center" vertical="center"/>
    </xf>
    <xf numFmtId="4" fontId="15" fillId="15" borderId="1" xfId="0" applyNumberFormat="1" applyFont="1" applyFill="1" applyBorder="1" applyAlignment="1">
      <alignment horizontal="center" vertical="center"/>
    </xf>
    <xf numFmtId="3" fontId="15" fillId="15" borderId="1" xfId="0" applyNumberFormat="1" applyFont="1" applyFill="1" applyBorder="1" applyAlignment="1">
      <alignment horizontal="center" vertical="center"/>
    </xf>
    <xf numFmtId="10" fontId="15" fillId="15" borderId="1" xfId="0" applyNumberFormat="1" applyFont="1" applyFill="1" applyBorder="1" applyAlignment="1">
      <alignment horizontal="center" vertical="center"/>
    </xf>
    <xf numFmtId="0" fontId="18" fillId="16" borderId="1" xfId="0" applyFont="1" applyFill="1" applyBorder="1" applyAlignment="1">
      <alignment horizontal="left" wrapText="1"/>
    </xf>
    <xf numFmtId="4" fontId="18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8" fontId="3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27" xfId="0" applyFont="1" applyFill="1" applyBorder="1" applyAlignment="1">
      <alignment vertical="center" wrapText="1"/>
    </xf>
    <xf numFmtId="0" fontId="3" fillId="0" borderId="27" xfId="3" applyNumberFormat="1" applyFont="1" applyFill="1" applyBorder="1" applyAlignment="1" applyProtection="1">
      <alignment vertical="center" wrapText="1"/>
      <protection hidden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3" fillId="7" borderId="1" xfId="0" applyFont="1" applyFill="1" applyBorder="1" applyAlignment="1">
      <alignment vertical="top" wrapText="1"/>
    </xf>
    <xf numFmtId="165" fontId="13" fillId="0" borderId="1" xfId="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49" fontId="10" fillId="15" borderId="1" xfId="0" applyNumberFormat="1" applyFont="1" applyFill="1" applyBorder="1" applyAlignment="1">
      <alignment horizontal="center" wrapText="1"/>
    </xf>
    <xf numFmtId="0" fontId="19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165" fontId="30" fillId="2" borderId="1" xfId="1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vertical="center" wrapText="1"/>
    </xf>
    <xf numFmtId="3" fontId="1" fillId="2" borderId="1" xfId="1" applyNumberFormat="1" applyFont="1" applyFill="1" applyBorder="1" applyAlignment="1">
      <alignment horizontal="center" vertical="center" wrapText="1"/>
    </xf>
    <xf numFmtId="166" fontId="30" fillId="2" borderId="1" xfId="1" applyNumberFormat="1" applyFont="1" applyFill="1" applyBorder="1" applyAlignment="1">
      <alignment horizontal="center" vertical="center" wrapText="1"/>
    </xf>
    <xf numFmtId="0" fontId="30" fillId="7" borderId="1" xfId="0" applyFont="1" applyFill="1" applyBorder="1" applyAlignment="1">
      <alignment vertical="top" wrapText="1"/>
    </xf>
    <xf numFmtId="0" fontId="30" fillId="7" borderId="1" xfId="0" applyFont="1" applyFill="1" applyBorder="1" applyAlignment="1">
      <alignment vertical="center" wrapText="1"/>
    </xf>
    <xf numFmtId="4" fontId="30" fillId="7" borderId="1" xfId="1" applyNumberFormat="1" applyFont="1" applyFill="1" applyBorder="1" applyAlignment="1">
      <alignment horizontal="center" vertical="center" wrapText="1"/>
    </xf>
    <xf numFmtId="3" fontId="30" fillId="7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1" applyNumberFormat="1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top" wrapText="1"/>
    </xf>
    <xf numFmtId="3" fontId="1" fillId="2" borderId="1" xfId="0" applyNumberFormat="1" applyFont="1" applyFill="1" applyBorder="1" applyAlignment="1">
      <alignment vertical="center" wrapText="1"/>
    </xf>
    <xf numFmtId="0" fontId="30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 wrapText="1"/>
    </xf>
    <xf numFmtId="0" fontId="31" fillId="2" borderId="1" xfId="0" applyFont="1" applyFill="1" applyBorder="1" applyAlignment="1">
      <alignment vertical="top" wrapText="1"/>
    </xf>
    <xf numFmtId="0" fontId="23" fillId="11" borderId="1" xfId="0" applyFont="1" applyFill="1" applyBorder="1" applyAlignment="1">
      <alignment horizontal="left" wrapText="1"/>
    </xf>
    <xf numFmtId="49" fontId="23" fillId="10" borderId="1" xfId="0" applyNumberFormat="1" applyFont="1" applyFill="1" applyBorder="1" applyAlignment="1">
      <alignment horizontal="center" wrapText="1"/>
    </xf>
    <xf numFmtId="3" fontId="23" fillId="10" borderId="1" xfId="0" applyNumberFormat="1" applyFont="1" applyFill="1" applyBorder="1" applyAlignment="1">
      <alignment horizontal="center" vertical="center"/>
    </xf>
    <xf numFmtId="4" fontId="23" fillId="10" borderId="1" xfId="0" applyNumberFormat="1" applyFont="1" applyFill="1" applyBorder="1" applyAlignment="1">
      <alignment horizontal="center" vertical="center"/>
    </xf>
    <xf numFmtId="10" fontId="23" fillId="10" borderId="1" xfId="0" applyNumberFormat="1" applyFont="1" applyFill="1" applyBorder="1" applyAlignment="1">
      <alignment horizontal="center" vertical="center"/>
    </xf>
    <xf numFmtId="0" fontId="17" fillId="5" borderId="1" xfId="2" applyFont="1" applyFill="1" applyBorder="1" applyAlignment="1">
      <alignment horizontal="left" wrapText="1"/>
    </xf>
    <xf numFmtId="49" fontId="17" fillId="0" borderId="1" xfId="0" applyNumberFormat="1" applyFont="1" applyBorder="1" applyAlignment="1">
      <alignment horizontal="center" wrapText="1"/>
    </xf>
    <xf numFmtId="3" fontId="17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10" fontId="17" fillId="0" borderId="1" xfId="0" applyNumberFormat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3" fontId="17" fillId="0" borderId="1" xfId="0" applyNumberFormat="1" applyFont="1" applyFill="1" applyBorder="1" applyAlignment="1">
      <alignment horizontal="center" vertical="center"/>
    </xf>
    <xf numFmtId="49" fontId="16" fillId="6" borderId="1" xfId="0" applyNumberFormat="1" applyFont="1" applyFill="1" applyBorder="1" applyAlignment="1">
      <alignment horizontal="left" vertical="center" wrapText="1"/>
    </xf>
    <xf numFmtId="49" fontId="17" fillId="8" borderId="1" xfId="0" applyNumberFormat="1" applyFont="1" applyFill="1" applyBorder="1" applyAlignment="1">
      <alignment horizontal="center" wrapText="1"/>
    </xf>
    <xf numFmtId="3" fontId="16" fillId="6" borderId="1" xfId="0" applyNumberFormat="1" applyFont="1" applyFill="1" applyBorder="1" applyAlignment="1">
      <alignment horizontal="center" vertical="center"/>
    </xf>
    <xf numFmtId="4" fontId="16" fillId="6" borderId="1" xfId="0" applyNumberFormat="1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left" vertical="center" wrapText="1"/>
    </xf>
    <xf numFmtId="49" fontId="17" fillId="5" borderId="1" xfId="0" applyNumberFormat="1" applyFont="1" applyFill="1" applyBorder="1" applyAlignment="1">
      <alignment horizontal="center" wrapText="1"/>
    </xf>
    <xf numFmtId="2" fontId="17" fillId="0" borderId="1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wrapText="1"/>
    </xf>
    <xf numFmtId="4" fontId="22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wrapText="1"/>
    </xf>
    <xf numFmtId="0" fontId="23" fillId="11" borderId="1" xfId="0" applyFont="1" applyFill="1" applyBorder="1" applyAlignment="1">
      <alignment horizontal="center" wrapText="1"/>
    </xf>
    <xf numFmtId="49" fontId="23" fillId="11" borderId="1" xfId="0" applyNumberFormat="1" applyFont="1" applyFill="1" applyBorder="1" applyAlignment="1">
      <alignment horizontal="center" wrapText="1"/>
    </xf>
    <xf numFmtId="4" fontId="16" fillId="14" borderId="1" xfId="0" applyNumberFormat="1" applyFont="1" applyFill="1" applyBorder="1" applyAlignment="1">
      <alignment wrapText="1"/>
    </xf>
    <xf numFmtId="49" fontId="17" fillId="5" borderId="1" xfId="0" applyNumberFormat="1" applyFont="1" applyFill="1" applyBorder="1" applyAlignment="1">
      <alignment horizontal="left" wrapText="1"/>
    </xf>
    <xf numFmtId="4" fontId="17" fillId="0" borderId="1" xfId="0" applyNumberFormat="1" applyFont="1" applyBorder="1" applyAlignment="1">
      <alignment wrapText="1"/>
    </xf>
    <xf numFmtId="0" fontId="16" fillId="6" borderId="1" xfId="0" applyFont="1" applyFill="1" applyBorder="1" applyAlignment="1">
      <alignment horizontal="center" vertical="top" wrapText="1"/>
    </xf>
    <xf numFmtId="49" fontId="16" fillId="8" borderId="1" xfId="0" applyNumberFormat="1" applyFont="1" applyFill="1" applyBorder="1" applyAlignment="1">
      <alignment horizontal="center" wrapText="1"/>
    </xf>
    <xf numFmtId="10" fontId="16" fillId="6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top" wrapText="1"/>
    </xf>
    <xf numFmtId="0" fontId="23" fillId="16" borderId="1" xfId="0" applyFont="1" applyFill="1" applyBorder="1" applyAlignment="1">
      <alignment horizontal="left" wrapText="1"/>
    </xf>
    <xf numFmtId="49" fontId="23" fillId="15" borderId="1" xfId="0" applyNumberFormat="1" applyFont="1" applyFill="1" applyBorder="1" applyAlignment="1">
      <alignment horizontal="center" wrapText="1"/>
    </xf>
    <xf numFmtId="3" fontId="23" fillId="15" borderId="1" xfId="0" applyNumberFormat="1" applyFont="1" applyFill="1" applyBorder="1" applyAlignment="1">
      <alignment horizontal="center" vertical="center"/>
    </xf>
    <xf numFmtId="4" fontId="23" fillId="15" borderId="1" xfId="0" applyNumberFormat="1" applyFont="1" applyFill="1" applyBorder="1" applyAlignment="1">
      <alignment horizontal="center" vertical="center"/>
    </xf>
    <xf numFmtId="10" fontId="23" fillId="15" borderId="1" xfId="0" applyNumberFormat="1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wrapText="1"/>
    </xf>
    <xf numFmtId="0" fontId="17" fillId="6" borderId="1" xfId="0" applyFont="1" applyFill="1" applyBorder="1" applyAlignment="1">
      <alignment wrapText="1"/>
    </xf>
    <xf numFmtId="0" fontId="16" fillId="10" borderId="1" xfId="0" applyFont="1" applyFill="1" applyBorder="1" applyAlignment="1">
      <alignment wrapText="1"/>
    </xf>
    <xf numFmtId="0" fontId="12" fillId="17" borderId="1" xfId="0" applyFont="1" applyFill="1" applyBorder="1" applyAlignment="1">
      <alignment horizontal="center"/>
    </xf>
    <xf numFmtId="0" fontId="10" fillId="17" borderId="1" xfId="0" applyFont="1" applyFill="1" applyBorder="1" applyAlignment="1">
      <alignment horizontal="center" vertical="center"/>
    </xf>
    <xf numFmtId="0" fontId="10" fillId="17" borderId="1" xfId="0" applyFont="1" applyFill="1" applyBorder="1" applyAlignment="1">
      <alignment wrapText="1"/>
    </xf>
    <xf numFmtId="49" fontId="16" fillId="6" borderId="1" xfId="0" applyNumberFormat="1" applyFont="1" applyFill="1" applyBorder="1" applyAlignment="1">
      <alignment horizontal="center" wrapText="1"/>
    </xf>
    <xf numFmtId="3" fontId="17" fillId="0" borderId="1" xfId="0" applyNumberFormat="1" applyFont="1" applyBorder="1" applyAlignment="1">
      <alignment horizontal="center"/>
    </xf>
    <xf numFmtId="4" fontId="17" fillId="0" borderId="1" xfId="0" applyNumberFormat="1" applyFont="1" applyBorder="1" applyAlignment="1">
      <alignment horizontal="center"/>
    </xf>
    <xf numFmtId="10" fontId="17" fillId="0" borderId="1" xfId="0" applyNumberFormat="1" applyFont="1" applyBorder="1" applyAlignment="1">
      <alignment horizontal="center"/>
    </xf>
    <xf numFmtId="164" fontId="17" fillId="0" borderId="1" xfId="0" applyNumberFormat="1" applyFont="1" applyBorder="1" applyAlignment="1">
      <alignment horizontal="center"/>
    </xf>
    <xf numFmtId="0" fontId="19" fillId="2" borderId="9" xfId="0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vertical="top" wrapText="1"/>
    </xf>
    <xf numFmtId="0" fontId="1" fillId="2" borderId="27" xfId="0" applyFont="1" applyFill="1" applyBorder="1" applyAlignment="1">
      <alignment vertical="center" wrapText="1"/>
    </xf>
    <xf numFmtId="166" fontId="1" fillId="2" borderId="1" xfId="1" applyNumberFormat="1" applyFont="1" applyFill="1" applyBorder="1" applyAlignment="1">
      <alignment horizontal="center" vertical="center" wrapText="1"/>
    </xf>
    <xf numFmtId="165" fontId="30" fillId="2" borderId="1" xfId="1" applyNumberFormat="1" applyFont="1" applyFill="1" applyBorder="1" applyAlignment="1">
      <alignment horizontal="center" vertical="center" wrapText="1"/>
    </xf>
    <xf numFmtId="0" fontId="1" fillId="0" borderId="27" xfId="3" applyNumberFormat="1" applyFont="1" applyFill="1" applyBorder="1" applyAlignment="1" applyProtection="1">
      <alignment vertical="top" wrapText="1"/>
      <protection hidden="1"/>
    </xf>
    <xf numFmtId="0" fontId="1" fillId="0" borderId="27" xfId="3" applyNumberFormat="1" applyFont="1" applyFill="1" applyBorder="1" applyAlignment="1" applyProtection="1">
      <alignment vertical="center" wrapText="1"/>
      <protection hidden="1"/>
    </xf>
    <xf numFmtId="4" fontId="1" fillId="2" borderId="1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left" vertical="center" wrapText="1"/>
    </xf>
    <xf numFmtId="4" fontId="30" fillId="0" borderId="1" xfId="0" applyNumberFormat="1" applyFont="1" applyBorder="1" applyAlignment="1">
      <alignment horizontal="center" vertical="center"/>
    </xf>
    <xf numFmtId="0" fontId="31" fillId="2" borderId="9" xfId="0" applyFont="1" applyFill="1" applyBorder="1" applyAlignment="1">
      <alignment vertical="top" wrapText="1"/>
    </xf>
    <xf numFmtId="0" fontId="1" fillId="0" borderId="27" xfId="4" applyNumberFormat="1" applyFont="1" applyFill="1" applyBorder="1" applyAlignment="1" applyProtection="1">
      <alignment wrapText="1"/>
      <protection hidden="1"/>
    </xf>
    <xf numFmtId="0" fontId="31" fillId="2" borderId="3" xfId="0" applyFont="1" applyFill="1" applyBorder="1" applyAlignment="1">
      <alignment vertical="top" wrapText="1"/>
    </xf>
    <xf numFmtId="0" fontId="2" fillId="6" borderId="1" xfId="0" applyFont="1" applyFill="1" applyBorder="1"/>
    <xf numFmtId="4" fontId="2" fillId="6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vertical="center" wrapText="1"/>
    </xf>
    <xf numFmtId="166" fontId="2" fillId="7" borderId="1" xfId="1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top" wrapText="1"/>
    </xf>
    <xf numFmtId="166" fontId="30" fillId="7" borderId="1" xfId="1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center" wrapText="1"/>
    </xf>
    <xf numFmtId="166" fontId="2" fillId="6" borderId="1" xfId="1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center" wrapText="1"/>
    </xf>
    <xf numFmtId="4" fontId="1" fillId="6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vertical="top" wrapText="1"/>
    </xf>
    <xf numFmtId="165" fontId="30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top" wrapText="1"/>
    </xf>
    <xf numFmtId="3" fontId="1" fillId="2" borderId="1" xfId="0" applyNumberFormat="1" applyFont="1" applyFill="1" applyBorder="1" applyAlignment="1">
      <alignment vertical="top" wrapText="1"/>
    </xf>
    <xf numFmtId="165" fontId="1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vertical="top" wrapText="1"/>
    </xf>
    <xf numFmtId="49" fontId="9" fillId="0" borderId="1" xfId="0" applyNumberFormat="1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20" fillId="6" borderId="1" xfId="0" applyFont="1" applyFill="1" applyBorder="1" applyAlignment="1">
      <alignment horizontal="left" wrapText="1"/>
    </xf>
    <xf numFmtId="49" fontId="20" fillId="6" borderId="1" xfId="0" applyNumberFormat="1" applyFont="1" applyFill="1" applyBorder="1" applyAlignment="1">
      <alignment horizontal="center" wrapText="1"/>
    </xf>
    <xf numFmtId="3" fontId="20" fillId="6" borderId="1" xfId="0" applyNumberFormat="1" applyFont="1" applyFill="1" applyBorder="1" applyAlignment="1">
      <alignment horizontal="center" vertical="center"/>
    </xf>
    <xf numFmtId="4" fontId="20" fillId="6" borderId="1" xfId="0" applyNumberFormat="1" applyFont="1" applyFill="1" applyBorder="1" applyAlignment="1">
      <alignment horizontal="center" vertical="center"/>
    </xf>
    <xf numFmtId="10" fontId="20" fillId="6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horizontal="center" wrapText="1"/>
    </xf>
    <xf numFmtId="3" fontId="9" fillId="0" borderId="1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20" fillId="6" borderId="1" xfId="0" applyFont="1" applyFill="1" applyBorder="1" applyAlignment="1">
      <alignment horizontal="center" wrapText="1"/>
    </xf>
    <xf numFmtId="4" fontId="20" fillId="14" borderId="1" xfId="0" applyNumberFormat="1" applyFont="1" applyFill="1" applyBorder="1" applyAlignment="1">
      <alignment wrapText="1"/>
    </xf>
    <xf numFmtId="0" fontId="9" fillId="0" borderId="1" xfId="0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wrapText="1"/>
    </xf>
    <xf numFmtId="4" fontId="24" fillId="0" borderId="1" xfId="0" applyNumberFormat="1" applyFont="1" applyBorder="1" applyAlignment="1">
      <alignment horizontal="center" vertical="center"/>
    </xf>
    <xf numFmtId="49" fontId="20" fillId="6" borderId="1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 vertical="top" wrapText="1"/>
    </xf>
    <xf numFmtId="49" fontId="20" fillId="8" borderId="1" xfId="0" applyNumberFormat="1" applyFont="1" applyFill="1" applyBorder="1" applyAlignment="1">
      <alignment horizontal="center" wrapText="1"/>
    </xf>
    <xf numFmtId="0" fontId="9" fillId="5" borderId="1" xfId="0" applyFont="1" applyFill="1" applyBorder="1" applyAlignment="1">
      <alignment vertical="center" wrapText="1"/>
    </xf>
    <xf numFmtId="49" fontId="9" fillId="5" borderId="1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49" fontId="20" fillId="10" borderId="1" xfId="0" applyNumberFormat="1" applyFont="1" applyFill="1" applyBorder="1" applyAlignment="1">
      <alignment horizontal="center"/>
    </xf>
    <xf numFmtId="0" fontId="21" fillId="10" borderId="1" xfId="0" applyFont="1" applyFill="1" applyBorder="1" applyAlignment="1">
      <alignment horizontal="left" wrapText="1"/>
    </xf>
    <xf numFmtId="49" fontId="21" fillId="10" borderId="1" xfId="0" applyNumberFormat="1" applyFont="1" applyFill="1" applyBorder="1" applyAlignment="1">
      <alignment horizontal="center" wrapText="1"/>
    </xf>
    <xf numFmtId="3" fontId="21" fillId="10" borderId="1" xfId="0" applyNumberFormat="1" applyFont="1" applyFill="1" applyBorder="1" applyAlignment="1">
      <alignment horizontal="center" vertical="center"/>
    </xf>
    <xf numFmtId="4" fontId="21" fillId="10" borderId="1" xfId="0" applyNumberFormat="1" applyFont="1" applyFill="1" applyBorder="1" applyAlignment="1">
      <alignment horizontal="center" vertical="center"/>
    </xf>
    <xf numFmtId="10" fontId="21" fillId="10" borderId="1" xfId="0" applyNumberFormat="1" applyFont="1" applyFill="1" applyBorder="1" applyAlignment="1">
      <alignment horizontal="center" vertical="center"/>
    </xf>
    <xf numFmtId="0" fontId="20" fillId="10" borderId="1" xfId="0" applyFont="1" applyFill="1" applyBorder="1" applyAlignment="1">
      <alignment wrapText="1"/>
    </xf>
    <xf numFmtId="0" fontId="20" fillId="10" borderId="0" xfId="0" applyFont="1" applyFill="1" applyAlignment="1"/>
    <xf numFmtId="49" fontId="20" fillId="0" borderId="1" xfId="0" applyNumberFormat="1" applyFont="1" applyBorder="1" applyAlignment="1">
      <alignment horizontal="center"/>
    </xf>
    <xf numFmtId="49" fontId="21" fillId="3" borderId="1" xfId="0" applyNumberFormat="1" applyFont="1" applyFill="1" applyBorder="1" applyAlignment="1">
      <alignment horizontal="center" vertical="center"/>
    </xf>
    <xf numFmtId="49" fontId="21" fillId="3" borderId="1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3" fontId="21" fillId="3" borderId="1" xfId="0" applyNumberFormat="1" applyFont="1" applyFill="1" applyBorder="1" applyAlignment="1">
      <alignment horizontal="center" vertical="center"/>
    </xf>
    <xf numFmtId="4" fontId="21" fillId="3" borderId="1" xfId="0" applyNumberFormat="1" applyFont="1" applyFill="1" applyBorder="1" applyAlignment="1">
      <alignment horizontal="center" vertical="center"/>
    </xf>
    <xf numFmtId="10" fontId="21" fillId="3" borderId="1" xfId="0" applyNumberFormat="1" applyFont="1" applyFill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center" vertical="center" wrapText="1"/>
    </xf>
    <xf numFmtId="4" fontId="21" fillId="2" borderId="1" xfId="0" applyNumberFormat="1" applyFont="1" applyFill="1" applyBorder="1" applyAlignment="1">
      <alignment horizontal="center" vertical="center"/>
    </xf>
    <xf numFmtId="49" fontId="20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/>
    <xf numFmtId="0" fontId="20" fillId="4" borderId="1" xfId="0" applyFont="1" applyFill="1" applyBorder="1" applyAlignment="1">
      <alignment horizontal="center" vertical="center"/>
    </xf>
    <xf numFmtId="4" fontId="20" fillId="4" borderId="1" xfId="0" applyNumberFormat="1" applyFont="1" applyFill="1" applyBorder="1" applyAlignment="1">
      <alignment horizontal="center" vertical="center"/>
    </xf>
    <xf numFmtId="49" fontId="21" fillId="0" borderId="1" xfId="0" applyNumberFormat="1" applyFont="1" applyBorder="1" applyAlignment="1"/>
    <xf numFmtId="0" fontId="21" fillId="0" borderId="1" xfId="0" applyFont="1" applyBorder="1" applyAlignment="1"/>
    <xf numFmtId="0" fontId="21" fillId="0" borderId="1" xfId="0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wrapText="1"/>
    </xf>
    <xf numFmtId="0" fontId="21" fillId="0" borderId="0" xfId="0" applyFont="1" applyAlignment="1"/>
    <xf numFmtId="49" fontId="16" fillId="0" borderId="1" xfId="0" applyNumberFormat="1" applyFont="1" applyBorder="1" applyAlignment="1">
      <alignment horizontal="center"/>
    </xf>
    <xf numFmtId="49" fontId="23" fillId="3" borderId="1" xfId="0" applyNumberFormat="1" applyFont="1" applyFill="1" applyBorder="1" applyAlignment="1">
      <alignment horizontal="center" vertical="center"/>
    </xf>
    <xf numFmtId="49" fontId="23" fillId="3" borderId="1" xfId="0" applyNumberFormat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3" fontId="23" fillId="3" borderId="1" xfId="0" applyNumberFormat="1" applyFont="1" applyFill="1" applyBorder="1" applyAlignment="1">
      <alignment horizontal="center" vertical="center"/>
    </xf>
    <xf numFmtId="4" fontId="23" fillId="3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49" fontId="16" fillId="10" borderId="1" xfId="0" applyNumberFormat="1" applyFont="1" applyFill="1" applyBorder="1" applyAlignment="1">
      <alignment horizontal="center"/>
    </xf>
    <xf numFmtId="0" fontId="23" fillId="10" borderId="1" xfId="0" applyFont="1" applyFill="1" applyBorder="1" applyAlignment="1">
      <alignment horizontal="left" wrapText="1"/>
    </xf>
    <xf numFmtId="49" fontId="16" fillId="6" borderId="1" xfId="0" applyNumberFormat="1" applyFont="1" applyFill="1" applyBorder="1" applyAlignment="1">
      <alignment horizontal="center"/>
    </xf>
    <xf numFmtId="0" fontId="16" fillId="6" borderId="1" xfId="0" applyFont="1" applyFill="1" applyBorder="1" applyAlignment="1">
      <alignment horizontal="center" wrapText="1"/>
    </xf>
    <xf numFmtId="2" fontId="16" fillId="10" borderId="1" xfId="0" applyNumberFormat="1" applyFont="1" applyFill="1" applyBorder="1" applyAlignment="1">
      <alignment horizontal="center"/>
    </xf>
    <xf numFmtId="2" fontId="23" fillId="10" borderId="1" xfId="0" applyNumberFormat="1" applyFont="1" applyFill="1" applyBorder="1" applyAlignment="1">
      <alignment horizontal="left" wrapText="1"/>
    </xf>
    <xf numFmtId="2" fontId="23" fillId="10" borderId="1" xfId="0" applyNumberFormat="1" applyFont="1" applyFill="1" applyBorder="1" applyAlignment="1">
      <alignment horizontal="center" wrapText="1"/>
    </xf>
    <xf numFmtId="2" fontId="23" fillId="10" borderId="1" xfId="0" applyNumberFormat="1" applyFont="1" applyFill="1" applyBorder="1" applyAlignment="1">
      <alignment horizontal="center" vertical="center"/>
    </xf>
    <xf numFmtId="2" fontId="16" fillId="10" borderId="1" xfId="0" applyNumberFormat="1" applyFont="1" applyFill="1" applyBorder="1" applyAlignment="1">
      <alignment wrapText="1"/>
    </xf>
    <xf numFmtId="0" fontId="17" fillId="0" borderId="1" xfId="0" applyFont="1" applyBorder="1" applyAlignment="1">
      <alignment vertical="top" wrapText="1"/>
    </xf>
    <xf numFmtId="49" fontId="16" fillId="7" borderId="1" xfId="0" applyNumberFormat="1" applyFont="1" applyFill="1" applyBorder="1" applyAlignment="1">
      <alignment horizontal="center"/>
    </xf>
    <xf numFmtId="0" fontId="22" fillId="15" borderId="1" xfId="0" applyFont="1" applyFill="1" applyBorder="1" applyAlignment="1">
      <alignment horizontal="left" wrapText="1"/>
    </xf>
    <xf numFmtId="49" fontId="22" fillId="15" borderId="1" xfId="0" applyNumberFormat="1" applyFont="1" applyFill="1" applyBorder="1" applyAlignment="1">
      <alignment horizontal="center" wrapText="1"/>
    </xf>
    <xf numFmtId="3" fontId="17" fillId="15" borderId="1" xfId="0" applyNumberFormat="1" applyFont="1" applyFill="1" applyBorder="1" applyAlignment="1">
      <alignment horizontal="center" vertical="center"/>
    </xf>
    <xf numFmtId="4" fontId="17" fillId="15" borderId="1" xfId="0" applyNumberFormat="1" applyFont="1" applyFill="1" applyBorder="1" applyAlignment="1">
      <alignment horizontal="center" vertical="center"/>
    </xf>
    <xf numFmtId="10" fontId="17" fillId="15" borderId="1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4" fontId="17" fillId="0" borderId="1" xfId="0" applyNumberFormat="1" applyFont="1" applyFill="1" applyBorder="1" applyAlignment="1">
      <alignment horizontal="center" vertical="center"/>
    </xf>
    <xf numFmtId="164" fontId="17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10" fontId="10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10" fontId="17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10" fontId="9" fillId="0" borderId="1" xfId="0" applyNumberFormat="1" applyFont="1" applyFill="1" applyBorder="1" applyAlignment="1">
      <alignment horizontal="center" vertical="center"/>
    </xf>
    <xf numFmtId="3" fontId="17" fillId="0" borderId="1" xfId="0" applyNumberFormat="1" applyFont="1" applyFill="1" applyBorder="1" applyAlignment="1">
      <alignment horizontal="center"/>
    </xf>
    <xf numFmtId="4" fontId="17" fillId="0" borderId="1" xfId="0" applyNumberFormat="1" applyFont="1" applyFill="1" applyBorder="1" applyAlignment="1">
      <alignment horizontal="center"/>
    </xf>
    <xf numFmtId="10" fontId="17" fillId="0" borderId="1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center" vertical="center"/>
    </xf>
    <xf numFmtId="49" fontId="16" fillId="0" borderId="1" xfId="0" applyNumberFormat="1" applyFont="1" applyBorder="1" applyAlignment="1">
      <alignment horizontal="center"/>
    </xf>
    <xf numFmtId="0" fontId="32" fillId="0" borderId="0" xfId="0" applyFont="1"/>
    <xf numFmtId="165" fontId="1" fillId="2" borderId="1" xfId="1" applyNumberFormat="1" applyFon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/>
    </xf>
    <xf numFmtId="165" fontId="3" fillId="12" borderId="1" xfId="1" applyNumberFormat="1" applyFont="1" applyFill="1" applyBorder="1" applyAlignment="1">
      <alignment horizontal="center" vertical="center" wrapText="1"/>
    </xf>
    <xf numFmtId="169" fontId="1" fillId="2" borderId="1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49" fontId="33" fillId="0" borderId="1" xfId="0" applyNumberFormat="1" applyFont="1" applyBorder="1" applyAlignment="1">
      <alignment vertical="distributed" wrapText="1"/>
    </xf>
    <xf numFmtId="49" fontId="33" fillId="0" borderId="1" xfId="0" applyNumberFormat="1" applyFont="1" applyBorder="1" applyAlignment="1">
      <alignment horizontal="center" vertical="top" wrapText="1"/>
    </xf>
    <xf numFmtId="49" fontId="33" fillId="0" borderId="1" xfId="0" applyNumberFormat="1" applyFont="1" applyBorder="1" applyAlignment="1">
      <alignment horizontal="center" vertical="distributed" wrapText="1"/>
    </xf>
    <xf numFmtId="0" fontId="0" fillId="0" borderId="0" xfId="0" applyFont="1"/>
    <xf numFmtId="3" fontId="34" fillId="2" borderId="1" xfId="0" applyNumberFormat="1" applyFont="1" applyFill="1" applyBorder="1" applyAlignment="1">
      <alignment vertical="top" wrapText="1"/>
    </xf>
    <xf numFmtId="4" fontId="35" fillId="2" borderId="1" xfId="0" applyNumberFormat="1" applyFont="1" applyFill="1" applyBorder="1" applyAlignment="1">
      <alignment vertical="distributed" wrapText="1"/>
    </xf>
    <xf numFmtId="3" fontId="35" fillId="2" borderId="1" xfId="0" applyNumberFormat="1" applyFont="1" applyFill="1" applyBorder="1" applyAlignment="1">
      <alignment vertical="top" wrapText="1"/>
    </xf>
    <xf numFmtId="0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7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left" vertical="top" wrapText="1"/>
    </xf>
    <xf numFmtId="0" fontId="16" fillId="2" borderId="49" xfId="0" applyFont="1" applyFill="1" applyBorder="1" applyAlignment="1">
      <alignment horizontal="center" vertical="center" wrapText="1"/>
    </xf>
    <xf numFmtId="0" fontId="29" fillId="2" borderId="49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22" xfId="0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5" fillId="0" borderId="29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4" fontId="6" fillId="0" borderId="25" xfId="0" applyNumberFormat="1" applyFont="1" applyBorder="1" applyAlignment="1">
      <alignment horizontal="center"/>
    </xf>
    <xf numFmtId="4" fontId="6" fillId="0" borderId="26" xfId="0" applyNumberFormat="1" applyFont="1" applyBorder="1" applyAlignment="1">
      <alignment horizontal="center"/>
    </xf>
    <xf numFmtId="4" fontId="6" fillId="0" borderId="12" xfId="0" applyNumberFormat="1" applyFont="1" applyBorder="1" applyAlignment="1">
      <alignment horizontal="center"/>
    </xf>
    <xf numFmtId="4" fontId="6" fillId="0" borderId="14" xfId="0" applyNumberFormat="1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4" fontId="2" fillId="0" borderId="33" xfId="0" applyNumberFormat="1" applyFont="1" applyBorder="1" applyAlignment="1">
      <alignment horizontal="center"/>
    </xf>
    <xf numFmtId="4" fontId="2" fillId="0" borderId="41" xfId="0" applyNumberFormat="1" applyFont="1" applyBorder="1" applyAlignment="1">
      <alignment horizontal="center"/>
    </xf>
    <xf numFmtId="4" fontId="2" fillId="0" borderId="27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0" borderId="45" xfId="0" applyNumberFormat="1" applyFont="1" applyBorder="1" applyAlignment="1">
      <alignment horizontal="center"/>
    </xf>
    <xf numFmtId="4" fontId="2" fillId="0" borderId="44" xfId="0" applyNumberFormat="1" applyFont="1" applyBorder="1" applyAlignment="1">
      <alignment horizontal="center"/>
    </xf>
    <xf numFmtId="4" fontId="2" fillId="0" borderId="4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9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3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4" fontId="2" fillId="0" borderId="24" xfId="0" applyNumberFormat="1" applyFont="1" applyBorder="1" applyAlignment="1">
      <alignment horizontal="center"/>
    </xf>
    <xf numFmtId="4" fontId="2" fillId="0" borderId="11" xfId="0" applyNumberFormat="1" applyFont="1" applyBorder="1" applyAlignment="1">
      <alignment horizontal="center"/>
    </xf>
    <xf numFmtId="4" fontId="2" fillId="0" borderId="21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28" xfId="0" applyNumberFormat="1" applyFont="1" applyBorder="1" applyAlignment="1">
      <alignment horizontal="center"/>
    </xf>
    <xf numFmtId="0" fontId="2" fillId="0" borderId="20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12" fillId="17" borderId="1" xfId="0" applyFont="1" applyFill="1" applyBorder="1" applyAlignment="1">
      <alignment horizontal="center"/>
    </xf>
    <xf numFmtId="4" fontId="21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49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" fontId="21" fillId="2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/>
    </xf>
    <xf numFmtId="0" fontId="16" fillId="0" borderId="54" xfId="0" applyFont="1" applyBorder="1" applyAlignment="1">
      <alignment horizontal="center"/>
    </xf>
    <xf numFmtId="0" fontId="16" fillId="0" borderId="55" xfId="0" applyFont="1" applyBorder="1" applyAlignment="1">
      <alignment horizontal="center"/>
    </xf>
    <xf numFmtId="4" fontId="23" fillId="2" borderId="43" xfId="0" applyNumberFormat="1" applyFont="1" applyFill="1" applyBorder="1" applyAlignment="1">
      <alignment horizontal="center" vertical="center"/>
    </xf>
    <xf numFmtId="4" fontId="23" fillId="2" borderId="31" xfId="0" applyNumberFormat="1" applyFont="1" applyFill="1" applyBorder="1" applyAlignment="1">
      <alignment horizontal="center" vertical="center"/>
    </xf>
    <xf numFmtId="4" fontId="23" fillId="2" borderId="70" xfId="0" applyNumberFormat="1" applyFont="1" applyFill="1" applyBorder="1" applyAlignment="1">
      <alignment horizontal="center" vertical="center"/>
    </xf>
    <xf numFmtId="4" fontId="15" fillId="0" borderId="46" xfId="0" applyNumberFormat="1" applyFont="1" applyBorder="1" applyAlignment="1">
      <alignment horizontal="center" vertical="center"/>
    </xf>
    <xf numFmtId="4" fontId="15" fillId="0" borderId="16" xfId="0" applyNumberFormat="1" applyFont="1" applyBorder="1" applyAlignment="1">
      <alignment horizontal="center" vertical="center"/>
    </xf>
    <xf numFmtId="4" fontId="15" fillId="0" borderId="21" xfId="0" applyNumberFormat="1" applyFont="1" applyBorder="1" applyAlignment="1">
      <alignment horizontal="center" vertical="center"/>
    </xf>
    <xf numFmtId="49" fontId="16" fillId="0" borderId="38" xfId="0" applyNumberFormat="1" applyFont="1" applyBorder="1" applyAlignment="1">
      <alignment horizontal="center"/>
    </xf>
    <xf numFmtId="49" fontId="16" fillId="0" borderId="19" xfId="0" applyNumberFormat="1" applyFont="1" applyBorder="1" applyAlignment="1">
      <alignment horizontal="center"/>
    </xf>
    <xf numFmtId="0" fontId="16" fillId="0" borderId="50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50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27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4" fontId="34" fillId="2" borderId="1" xfId="0" applyNumberFormat="1" applyFont="1" applyFill="1" applyBorder="1" applyAlignment="1">
      <alignment vertical="distributed" wrapText="1"/>
    </xf>
    <xf numFmtId="4" fontId="34" fillId="0" borderId="1" xfId="0" applyNumberFormat="1" applyFont="1" applyBorder="1" applyAlignment="1">
      <alignment vertical="distributed" wrapText="1"/>
    </xf>
  </cellXfs>
  <cellStyles count="5">
    <cellStyle name="Обычный" xfId="0" builtinId="0"/>
    <cellStyle name="Обычный 2" xfId="2"/>
    <cellStyle name="Обычный 2 2" xfId="3"/>
    <cellStyle name="Обычный 2 3" xfId="4"/>
    <cellStyle name="Финансовый" xfId="1" builtinId="3"/>
  </cellStyles>
  <dxfs count="0"/>
  <tableStyles count="0" defaultTableStyle="TableStyleMedium9" defaultPivotStyle="PivotStyleLight16"/>
  <colors>
    <mruColors>
      <color rgb="FFFDFCF5"/>
      <color rgb="FFF8F8F8"/>
      <color rgb="FFFEF9F4"/>
      <color rgb="FFFEF2E8"/>
      <color rgb="FFFFF8EF"/>
      <color rgb="FFF8F7F2"/>
      <color rgb="FFF9F6DA"/>
      <color rgb="FFEDE3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1"/>
  <sheetViews>
    <sheetView view="pageBreakPreview" topLeftCell="B1" zoomScaleSheetLayoutView="100" workbookViewId="0">
      <selection activeCell="G91" sqref="G91:G115"/>
    </sheetView>
  </sheetViews>
  <sheetFormatPr defaultColWidth="9.140625" defaultRowHeight="15" x14ac:dyDescent="0.25"/>
  <cols>
    <col min="1" max="1" width="6.5703125" style="763" hidden="1" customWidth="1"/>
    <col min="2" max="2" width="55.140625" style="763" customWidth="1"/>
    <col min="3" max="3" width="20.85546875" style="763" customWidth="1"/>
    <col min="4" max="5" width="16.7109375" style="763" customWidth="1"/>
    <col min="6" max="6" width="17.42578125" style="763" customWidth="1"/>
    <col min="7" max="7" width="20.85546875" style="763" customWidth="1"/>
    <col min="8" max="16384" width="9.140625" style="763"/>
  </cols>
  <sheetData>
    <row r="1" spans="1:7" ht="73.5" customHeight="1" x14ac:dyDescent="0.25">
      <c r="A1" s="1039" t="s">
        <v>490</v>
      </c>
      <c r="B1" s="1039"/>
      <c r="C1" s="1039"/>
      <c r="D1" s="1039"/>
      <c r="E1" s="1039"/>
      <c r="F1" s="1039"/>
      <c r="G1" s="1039"/>
    </row>
    <row r="2" spans="1:7" ht="88.5" customHeight="1" x14ac:dyDescent="0.25">
      <c r="A2" s="1040" t="s">
        <v>410</v>
      </c>
      <c r="B2" s="1040"/>
      <c r="C2" s="1040"/>
      <c r="D2" s="1040"/>
      <c r="E2" s="1040"/>
      <c r="F2" s="1040"/>
      <c r="G2" s="1040"/>
    </row>
    <row r="3" spans="1:7" x14ac:dyDescent="0.25">
      <c r="A3" s="1041" t="s">
        <v>292</v>
      </c>
      <c r="B3" s="1041"/>
      <c r="C3" s="1041"/>
      <c r="D3" s="1041"/>
      <c r="E3" s="1041"/>
      <c r="F3" s="1041"/>
      <c r="G3" s="1042"/>
    </row>
    <row r="4" spans="1:7" ht="15" customHeight="1" x14ac:dyDescent="0.25">
      <c r="A4" s="1037" t="s">
        <v>0</v>
      </c>
      <c r="B4" s="1043" t="s">
        <v>78</v>
      </c>
      <c r="C4" s="1043" t="s">
        <v>349</v>
      </c>
      <c r="D4" s="808" t="s">
        <v>43</v>
      </c>
      <c r="E4" s="808" t="s">
        <v>44</v>
      </c>
      <c r="F4" s="808" t="s">
        <v>293</v>
      </c>
      <c r="G4" s="1037" t="s">
        <v>199</v>
      </c>
    </row>
    <row r="5" spans="1:7" ht="39.75" customHeight="1" x14ac:dyDescent="0.25">
      <c r="A5" s="1038"/>
      <c r="B5" s="1044"/>
      <c r="C5" s="1044"/>
      <c r="D5" s="804" t="s">
        <v>77</v>
      </c>
      <c r="E5" s="804" t="s">
        <v>77</v>
      </c>
      <c r="F5" s="804" t="s">
        <v>77</v>
      </c>
      <c r="G5" s="1038"/>
    </row>
    <row r="6" spans="1:7" x14ac:dyDescent="0.25">
      <c r="A6" s="121"/>
      <c r="B6" s="910" t="s">
        <v>79</v>
      </c>
      <c r="C6" s="910"/>
      <c r="D6" s="912">
        <f>D8+D14</f>
        <v>-12820237</v>
      </c>
      <c r="E6" s="912">
        <f t="shared" ref="E6:F6" si="0">E8+E14</f>
        <v>0</v>
      </c>
      <c r="F6" s="912">
        <f t="shared" si="0"/>
        <v>0</v>
      </c>
      <c r="G6" s="913"/>
    </row>
    <row r="7" spans="1:7" x14ac:dyDescent="0.25">
      <c r="A7" s="122"/>
      <c r="B7" s="829" t="s">
        <v>80</v>
      </c>
      <c r="C7" s="829"/>
      <c r="D7" s="830"/>
      <c r="E7" s="920"/>
      <c r="F7" s="920"/>
      <c r="G7" s="829"/>
    </row>
    <row r="8" spans="1:7" ht="15.75" customHeight="1" x14ac:dyDescent="0.25">
      <c r="A8" s="124"/>
      <c r="B8" s="825" t="s">
        <v>208</v>
      </c>
      <c r="C8" s="825"/>
      <c r="D8" s="827">
        <f>D9+D10+D11+D12+D13</f>
        <v>619349</v>
      </c>
      <c r="E8" s="827">
        <f t="shared" ref="E8:F8" si="1">E9+E10+E11</f>
        <v>0</v>
      </c>
      <c r="F8" s="827">
        <f t="shared" si="1"/>
        <v>0</v>
      </c>
      <c r="G8" s="908"/>
    </row>
    <row r="9" spans="1:7" ht="30" customHeight="1" x14ac:dyDescent="0.25">
      <c r="A9" s="124"/>
      <c r="B9" s="31" t="s">
        <v>547</v>
      </c>
      <c r="C9" s="31" t="s">
        <v>548</v>
      </c>
      <c r="D9" s="820">
        <v>-785651</v>
      </c>
      <c r="E9" s="921"/>
      <c r="F9" s="921"/>
      <c r="G9" s="841" t="s">
        <v>553</v>
      </c>
    </row>
    <row r="10" spans="1:7" ht="39" customHeight="1" x14ac:dyDescent="0.25">
      <c r="A10" s="122"/>
      <c r="B10" s="829" t="s">
        <v>441</v>
      </c>
      <c r="C10" s="819" t="s">
        <v>421</v>
      </c>
      <c r="D10" s="830">
        <v>1540000</v>
      </c>
      <c r="E10" s="920"/>
      <c r="F10" s="920"/>
      <c r="G10" s="841" t="s">
        <v>443</v>
      </c>
    </row>
    <row r="11" spans="1:7" ht="29.25" customHeight="1" x14ac:dyDescent="0.25">
      <c r="A11" s="122"/>
      <c r="B11" s="829" t="s">
        <v>442</v>
      </c>
      <c r="C11" s="819" t="s">
        <v>422</v>
      </c>
      <c r="D11" s="830">
        <v>-135000</v>
      </c>
      <c r="E11" s="920"/>
      <c r="F11" s="920"/>
      <c r="G11" s="841" t="s">
        <v>443</v>
      </c>
    </row>
    <row r="12" spans="1:7" ht="28.5" hidden="1" customHeight="1" x14ac:dyDescent="0.25">
      <c r="A12" s="122"/>
      <c r="B12" s="829" t="s">
        <v>481</v>
      </c>
      <c r="C12" s="922" t="s">
        <v>550</v>
      </c>
      <c r="D12" s="830"/>
      <c r="E12" s="920"/>
      <c r="F12" s="920"/>
      <c r="G12" s="841" t="s">
        <v>443</v>
      </c>
    </row>
    <row r="13" spans="1:7" ht="22.5" hidden="1" customHeight="1" x14ac:dyDescent="0.25">
      <c r="A13" s="122"/>
      <c r="B13" s="829" t="s">
        <v>549</v>
      </c>
      <c r="C13" s="829" t="s">
        <v>555</v>
      </c>
      <c r="D13" s="830"/>
      <c r="E13" s="920"/>
      <c r="F13" s="920"/>
      <c r="G13" s="841" t="s">
        <v>443</v>
      </c>
    </row>
    <row r="14" spans="1:7" ht="20.25" customHeight="1" x14ac:dyDescent="0.25">
      <c r="A14" s="764"/>
      <c r="B14" s="825" t="s">
        <v>209</v>
      </c>
      <c r="C14" s="825"/>
      <c r="D14" s="827">
        <f>D15+D16+D17+D18+D19+D20+D21+D22+D23</f>
        <v>-13439586</v>
      </c>
      <c r="E14" s="827">
        <f t="shared" ref="E14:F14" si="2">E16+E17+E18+E19+E20+E21+E22+E23</f>
        <v>0</v>
      </c>
      <c r="F14" s="827">
        <f t="shared" si="2"/>
        <v>0</v>
      </c>
      <c r="G14" s="825"/>
    </row>
    <row r="15" spans="1:7" ht="25.5" customHeight="1" x14ac:dyDescent="0.25">
      <c r="A15" s="764"/>
      <c r="B15" s="31" t="s">
        <v>551</v>
      </c>
      <c r="C15" s="923" t="s">
        <v>552</v>
      </c>
      <c r="D15" s="820">
        <v>-22100</v>
      </c>
      <c r="E15" s="820"/>
      <c r="F15" s="820"/>
      <c r="G15" s="31" t="s">
        <v>557</v>
      </c>
    </row>
    <row r="16" spans="1:7" ht="27" customHeight="1" x14ac:dyDescent="0.25">
      <c r="A16" s="122"/>
      <c r="B16" s="829" t="s">
        <v>239</v>
      </c>
      <c r="C16" s="829" t="s">
        <v>583</v>
      </c>
      <c r="D16" s="830">
        <v>1060367</v>
      </c>
      <c r="E16" s="920"/>
      <c r="F16" s="920"/>
      <c r="G16" s="829" t="s">
        <v>425</v>
      </c>
    </row>
    <row r="17" spans="1:7" ht="27.75" customHeight="1" x14ac:dyDescent="0.25">
      <c r="A17" s="122"/>
      <c r="B17" s="829" t="s">
        <v>240</v>
      </c>
      <c r="C17" s="829" t="s">
        <v>453</v>
      </c>
      <c r="D17" s="830">
        <v>-100000</v>
      </c>
      <c r="E17" s="920"/>
      <c r="F17" s="920"/>
      <c r="G17" s="829" t="s">
        <v>425</v>
      </c>
    </row>
    <row r="18" spans="1:7" ht="26.25" customHeight="1" x14ac:dyDescent="0.25">
      <c r="A18" s="122"/>
      <c r="B18" s="829" t="s">
        <v>241</v>
      </c>
      <c r="C18" s="819" t="s">
        <v>554</v>
      </c>
      <c r="D18" s="830">
        <v>-17842000</v>
      </c>
      <c r="E18" s="924"/>
      <c r="F18" s="924"/>
      <c r="G18" s="925" t="s">
        <v>425</v>
      </c>
    </row>
    <row r="19" spans="1:7" ht="39.75" hidden="1" customHeight="1" x14ac:dyDescent="0.25">
      <c r="A19" s="122"/>
      <c r="B19" s="829" t="s">
        <v>419</v>
      </c>
      <c r="C19" s="819" t="s">
        <v>420</v>
      </c>
      <c r="D19" s="830"/>
      <c r="E19" s="920"/>
      <c r="F19" s="920"/>
      <c r="G19" s="829" t="s">
        <v>423</v>
      </c>
    </row>
    <row r="20" spans="1:7" ht="41.25" customHeight="1" x14ac:dyDescent="0.25">
      <c r="A20" s="122"/>
      <c r="B20" s="829" t="s">
        <v>242</v>
      </c>
      <c r="C20" s="922" t="s">
        <v>444</v>
      </c>
      <c r="D20" s="830">
        <v>335130</v>
      </c>
      <c r="E20" s="920"/>
      <c r="F20" s="920"/>
      <c r="G20" s="829" t="s">
        <v>584</v>
      </c>
    </row>
    <row r="21" spans="1:7" ht="34.5" customHeight="1" x14ac:dyDescent="0.25">
      <c r="A21" s="122"/>
      <c r="B21" s="829" t="s">
        <v>243</v>
      </c>
      <c r="C21" s="819" t="s">
        <v>424</v>
      </c>
      <c r="D21" s="830">
        <f>(3416600-287583)</f>
        <v>3129017</v>
      </c>
      <c r="E21" s="920"/>
      <c r="F21" s="920"/>
      <c r="G21" s="829" t="s">
        <v>425</v>
      </c>
    </row>
    <row r="22" spans="1:7" ht="45" hidden="1" customHeight="1" x14ac:dyDescent="0.25">
      <c r="A22" s="122"/>
      <c r="B22" s="829" t="s">
        <v>244</v>
      </c>
      <c r="C22" s="819" t="s">
        <v>426</v>
      </c>
      <c r="D22" s="830"/>
      <c r="E22" s="920"/>
      <c r="F22" s="920"/>
      <c r="G22" s="829" t="s">
        <v>445</v>
      </c>
    </row>
    <row r="23" spans="1:7" ht="55.5" hidden="1" customHeight="1" x14ac:dyDescent="0.25">
      <c r="A23" s="122"/>
      <c r="B23" s="829" t="s">
        <v>418</v>
      </c>
      <c r="C23" s="819" t="s">
        <v>427</v>
      </c>
      <c r="D23" s="830"/>
      <c r="E23" s="920"/>
      <c r="F23" s="920"/>
      <c r="G23" s="829" t="s">
        <v>556</v>
      </c>
    </row>
    <row r="24" spans="1:7" ht="15.75" customHeight="1" x14ac:dyDescent="0.25">
      <c r="A24" s="121"/>
      <c r="B24" s="910" t="s">
        <v>211</v>
      </c>
      <c r="C24" s="911"/>
      <c r="D24" s="912">
        <f>D27+D28+D40+D81+D123</f>
        <v>58822613.329999998</v>
      </c>
      <c r="E24" s="912">
        <f>E27+E28+E40+E81+E123</f>
        <v>16477306.300000001</v>
      </c>
      <c r="F24" s="912">
        <f>F27+F28+F40+F81+F123</f>
        <v>0</v>
      </c>
      <c r="G24" s="913"/>
    </row>
    <row r="25" spans="1:7" ht="30" customHeight="1" x14ac:dyDescent="0.25">
      <c r="A25" s="121"/>
      <c r="B25" s="914" t="s">
        <v>223</v>
      </c>
      <c r="C25" s="915"/>
      <c r="D25" s="912">
        <f>D27</f>
        <v>5000000</v>
      </c>
      <c r="E25" s="916"/>
      <c r="F25" s="916"/>
      <c r="G25" s="910"/>
    </row>
    <row r="26" spans="1:7" ht="30.75" hidden="1" customHeight="1" x14ac:dyDescent="0.25">
      <c r="A26" s="121"/>
      <c r="B26" s="917"/>
      <c r="C26" s="918"/>
      <c r="D26" s="919"/>
      <c r="E26" s="916"/>
      <c r="F26" s="916"/>
      <c r="G26" s="913"/>
    </row>
    <row r="27" spans="1:7" ht="42" customHeight="1" x14ac:dyDescent="0.25">
      <c r="A27" s="121"/>
      <c r="B27" s="917" t="s">
        <v>546</v>
      </c>
      <c r="C27" s="918" t="s">
        <v>545</v>
      </c>
      <c r="D27" s="919">
        <v>5000000</v>
      </c>
      <c r="E27" s="916"/>
      <c r="F27" s="916"/>
      <c r="G27" s="913" t="s">
        <v>431</v>
      </c>
    </row>
    <row r="28" spans="1:7" ht="28.5" customHeight="1" x14ac:dyDescent="0.25">
      <c r="A28" s="124"/>
      <c r="B28" s="825" t="s">
        <v>81</v>
      </c>
      <c r="C28" s="826"/>
      <c r="D28" s="827">
        <f>SUM(D31:D39)</f>
        <v>-184831</v>
      </c>
      <c r="E28" s="827">
        <f>SUM(E31:E39)</f>
        <v>494326.3</v>
      </c>
      <c r="F28" s="827">
        <f t="shared" ref="F28" si="3">SUM(F31:F39)</f>
        <v>0</v>
      </c>
      <c r="G28" s="813"/>
    </row>
    <row r="29" spans="1:7" ht="28.5" hidden="1" customHeight="1" x14ac:dyDescent="0.25">
      <c r="A29" s="124"/>
      <c r="B29" s="125" t="s">
        <v>350</v>
      </c>
      <c r="C29" s="799" t="s">
        <v>351</v>
      </c>
      <c r="D29" s="126"/>
      <c r="E29" s="765"/>
      <c r="F29" s="765"/>
      <c r="G29" s="766"/>
    </row>
    <row r="30" spans="1:7" ht="38.25" hidden="1" x14ac:dyDescent="0.25">
      <c r="A30" s="122"/>
      <c r="B30" s="122" t="s">
        <v>352</v>
      </c>
      <c r="C30" s="798" t="s">
        <v>353</v>
      </c>
      <c r="D30" s="123"/>
      <c r="E30" s="767"/>
      <c r="F30" s="768"/>
      <c r="G30" s="1045" t="s">
        <v>183</v>
      </c>
    </row>
    <row r="31" spans="1:7" ht="51" customHeight="1" x14ac:dyDescent="0.25">
      <c r="A31" s="122"/>
      <c r="B31" s="31" t="s">
        <v>603</v>
      </c>
      <c r="C31" s="822" t="s">
        <v>604</v>
      </c>
      <c r="D31" s="820"/>
      <c r="E31" s="893">
        <v>467873.3</v>
      </c>
      <c r="F31" s="768"/>
      <c r="G31" s="1046"/>
    </row>
    <row r="32" spans="1:7" ht="51.75" hidden="1" customHeight="1" x14ac:dyDescent="0.25">
      <c r="A32" s="122"/>
      <c r="B32" s="122" t="s">
        <v>428</v>
      </c>
      <c r="C32" s="798" t="s">
        <v>446</v>
      </c>
      <c r="D32" s="123"/>
      <c r="E32" s="767"/>
      <c r="F32" s="127"/>
      <c r="G32" s="1046"/>
    </row>
    <row r="33" spans="1:7" ht="29.25" customHeight="1" x14ac:dyDescent="0.25">
      <c r="A33" s="122"/>
      <c r="B33" s="31" t="s">
        <v>470</v>
      </c>
      <c r="C33" s="822" t="s">
        <v>469</v>
      </c>
      <c r="D33" s="820"/>
      <c r="E33" s="893">
        <v>26453</v>
      </c>
      <c r="F33" s="127"/>
      <c r="G33" s="1046"/>
    </row>
    <row r="34" spans="1:7" ht="43.5" hidden="1" customHeight="1" x14ac:dyDescent="0.25">
      <c r="A34" s="122"/>
      <c r="B34" s="122" t="s">
        <v>448</v>
      </c>
      <c r="C34" s="798" t="s">
        <v>447</v>
      </c>
      <c r="D34" s="123"/>
      <c r="E34" s="767"/>
      <c r="F34" s="127"/>
      <c r="G34" s="1046"/>
    </row>
    <row r="35" spans="1:7" ht="57" hidden="1" customHeight="1" x14ac:dyDescent="0.25">
      <c r="A35" s="125"/>
      <c r="B35" s="769" t="s">
        <v>429</v>
      </c>
      <c r="C35" s="798" t="s">
        <v>464</v>
      </c>
      <c r="D35" s="126"/>
      <c r="E35" s="770"/>
      <c r="F35" s="770"/>
      <c r="G35" s="1046"/>
    </row>
    <row r="36" spans="1:7" ht="29.25" hidden="1" customHeight="1" x14ac:dyDescent="0.25">
      <c r="A36" s="125"/>
      <c r="B36" s="769" t="s">
        <v>354</v>
      </c>
      <c r="C36" s="798" t="s">
        <v>355</v>
      </c>
      <c r="D36" s="126"/>
      <c r="E36" s="770"/>
      <c r="F36" s="770"/>
      <c r="G36" s="1046"/>
    </row>
    <row r="37" spans="1:7" ht="39" hidden="1" x14ac:dyDescent="0.25">
      <c r="A37" s="125"/>
      <c r="B37" s="769" t="s">
        <v>356</v>
      </c>
      <c r="C37" s="798" t="s">
        <v>357</v>
      </c>
      <c r="D37" s="126"/>
      <c r="E37" s="770"/>
      <c r="F37" s="770"/>
      <c r="G37" s="1046"/>
    </row>
    <row r="38" spans="1:7" ht="34.5" customHeight="1" x14ac:dyDescent="0.25">
      <c r="A38" s="125"/>
      <c r="B38" s="818" t="s">
        <v>491</v>
      </c>
      <c r="C38" s="819" t="s">
        <v>492</v>
      </c>
      <c r="D38" s="820">
        <v>228746</v>
      </c>
      <c r="E38" s="821"/>
      <c r="F38" s="821"/>
      <c r="G38" s="1046"/>
    </row>
    <row r="39" spans="1:7" ht="42" customHeight="1" x14ac:dyDescent="0.25">
      <c r="A39" s="125"/>
      <c r="B39" s="818" t="s">
        <v>559</v>
      </c>
      <c r="C39" s="819" t="s">
        <v>558</v>
      </c>
      <c r="D39" s="820">
        <v>-413577</v>
      </c>
      <c r="E39" s="821"/>
      <c r="F39" s="821"/>
      <c r="G39" s="1047"/>
    </row>
    <row r="40" spans="1:7" ht="30.75" customHeight="1" x14ac:dyDescent="0.25">
      <c r="A40" s="124"/>
      <c r="B40" s="825" t="s">
        <v>82</v>
      </c>
      <c r="C40" s="826"/>
      <c r="D40" s="827">
        <f>SUM(D41:D80)</f>
        <v>51027155</v>
      </c>
      <c r="E40" s="828">
        <f>E49+E56+E64+E70+E71+E75</f>
        <v>0</v>
      </c>
      <c r="F40" s="828">
        <f t="shared" ref="F40" si="4">SUM(F42:F80)</f>
        <v>0</v>
      </c>
      <c r="G40" s="813"/>
    </row>
    <row r="41" spans="1:7" ht="30.75" customHeight="1" x14ac:dyDescent="0.25">
      <c r="A41" s="124"/>
      <c r="B41" s="31" t="s">
        <v>517</v>
      </c>
      <c r="C41" s="837" t="s">
        <v>516</v>
      </c>
      <c r="D41" s="820">
        <v>1552351</v>
      </c>
      <c r="E41" s="823"/>
      <c r="F41" s="823"/>
      <c r="G41" s="766"/>
    </row>
    <row r="42" spans="1:7" ht="28.5" customHeight="1" x14ac:dyDescent="0.25">
      <c r="A42" s="124"/>
      <c r="B42" s="31" t="s">
        <v>430</v>
      </c>
      <c r="C42" s="822" t="s">
        <v>465</v>
      </c>
      <c r="D42" s="820">
        <v>640000</v>
      </c>
      <c r="E42" s="824"/>
      <c r="F42" s="824"/>
      <c r="G42" s="1045" t="s">
        <v>183</v>
      </c>
    </row>
    <row r="43" spans="1:7" ht="42.75" customHeight="1" x14ac:dyDescent="0.25">
      <c r="A43" s="124"/>
      <c r="B43" s="31" t="s">
        <v>475</v>
      </c>
      <c r="C43" s="822" t="s">
        <v>476</v>
      </c>
      <c r="D43" s="820">
        <v>-2205119</v>
      </c>
      <c r="E43" s="824"/>
      <c r="F43" s="824"/>
      <c r="G43" s="1046"/>
    </row>
    <row r="44" spans="1:7" ht="32.25" customHeight="1" x14ac:dyDescent="0.25">
      <c r="A44" s="124"/>
      <c r="B44" s="31" t="s">
        <v>493</v>
      </c>
      <c r="C44" s="822" t="s">
        <v>601</v>
      </c>
      <c r="D44" s="820">
        <f>49939-66089</f>
        <v>-16150</v>
      </c>
      <c r="E44" s="824"/>
      <c r="F44" s="824"/>
      <c r="G44" s="1046"/>
    </row>
    <row r="45" spans="1:7" ht="27.75" customHeight="1" x14ac:dyDescent="0.25">
      <c r="A45" s="122"/>
      <c r="B45" s="829" t="s">
        <v>432</v>
      </c>
      <c r="C45" s="819" t="s">
        <v>433</v>
      </c>
      <c r="D45" s="830">
        <f>(-303400-1967498)</f>
        <v>-2270898</v>
      </c>
      <c r="E45" s="831"/>
      <c r="F45" s="831"/>
      <c r="G45" s="1046"/>
    </row>
    <row r="46" spans="1:7" ht="27.75" customHeight="1" x14ac:dyDescent="0.25">
      <c r="A46" s="122"/>
      <c r="B46" s="829" t="s">
        <v>572</v>
      </c>
      <c r="C46" s="819" t="s">
        <v>571</v>
      </c>
      <c r="D46" s="830">
        <v>-91792</v>
      </c>
      <c r="E46" s="831"/>
      <c r="F46" s="831"/>
      <c r="G46" s="1046"/>
    </row>
    <row r="47" spans="1:7" ht="34.5" customHeight="1" x14ac:dyDescent="0.25">
      <c r="A47" s="122"/>
      <c r="B47" s="829" t="s">
        <v>561</v>
      </c>
      <c r="C47" s="819" t="s">
        <v>560</v>
      </c>
      <c r="D47" s="830">
        <v>10210</v>
      </c>
      <c r="E47" s="831"/>
      <c r="F47" s="831"/>
      <c r="G47" s="1046"/>
    </row>
    <row r="48" spans="1:7" ht="34.5" customHeight="1" x14ac:dyDescent="0.25">
      <c r="A48" s="122"/>
      <c r="B48" s="829" t="s">
        <v>563</v>
      </c>
      <c r="C48" s="819" t="s">
        <v>562</v>
      </c>
      <c r="D48" s="830">
        <f>(4874449-167336)</f>
        <v>4707113</v>
      </c>
      <c r="E48" s="831"/>
      <c r="F48" s="831"/>
      <c r="G48" s="1046"/>
    </row>
    <row r="49" spans="1:7" ht="26.25" customHeight="1" x14ac:dyDescent="0.25">
      <c r="A49" s="122"/>
      <c r="B49" s="829" t="s">
        <v>277</v>
      </c>
      <c r="C49" s="819" t="s">
        <v>358</v>
      </c>
      <c r="D49" s="820">
        <v>2373754</v>
      </c>
      <c r="E49" s="830"/>
      <c r="F49" s="830"/>
      <c r="G49" s="1046"/>
    </row>
    <row r="50" spans="1:7" ht="38.25" customHeight="1" x14ac:dyDescent="0.25">
      <c r="A50" s="122"/>
      <c r="B50" s="829" t="s">
        <v>494</v>
      </c>
      <c r="C50" s="819" t="s">
        <v>495</v>
      </c>
      <c r="D50" s="820">
        <v>-221377</v>
      </c>
      <c r="E50" s="830"/>
      <c r="F50" s="830"/>
      <c r="G50" s="1046"/>
    </row>
    <row r="51" spans="1:7" x14ac:dyDescent="0.25">
      <c r="A51" s="122"/>
      <c r="B51" s="829" t="s">
        <v>497</v>
      </c>
      <c r="C51" s="819" t="s">
        <v>496</v>
      </c>
      <c r="D51" s="820">
        <v>-63150</v>
      </c>
      <c r="E51" s="830"/>
      <c r="F51" s="830"/>
      <c r="G51" s="1046"/>
    </row>
    <row r="52" spans="1:7" ht="63" customHeight="1" x14ac:dyDescent="0.25">
      <c r="A52" s="122"/>
      <c r="B52" s="829" t="s">
        <v>210</v>
      </c>
      <c r="C52" s="819" t="s">
        <v>359</v>
      </c>
      <c r="D52" s="830">
        <v>1076043</v>
      </c>
      <c r="E52" s="830"/>
      <c r="F52" s="830"/>
      <c r="G52" s="1046"/>
    </row>
    <row r="53" spans="1:7" ht="30.75" customHeight="1" x14ac:dyDescent="0.25">
      <c r="A53" s="122"/>
      <c r="B53" s="829" t="s">
        <v>499</v>
      </c>
      <c r="C53" s="819" t="s">
        <v>498</v>
      </c>
      <c r="D53" s="830">
        <v>-794850</v>
      </c>
      <c r="E53" s="830"/>
      <c r="F53" s="830"/>
      <c r="G53" s="1046"/>
    </row>
    <row r="54" spans="1:7" ht="36" customHeight="1" x14ac:dyDescent="0.25">
      <c r="A54" s="122"/>
      <c r="B54" s="829" t="s">
        <v>477</v>
      </c>
      <c r="C54" s="819" t="s">
        <v>478</v>
      </c>
      <c r="D54" s="830">
        <v>-450000</v>
      </c>
      <c r="E54" s="830"/>
      <c r="F54" s="830"/>
      <c r="G54" s="1046"/>
    </row>
    <row r="55" spans="1:7" ht="40.5" customHeight="1" x14ac:dyDescent="0.25">
      <c r="A55" s="122"/>
      <c r="B55" s="829" t="s">
        <v>434</v>
      </c>
      <c r="C55" s="819" t="s">
        <v>435</v>
      </c>
      <c r="D55" s="830">
        <v>-80000</v>
      </c>
      <c r="E55" s="830"/>
      <c r="F55" s="830"/>
      <c r="G55" s="1046"/>
    </row>
    <row r="56" spans="1:7" ht="29.25" customHeight="1" x14ac:dyDescent="0.25">
      <c r="A56" s="122"/>
      <c r="B56" s="829" t="s">
        <v>574</v>
      </c>
      <c r="C56" s="819" t="s">
        <v>573</v>
      </c>
      <c r="D56" s="830">
        <v>-530167</v>
      </c>
      <c r="E56" s="830"/>
      <c r="F56" s="830"/>
      <c r="G56" s="1046"/>
    </row>
    <row r="57" spans="1:7" ht="36" customHeight="1" x14ac:dyDescent="0.25">
      <c r="A57" s="122"/>
      <c r="B57" s="829" t="s">
        <v>501</v>
      </c>
      <c r="C57" s="819" t="s">
        <v>500</v>
      </c>
      <c r="D57" s="830">
        <v>85434</v>
      </c>
      <c r="E57" s="830"/>
      <c r="F57" s="830"/>
      <c r="G57" s="1046"/>
    </row>
    <row r="58" spans="1:7" ht="36" customHeight="1" x14ac:dyDescent="0.25">
      <c r="A58" s="122"/>
      <c r="B58" s="829" t="s">
        <v>503</v>
      </c>
      <c r="C58" s="819" t="s">
        <v>502</v>
      </c>
      <c r="D58" s="830">
        <v>492020</v>
      </c>
      <c r="E58" s="830"/>
      <c r="F58" s="830"/>
      <c r="G58" s="1046"/>
    </row>
    <row r="59" spans="1:7" ht="36" customHeight="1" x14ac:dyDescent="0.25">
      <c r="A59" s="122"/>
      <c r="B59" s="829" t="s">
        <v>505</v>
      </c>
      <c r="C59" s="819" t="s">
        <v>504</v>
      </c>
      <c r="D59" s="830">
        <f>(103654+65819)</f>
        <v>169473</v>
      </c>
      <c r="E59" s="830"/>
      <c r="F59" s="830"/>
      <c r="G59" s="1046"/>
    </row>
    <row r="60" spans="1:7" ht="36" customHeight="1" x14ac:dyDescent="0.25">
      <c r="A60" s="122"/>
      <c r="B60" s="829" t="s">
        <v>507</v>
      </c>
      <c r="C60" s="819" t="s">
        <v>506</v>
      </c>
      <c r="D60" s="830">
        <v>15894</v>
      </c>
      <c r="E60" s="830"/>
      <c r="F60" s="830"/>
      <c r="G60" s="1046"/>
    </row>
    <row r="61" spans="1:7" ht="28.5" customHeight="1" x14ac:dyDescent="0.25">
      <c r="A61" s="122"/>
      <c r="B61" s="829" t="s">
        <v>360</v>
      </c>
      <c r="C61" s="819" t="s">
        <v>361</v>
      </c>
      <c r="D61" s="830">
        <v>-49939</v>
      </c>
      <c r="E61" s="830"/>
      <c r="F61" s="830"/>
      <c r="G61" s="1046"/>
    </row>
    <row r="62" spans="1:7" ht="55.5" customHeight="1" x14ac:dyDescent="0.25">
      <c r="A62" s="122"/>
      <c r="B62" s="829" t="s">
        <v>576</v>
      </c>
      <c r="C62" s="819" t="s">
        <v>575</v>
      </c>
      <c r="D62" s="830">
        <v>-30000</v>
      </c>
      <c r="E62" s="830"/>
      <c r="F62" s="830"/>
      <c r="G62" s="1046"/>
    </row>
    <row r="63" spans="1:7" ht="53.25" customHeight="1" x14ac:dyDescent="0.25">
      <c r="A63" s="122"/>
      <c r="B63" s="829" t="s">
        <v>509</v>
      </c>
      <c r="C63" s="819" t="s">
        <v>508</v>
      </c>
      <c r="D63" s="830">
        <v>2782</v>
      </c>
      <c r="E63" s="830"/>
      <c r="F63" s="830"/>
      <c r="G63" s="1046"/>
    </row>
    <row r="64" spans="1:7" ht="39.75" customHeight="1" x14ac:dyDescent="0.25">
      <c r="A64" s="122"/>
      <c r="B64" s="829" t="s">
        <v>389</v>
      </c>
      <c r="C64" s="832" t="s">
        <v>388</v>
      </c>
      <c r="D64" s="830">
        <v>-5554321</v>
      </c>
      <c r="E64" s="830"/>
      <c r="F64" s="830"/>
      <c r="G64" s="1046"/>
    </row>
    <row r="65" spans="1:7" ht="42" customHeight="1" x14ac:dyDescent="0.25">
      <c r="A65" s="122"/>
      <c r="B65" s="833" t="s">
        <v>364</v>
      </c>
      <c r="C65" s="834" t="s">
        <v>365</v>
      </c>
      <c r="D65" s="835">
        <v>-147000</v>
      </c>
      <c r="E65" s="830"/>
      <c r="F65" s="830"/>
      <c r="G65" s="1046"/>
    </row>
    <row r="66" spans="1:7" ht="42.75" customHeight="1" x14ac:dyDescent="0.25">
      <c r="A66" s="122"/>
      <c r="B66" s="833" t="s">
        <v>510</v>
      </c>
      <c r="C66" s="834" t="s">
        <v>362</v>
      </c>
      <c r="D66" s="835">
        <v>-2462484</v>
      </c>
      <c r="E66" s="831"/>
      <c r="F66" s="831"/>
      <c r="G66" s="1046"/>
    </row>
    <row r="67" spans="1:7" ht="57.75" customHeight="1" x14ac:dyDescent="0.25">
      <c r="A67" s="122"/>
      <c r="B67" s="833" t="s">
        <v>245</v>
      </c>
      <c r="C67" s="834" t="s">
        <v>511</v>
      </c>
      <c r="D67" s="835">
        <v>24498</v>
      </c>
      <c r="E67" s="831"/>
      <c r="F67" s="831"/>
      <c r="G67" s="1046"/>
    </row>
    <row r="68" spans="1:7" ht="53.25" customHeight="1" x14ac:dyDescent="0.25">
      <c r="A68" s="122"/>
      <c r="B68" s="833" t="s">
        <v>272</v>
      </c>
      <c r="C68" s="834" t="s">
        <v>363</v>
      </c>
      <c r="D68" s="835">
        <v>43071</v>
      </c>
      <c r="E68" s="831"/>
      <c r="F68" s="831"/>
      <c r="G68" s="1046"/>
    </row>
    <row r="69" spans="1:7" ht="55.5" customHeight="1" x14ac:dyDescent="0.25">
      <c r="A69" s="122"/>
      <c r="B69" s="833" t="s">
        <v>532</v>
      </c>
      <c r="C69" s="834" t="s">
        <v>531</v>
      </c>
      <c r="D69" s="835">
        <v>-168000</v>
      </c>
      <c r="E69" s="831"/>
      <c r="F69" s="831"/>
      <c r="G69" s="1046"/>
    </row>
    <row r="70" spans="1:7" ht="39.75" hidden="1" customHeight="1" x14ac:dyDescent="0.25">
      <c r="A70" s="122"/>
      <c r="B70" s="129" t="s">
        <v>452</v>
      </c>
      <c r="C70" s="800" t="s">
        <v>468</v>
      </c>
      <c r="D70" s="128"/>
      <c r="E70" s="127"/>
      <c r="F70" s="127"/>
      <c r="G70" s="1046"/>
    </row>
    <row r="71" spans="1:7" ht="39.75" hidden="1" customHeight="1" x14ac:dyDescent="0.25">
      <c r="A71" s="122"/>
      <c r="B71" s="129" t="s">
        <v>451</v>
      </c>
      <c r="C71" s="800" t="s">
        <v>467</v>
      </c>
      <c r="D71" s="128"/>
      <c r="E71" s="127"/>
      <c r="F71" s="127"/>
      <c r="G71" s="1046"/>
    </row>
    <row r="72" spans="1:7" ht="39.75" hidden="1" customHeight="1" x14ac:dyDescent="0.25">
      <c r="A72" s="122"/>
      <c r="B72" s="129" t="s">
        <v>364</v>
      </c>
      <c r="C72" s="800" t="s">
        <v>365</v>
      </c>
      <c r="D72" s="128"/>
      <c r="E72" s="127"/>
      <c r="F72" s="127"/>
      <c r="G72" s="1046"/>
    </row>
    <row r="73" spans="1:7" ht="39.75" hidden="1" customHeight="1" x14ac:dyDescent="0.25">
      <c r="A73" s="122"/>
      <c r="B73" s="129" t="s">
        <v>473</v>
      </c>
      <c r="C73" s="800" t="s">
        <v>474</v>
      </c>
      <c r="D73" s="128"/>
      <c r="E73" s="127"/>
      <c r="F73" s="127"/>
      <c r="G73" s="1046"/>
    </row>
    <row r="74" spans="1:7" ht="39.75" customHeight="1" x14ac:dyDescent="0.25">
      <c r="A74" s="122"/>
      <c r="B74" s="833" t="s">
        <v>479</v>
      </c>
      <c r="C74" s="834" t="s">
        <v>480</v>
      </c>
      <c r="D74" s="835">
        <v>91122675</v>
      </c>
      <c r="E74" s="831"/>
      <c r="F74" s="831"/>
      <c r="G74" s="1046"/>
    </row>
    <row r="75" spans="1:7" ht="55.5" hidden="1" customHeight="1" x14ac:dyDescent="0.25">
      <c r="A75" s="122"/>
      <c r="B75" s="129" t="s">
        <v>449</v>
      </c>
      <c r="C75" s="800" t="s">
        <v>450</v>
      </c>
      <c r="D75" s="128"/>
      <c r="E75" s="127"/>
      <c r="F75" s="127"/>
      <c r="G75" s="1046"/>
    </row>
    <row r="76" spans="1:7" ht="55.5" customHeight="1" x14ac:dyDescent="0.25">
      <c r="A76" s="122"/>
      <c r="B76" s="833" t="s">
        <v>471</v>
      </c>
      <c r="C76" s="834" t="s">
        <v>472</v>
      </c>
      <c r="D76" s="835">
        <f>(5554321-2257277-87196)</f>
        <v>3209848</v>
      </c>
      <c r="E76" s="831"/>
      <c r="F76" s="831"/>
      <c r="G76" s="1046"/>
    </row>
    <row r="77" spans="1:7" ht="80.25" customHeight="1" x14ac:dyDescent="0.25">
      <c r="A77" s="122"/>
      <c r="B77" s="836" t="s">
        <v>437</v>
      </c>
      <c r="C77" s="834" t="s">
        <v>436</v>
      </c>
      <c r="D77" s="835">
        <f>(-252983-2497100)</f>
        <v>-2750083</v>
      </c>
      <c r="E77" s="830"/>
      <c r="F77" s="830"/>
      <c r="G77" s="1047"/>
    </row>
    <row r="78" spans="1:7" ht="45" customHeight="1" x14ac:dyDescent="0.25">
      <c r="A78" s="122"/>
      <c r="B78" s="836" t="s">
        <v>513</v>
      </c>
      <c r="C78" s="834" t="s">
        <v>512</v>
      </c>
      <c r="D78" s="835">
        <v>174247</v>
      </c>
      <c r="E78" s="830"/>
      <c r="F78" s="830"/>
      <c r="G78" s="817"/>
    </row>
    <row r="79" spans="1:7" ht="51" x14ac:dyDescent="0.25">
      <c r="A79" s="122"/>
      <c r="B79" s="836" t="s">
        <v>515</v>
      </c>
      <c r="C79" s="834" t="s">
        <v>514</v>
      </c>
      <c r="D79" s="835">
        <v>-36894476</v>
      </c>
      <c r="E79" s="830"/>
      <c r="F79" s="830"/>
      <c r="G79" s="817"/>
    </row>
    <row r="80" spans="1:7" ht="30" customHeight="1" x14ac:dyDescent="0.25">
      <c r="A80" s="122"/>
      <c r="B80" s="1034" t="s">
        <v>438</v>
      </c>
      <c r="C80" s="1035" t="s">
        <v>439</v>
      </c>
      <c r="D80" s="897">
        <v>107548</v>
      </c>
      <c r="E80" s="123"/>
      <c r="F80" s="123"/>
      <c r="G80" s="771"/>
    </row>
    <row r="81" spans="1:11" x14ac:dyDescent="0.25">
      <c r="A81" s="130"/>
      <c r="B81" s="905" t="s">
        <v>83</v>
      </c>
      <c r="C81" s="906"/>
      <c r="D81" s="907">
        <f>D82+D119+D120</f>
        <v>2977289.33</v>
      </c>
      <c r="E81" s="907">
        <f t="shared" ref="E81:F81" si="5">E82+E119+E120</f>
        <v>15982980</v>
      </c>
      <c r="F81" s="907">
        <f t="shared" si="5"/>
        <v>0</v>
      </c>
      <c r="G81" s="908"/>
    </row>
    <row r="82" spans="1:11" ht="44.25" customHeight="1" x14ac:dyDescent="0.25">
      <c r="A82" s="131"/>
      <c r="B82" s="825" t="s">
        <v>198</v>
      </c>
      <c r="C82" s="826"/>
      <c r="D82" s="909">
        <f>SUM(D84:D118)</f>
        <v>2940457.33</v>
      </c>
      <c r="E82" s="909">
        <f t="shared" ref="E82:F82" si="6">SUM(E84:E118)</f>
        <v>15982980</v>
      </c>
      <c r="F82" s="909">
        <f t="shared" si="6"/>
        <v>0</v>
      </c>
      <c r="G82" s="908"/>
    </row>
    <row r="83" spans="1:11" ht="40.5" hidden="1" customHeight="1" x14ac:dyDescent="0.25">
      <c r="A83" s="131"/>
      <c r="B83" s="772"/>
      <c r="C83" s="801"/>
      <c r="D83" s="773"/>
      <c r="E83" s="773"/>
      <c r="F83" s="773"/>
      <c r="G83" s="766"/>
    </row>
    <row r="84" spans="1:11" ht="54" customHeight="1" x14ac:dyDescent="0.25">
      <c r="A84" s="131"/>
      <c r="B84" s="891" t="s">
        <v>534</v>
      </c>
      <c r="C84" s="892" t="s">
        <v>533</v>
      </c>
      <c r="D84" s="893">
        <v>-701904</v>
      </c>
      <c r="E84" s="893"/>
      <c r="F84" s="893"/>
      <c r="G84" s="766"/>
    </row>
    <row r="85" spans="1:11" ht="72" customHeight="1" x14ac:dyDescent="0.25">
      <c r="A85" s="131"/>
      <c r="B85" s="891" t="s">
        <v>593</v>
      </c>
      <c r="C85" s="892" t="s">
        <v>592</v>
      </c>
      <c r="D85" s="773"/>
      <c r="E85" s="893">
        <f>-300000</f>
        <v>-300000</v>
      </c>
      <c r="F85" s="1022"/>
      <c r="G85" s="1048"/>
    </row>
    <row r="86" spans="1:11" ht="0.75" hidden="1" customHeight="1" x14ac:dyDescent="0.25">
      <c r="A86" s="131"/>
      <c r="B86" s="772"/>
      <c r="C86" s="801"/>
      <c r="D86" s="773"/>
      <c r="E86" s="774"/>
      <c r="F86" s="774"/>
      <c r="G86" s="1049"/>
    </row>
    <row r="87" spans="1:11" ht="34.5" hidden="1" customHeight="1" x14ac:dyDescent="0.25">
      <c r="A87" s="131"/>
      <c r="B87" s="772"/>
      <c r="C87" s="801"/>
      <c r="D87" s="126"/>
      <c r="E87" s="774"/>
      <c r="F87" s="774"/>
      <c r="G87" s="1049"/>
      <c r="K87" s="1021"/>
    </row>
    <row r="88" spans="1:11" ht="52.5" customHeight="1" x14ac:dyDescent="0.25">
      <c r="A88" s="131"/>
      <c r="B88" s="891" t="s">
        <v>395</v>
      </c>
      <c r="C88" s="892" t="s">
        <v>394</v>
      </c>
      <c r="D88" s="820">
        <v>-50000</v>
      </c>
      <c r="E88" s="894"/>
      <c r="F88" s="894"/>
      <c r="G88" s="1049"/>
    </row>
    <row r="89" spans="1:11" ht="43.5" customHeight="1" x14ac:dyDescent="0.25">
      <c r="A89" s="131"/>
      <c r="B89" s="891" t="s">
        <v>269</v>
      </c>
      <c r="C89" s="892" t="s">
        <v>371</v>
      </c>
      <c r="D89" s="820">
        <v>-165000</v>
      </c>
      <c r="E89" s="894"/>
      <c r="F89" s="894"/>
      <c r="G89" s="1049"/>
    </row>
    <row r="90" spans="1:11" ht="40.5" customHeight="1" x14ac:dyDescent="0.25">
      <c r="A90" s="131"/>
      <c r="B90" s="891" t="s">
        <v>318</v>
      </c>
      <c r="C90" s="892" t="s">
        <v>372</v>
      </c>
      <c r="D90" s="820">
        <f>1911794+500000</f>
        <v>2411794</v>
      </c>
      <c r="E90" s="893">
        <f>-1549251</f>
        <v>-1549251</v>
      </c>
      <c r="F90" s="894"/>
      <c r="G90" s="1049"/>
    </row>
    <row r="91" spans="1:11" ht="27.75" hidden="1" customHeight="1" x14ac:dyDescent="0.25">
      <c r="A91" s="131"/>
      <c r="B91" s="772"/>
      <c r="C91" s="801"/>
      <c r="D91" s="126"/>
      <c r="E91" s="774"/>
      <c r="F91" s="774"/>
      <c r="G91" s="1036" t="s">
        <v>387</v>
      </c>
    </row>
    <row r="92" spans="1:11" ht="27.75" hidden="1" customHeight="1" x14ac:dyDescent="0.25">
      <c r="A92" s="131"/>
      <c r="B92" s="772"/>
      <c r="C92" s="801"/>
      <c r="D92" s="126"/>
      <c r="E92" s="774"/>
      <c r="F92" s="774"/>
      <c r="G92" s="1036"/>
    </row>
    <row r="93" spans="1:11" ht="24.75" customHeight="1" x14ac:dyDescent="0.25">
      <c r="A93" s="131"/>
      <c r="B93" s="891" t="s">
        <v>595</v>
      </c>
      <c r="C93" s="892" t="s">
        <v>594</v>
      </c>
      <c r="D93" s="126"/>
      <c r="E93" s="893">
        <v>-4000000</v>
      </c>
      <c r="F93" s="894"/>
      <c r="G93" s="1036"/>
    </row>
    <row r="94" spans="1:11" ht="25.5" customHeight="1" x14ac:dyDescent="0.25">
      <c r="A94" s="122"/>
      <c r="B94" s="895" t="s">
        <v>84</v>
      </c>
      <c r="C94" s="896" t="s">
        <v>396</v>
      </c>
      <c r="D94" s="897">
        <f>-654650-158010</f>
        <v>-812660</v>
      </c>
      <c r="E94" s="893">
        <v>-1500000</v>
      </c>
      <c r="F94" s="831"/>
      <c r="G94" s="1036"/>
    </row>
    <row r="95" spans="1:11" ht="25.5" customHeight="1" x14ac:dyDescent="0.25">
      <c r="A95" s="122"/>
      <c r="B95" s="895" t="s">
        <v>270</v>
      </c>
      <c r="C95" s="896" t="s">
        <v>397</v>
      </c>
      <c r="D95" s="897">
        <v>-326480.44</v>
      </c>
      <c r="E95" s="831"/>
      <c r="F95" s="831"/>
      <c r="G95" s="1036"/>
    </row>
    <row r="96" spans="1:11" ht="24.75" customHeight="1" x14ac:dyDescent="0.25">
      <c r="A96" s="122"/>
      <c r="B96" s="895" t="s">
        <v>319</v>
      </c>
      <c r="C96" s="896" t="s">
        <v>373</v>
      </c>
      <c r="D96" s="835">
        <v>1112233</v>
      </c>
      <c r="E96" s="831"/>
      <c r="F96" s="831"/>
      <c r="G96" s="1036"/>
    </row>
    <row r="97" spans="1:7" ht="39.75" hidden="1" customHeight="1" x14ac:dyDescent="0.25">
      <c r="A97" s="122"/>
      <c r="B97" s="775"/>
      <c r="C97" s="802"/>
      <c r="D97" s="128"/>
      <c r="E97" s="127"/>
      <c r="F97" s="127"/>
      <c r="G97" s="1036"/>
    </row>
    <row r="98" spans="1:7" ht="27" customHeight="1" x14ac:dyDescent="0.25">
      <c r="A98" s="122"/>
      <c r="B98" s="895" t="s">
        <v>320</v>
      </c>
      <c r="C98" s="896" t="s">
        <v>374</v>
      </c>
      <c r="D98" s="835">
        <v>-5340763</v>
      </c>
      <c r="E98" s="893">
        <v>-1970912</v>
      </c>
      <c r="F98" s="831"/>
      <c r="G98" s="1036"/>
    </row>
    <row r="99" spans="1:7" ht="29.25" customHeight="1" x14ac:dyDescent="0.25">
      <c r="A99" s="122"/>
      <c r="B99" s="895" t="s">
        <v>321</v>
      </c>
      <c r="C99" s="896" t="s">
        <v>375</v>
      </c>
      <c r="D99" s="835">
        <v>716000</v>
      </c>
      <c r="E99" s="831">
        <v>6600000</v>
      </c>
      <c r="F99" s="831"/>
      <c r="G99" s="1036"/>
    </row>
    <row r="100" spans="1:7" ht="42" customHeight="1" x14ac:dyDescent="0.25">
      <c r="A100" s="122"/>
      <c r="B100" s="833" t="s">
        <v>383</v>
      </c>
      <c r="C100" s="834" t="s">
        <v>376</v>
      </c>
      <c r="D100" s="897">
        <v>-160000</v>
      </c>
      <c r="E100" s="831"/>
      <c r="F100" s="831"/>
      <c r="G100" s="1036"/>
    </row>
    <row r="101" spans="1:7" ht="34.5" customHeight="1" x14ac:dyDescent="0.25">
      <c r="A101" s="122"/>
      <c r="B101" s="833" t="s">
        <v>384</v>
      </c>
      <c r="C101" s="834" t="s">
        <v>377</v>
      </c>
      <c r="D101" s="897">
        <v>-78000</v>
      </c>
      <c r="E101" s="831"/>
      <c r="F101" s="831"/>
      <c r="G101" s="1036"/>
    </row>
    <row r="102" spans="1:7" ht="42" customHeight="1" x14ac:dyDescent="0.25">
      <c r="A102" s="122"/>
      <c r="B102" s="833" t="s">
        <v>385</v>
      </c>
      <c r="C102" s="834" t="s">
        <v>378</v>
      </c>
      <c r="D102" s="835">
        <v>-104167</v>
      </c>
      <c r="E102" s="831"/>
      <c r="F102" s="831"/>
      <c r="G102" s="1036"/>
    </row>
    <row r="103" spans="1:7" ht="34.5" customHeight="1" x14ac:dyDescent="0.25">
      <c r="A103" s="122"/>
      <c r="B103" s="833" t="s">
        <v>386</v>
      </c>
      <c r="C103" s="834" t="s">
        <v>379</v>
      </c>
      <c r="D103" s="835">
        <v>-56000</v>
      </c>
      <c r="E103" s="831"/>
      <c r="F103" s="831"/>
      <c r="G103" s="1036"/>
    </row>
    <row r="104" spans="1:7" ht="42.75" customHeight="1" x14ac:dyDescent="0.25">
      <c r="A104" s="122"/>
      <c r="B104" s="833" t="s">
        <v>536</v>
      </c>
      <c r="C104" s="834" t="s">
        <v>535</v>
      </c>
      <c r="D104" s="835">
        <v>-44000</v>
      </c>
      <c r="E104" s="831"/>
      <c r="F104" s="831"/>
      <c r="G104" s="1036"/>
    </row>
    <row r="105" spans="1:7" ht="30.75" hidden="1" customHeight="1" x14ac:dyDescent="0.25">
      <c r="A105" s="122"/>
      <c r="B105" s="833"/>
      <c r="C105" s="834"/>
      <c r="D105" s="128"/>
      <c r="E105" s="831"/>
      <c r="F105" s="831"/>
      <c r="G105" s="1036"/>
    </row>
    <row r="106" spans="1:7" ht="29.25" customHeight="1" x14ac:dyDescent="0.25">
      <c r="A106" s="122"/>
      <c r="B106" s="833" t="s">
        <v>85</v>
      </c>
      <c r="C106" s="834" t="s">
        <v>380</v>
      </c>
      <c r="D106" s="897">
        <v>-6772098.25</v>
      </c>
      <c r="E106" s="1022">
        <v>4059351</v>
      </c>
      <c r="F106" s="831"/>
      <c r="G106" s="1036"/>
    </row>
    <row r="107" spans="1:7" ht="30.75" hidden="1" customHeight="1" x14ac:dyDescent="0.25">
      <c r="A107" s="122"/>
      <c r="B107" s="129"/>
      <c r="C107" s="800"/>
      <c r="D107" s="128"/>
      <c r="E107" s="1024"/>
      <c r="F107" s="127"/>
      <c r="G107" s="1036"/>
    </row>
    <row r="108" spans="1:7" ht="30.75" customHeight="1" x14ac:dyDescent="0.25">
      <c r="A108" s="122"/>
      <c r="B108" s="833" t="s">
        <v>399</v>
      </c>
      <c r="C108" s="834" t="s">
        <v>398</v>
      </c>
      <c r="D108" s="835">
        <v>-183000</v>
      </c>
      <c r="E108" s="1025"/>
      <c r="F108" s="831"/>
      <c r="G108" s="1036"/>
    </row>
    <row r="109" spans="1:7" ht="37.5" customHeight="1" x14ac:dyDescent="0.25">
      <c r="A109" s="122"/>
      <c r="B109" s="833" t="s">
        <v>401</v>
      </c>
      <c r="C109" s="834" t="s">
        <v>400</v>
      </c>
      <c r="D109" s="835">
        <v>191214</v>
      </c>
      <c r="E109" s="893">
        <v>-1000000</v>
      </c>
      <c r="F109" s="831"/>
      <c r="G109" s="1036"/>
    </row>
    <row r="110" spans="1:7" ht="32.25" customHeight="1" x14ac:dyDescent="0.25">
      <c r="A110" s="122"/>
      <c r="B110" s="833" t="s">
        <v>538</v>
      </c>
      <c r="C110" s="834" t="s">
        <v>537</v>
      </c>
      <c r="D110" s="835">
        <v>2454997</v>
      </c>
      <c r="E110" s="1022"/>
      <c r="F110" s="831"/>
      <c r="G110" s="1036"/>
    </row>
    <row r="111" spans="1:7" ht="32.25" customHeight="1" x14ac:dyDescent="0.25">
      <c r="A111" s="122"/>
      <c r="B111" s="833" t="s">
        <v>539</v>
      </c>
      <c r="C111" s="834" t="s">
        <v>540</v>
      </c>
      <c r="D111" s="897">
        <v>-94370.98</v>
      </c>
      <c r="E111" s="1022"/>
      <c r="F111" s="831"/>
      <c r="G111" s="1036"/>
    </row>
    <row r="112" spans="1:7" ht="30" customHeight="1" x14ac:dyDescent="0.25">
      <c r="A112" s="122"/>
      <c r="B112" s="833" t="s">
        <v>86</v>
      </c>
      <c r="C112" s="834" t="s">
        <v>381</v>
      </c>
      <c r="D112" s="897">
        <f>4837763+3000</f>
        <v>4840763</v>
      </c>
      <c r="E112" s="1022"/>
      <c r="F112" s="831"/>
      <c r="G112" s="1036"/>
    </row>
    <row r="113" spans="1:7" ht="30" customHeight="1" x14ac:dyDescent="0.25">
      <c r="A113" s="122"/>
      <c r="B113" s="833" t="s">
        <v>542</v>
      </c>
      <c r="C113" s="834" t="s">
        <v>541</v>
      </c>
      <c r="D113" s="835">
        <v>20311</v>
      </c>
      <c r="E113" s="1022"/>
      <c r="F113" s="831"/>
      <c r="G113" s="1036"/>
    </row>
    <row r="114" spans="1:7" ht="40.5" hidden="1" customHeight="1" x14ac:dyDescent="0.25">
      <c r="A114" s="122"/>
      <c r="B114" s="129" t="s">
        <v>463</v>
      </c>
      <c r="C114" s="800" t="s">
        <v>462</v>
      </c>
      <c r="D114" s="128"/>
      <c r="E114" s="1026"/>
      <c r="F114" s="127"/>
      <c r="G114" s="1036"/>
    </row>
    <row r="115" spans="1:7" ht="39.75" customHeight="1" x14ac:dyDescent="0.25">
      <c r="A115" s="122"/>
      <c r="B115" s="833" t="s">
        <v>294</v>
      </c>
      <c r="C115" s="834" t="s">
        <v>382</v>
      </c>
      <c r="D115" s="835">
        <v>222</v>
      </c>
      <c r="E115" s="1022"/>
      <c r="F115" s="831"/>
      <c r="G115" s="1036"/>
    </row>
    <row r="116" spans="1:7" ht="32.25" customHeight="1" x14ac:dyDescent="0.25">
      <c r="A116" s="122"/>
      <c r="B116" s="833" t="s">
        <v>544</v>
      </c>
      <c r="C116" s="834" t="s">
        <v>543</v>
      </c>
      <c r="D116" s="897">
        <v>6081367</v>
      </c>
      <c r="E116" s="1022">
        <v>15643792</v>
      </c>
      <c r="F116" s="831"/>
      <c r="G116" s="889"/>
    </row>
    <row r="117" spans="1:7" ht="57" hidden="1" customHeight="1" x14ac:dyDescent="0.25">
      <c r="A117" s="122"/>
      <c r="B117" s="129" t="s">
        <v>455</v>
      </c>
      <c r="C117" s="800" t="s">
        <v>454</v>
      </c>
      <c r="D117" s="128"/>
      <c r="E117" s="127"/>
      <c r="F117" s="127"/>
      <c r="G117" s="732"/>
    </row>
    <row r="118" spans="1:7" ht="44.25" hidden="1" customHeight="1" x14ac:dyDescent="0.25">
      <c r="A118" s="122"/>
      <c r="B118" s="129" t="s">
        <v>466</v>
      </c>
      <c r="C118" s="800" t="s">
        <v>456</v>
      </c>
      <c r="D118" s="128"/>
      <c r="E118" s="127"/>
      <c r="F118" s="127"/>
      <c r="G118" s="732"/>
    </row>
    <row r="119" spans="1:7" ht="56.25" customHeight="1" x14ac:dyDescent="0.25">
      <c r="A119" s="122"/>
      <c r="B119" s="838" t="s">
        <v>367</v>
      </c>
      <c r="C119" s="834" t="s">
        <v>368</v>
      </c>
      <c r="D119" s="839">
        <v>36832</v>
      </c>
      <c r="E119" s="840"/>
      <c r="F119" s="840"/>
      <c r="G119" s="841" t="s">
        <v>183</v>
      </c>
    </row>
    <row r="120" spans="1:7" ht="0.75" hidden="1" customHeight="1" x14ac:dyDescent="0.25">
      <c r="A120" s="122"/>
      <c r="B120" s="776"/>
      <c r="C120" s="800"/>
      <c r="D120" s="777"/>
      <c r="E120" s="814"/>
      <c r="F120" s="814"/>
      <c r="G120" s="778" t="s">
        <v>183</v>
      </c>
    </row>
    <row r="121" spans="1:7" ht="54" hidden="1" customHeight="1" x14ac:dyDescent="0.25">
      <c r="A121" s="122"/>
      <c r="B121" s="776" t="s">
        <v>322</v>
      </c>
      <c r="C121" s="800" t="s">
        <v>366</v>
      </c>
      <c r="D121" s="777"/>
      <c r="E121" s="127"/>
      <c r="F121" s="127"/>
      <c r="G121" s="732" t="s">
        <v>183</v>
      </c>
    </row>
    <row r="122" spans="1:7" ht="32.25" hidden="1" customHeight="1" x14ac:dyDescent="0.25">
      <c r="A122" s="122"/>
      <c r="B122" s="779" t="s">
        <v>369</v>
      </c>
      <c r="C122" s="803" t="s">
        <v>370</v>
      </c>
      <c r="D122" s="780"/>
      <c r="E122" s="127"/>
      <c r="F122" s="127"/>
      <c r="G122" s="778" t="s">
        <v>183</v>
      </c>
    </row>
    <row r="123" spans="1:7" ht="31.5" customHeight="1" x14ac:dyDescent="0.25">
      <c r="A123" s="122"/>
      <c r="B123" s="838" t="s">
        <v>390</v>
      </c>
      <c r="C123" s="898" t="s">
        <v>391</v>
      </c>
      <c r="D123" s="899">
        <v>3000</v>
      </c>
      <c r="E123" s="831"/>
      <c r="F123" s="831"/>
      <c r="G123" s="900" t="s">
        <v>392</v>
      </c>
    </row>
    <row r="124" spans="1:7" ht="0.75" hidden="1" customHeight="1" x14ac:dyDescent="0.25">
      <c r="A124" s="122"/>
      <c r="B124" s="833"/>
      <c r="C124" s="833"/>
      <c r="D124" s="835"/>
      <c r="E124" s="831"/>
      <c r="F124" s="831"/>
      <c r="G124" s="900"/>
    </row>
    <row r="125" spans="1:7" ht="21.75" hidden="1" customHeight="1" x14ac:dyDescent="0.25">
      <c r="A125" s="122"/>
      <c r="B125" s="833"/>
      <c r="C125" s="833"/>
      <c r="D125" s="835"/>
      <c r="E125" s="831"/>
      <c r="F125" s="831"/>
      <c r="G125" s="900"/>
    </row>
    <row r="126" spans="1:7" ht="27.75" hidden="1" customHeight="1" x14ac:dyDescent="0.25">
      <c r="A126" s="122"/>
      <c r="B126" s="901"/>
      <c r="C126" s="901"/>
      <c r="D126" s="835"/>
      <c r="E126" s="831"/>
      <c r="F126" s="831"/>
      <c r="G126" s="900"/>
    </row>
    <row r="127" spans="1:7" ht="26.25" hidden="1" customHeight="1" x14ac:dyDescent="0.25">
      <c r="A127" s="122"/>
      <c r="B127" s="833"/>
      <c r="C127" s="833"/>
      <c r="D127" s="835"/>
      <c r="E127" s="831"/>
      <c r="F127" s="831"/>
      <c r="G127" s="900"/>
    </row>
    <row r="128" spans="1:7" ht="25.5" hidden="1" customHeight="1" x14ac:dyDescent="0.25">
      <c r="A128" s="122"/>
      <c r="B128" s="833"/>
      <c r="C128" s="833"/>
      <c r="D128" s="835"/>
      <c r="E128" s="831"/>
      <c r="F128" s="831"/>
      <c r="G128" s="900"/>
    </row>
    <row r="129" spans="1:7" ht="33" hidden="1" customHeight="1" x14ac:dyDescent="0.25">
      <c r="A129" s="122"/>
      <c r="B129" s="833"/>
      <c r="C129" s="833"/>
      <c r="D129" s="835"/>
      <c r="E129" s="831"/>
      <c r="F129" s="831"/>
      <c r="G129" s="900"/>
    </row>
    <row r="130" spans="1:7" ht="17.25" hidden="1" customHeight="1" x14ac:dyDescent="0.25">
      <c r="A130" s="122"/>
      <c r="B130" s="833"/>
      <c r="C130" s="833"/>
      <c r="D130" s="835"/>
      <c r="E130" s="831"/>
      <c r="F130" s="831"/>
      <c r="G130" s="902"/>
    </row>
    <row r="131" spans="1:7" x14ac:dyDescent="0.25">
      <c r="A131" s="781"/>
      <c r="B131" s="903" t="s">
        <v>17</v>
      </c>
      <c r="C131" s="903"/>
      <c r="D131" s="904">
        <f>D6+D24</f>
        <v>46002376.329999998</v>
      </c>
      <c r="E131" s="904">
        <f>E6+E24</f>
        <v>16477306.300000001</v>
      </c>
      <c r="F131" s="904">
        <f t="shared" ref="F131" si="7">F6+F24</f>
        <v>0</v>
      </c>
      <c r="G131" s="903"/>
    </row>
  </sheetData>
  <mergeCells count="11">
    <mergeCell ref="G91:G115"/>
    <mergeCell ref="A4:A5"/>
    <mergeCell ref="A1:G1"/>
    <mergeCell ref="A2:G2"/>
    <mergeCell ref="G4:G5"/>
    <mergeCell ref="A3:G3"/>
    <mergeCell ref="B4:B5"/>
    <mergeCell ref="C4:C5"/>
    <mergeCell ref="G30:G39"/>
    <mergeCell ref="G42:G77"/>
    <mergeCell ref="G85:G90"/>
  </mergeCells>
  <pageMargins left="0.70866141732283472" right="0.70866141732283472" top="0.35433070866141736" bottom="0.15748031496062992" header="0" footer="0"/>
  <pageSetup paperSize="9" scale="80" fitToHeight="77" orientation="landscape" r:id="rId1"/>
  <rowBreaks count="1" manualBreakCount="1">
    <brk id="28" min="1" max="6" man="1"/>
  </rowBreaks>
  <colBreaks count="1" manualBreakCount="1">
    <brk id="7" max="5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6"/>
  <sheetViews>
    <sheetView view="pageBreakPreview" topLeftCell="A71" zoomScaleSheetLayoutView="100" workbookViewId="0">
      <selection activeCell="E28" sqref="E28"/>
    </sheetView>
  </sheetViews>
  <sheetFormatPr defaultColWidth="9.140625" defaultRowHeight="12.75" x14ac:dyDescent="0.2"/>
  <cols>
    <col min="1" max="1" width="3.85546875" style="19" customWidth="1"/>
    <col min="2" max="2" width="44.42578125" style="19" customWidth="1"/>
    <col min="3" max="3" width="12.140625" style="19" customWidth="1"/>
    <col min="4" max="4" width="12.85546875" style="19" customWidth="1"/>
    <col min="5" max="5" width="8.28515625" style="19" customWidth="1"/>
    <col min="6" max="6" width="13.140625" style="19" customWidth="1"/>
    <col min="7" max="7" width="13.28515625" style="19" customWidth="1"/>
    <col min="8" max="8" width="9.7109375" style="19" customWidth="1"/>
    <col min="9" max="9" width="10.28515625" style="19" hidden="1" customWidth="1"/>
    <col min="10" max="10" width="9.42578125" style="19" hidden="1" customWidth="1"/>
    <col min="11" max="11" width="13" style="19" customWidth="1"/>
    <col min="12" max="12" width="12.85546875" style="19" customWidth="1"/>
    <col min="13" max="13" width="8.28515625" style="19" customWidth="1"/>
    <col min="14" max="15" width="9.42578125" style="19" hidden="1" customWidth="1"/>
    <col min="16" max="16" width="13.5703125" style="19" customWidth="1"/>
    <col min="17" max="17" width="14" style="19" customWidth="1"/>
    <col min="18" max="18" width="11.42578125" style="19" customWidth="1"/>
    <col min="19" max="19" width="15.28515625" style="19" customWidth="1"/>
    <col min="20" max="20" width="12.28515625" style="19" customWidth="1"/>
    <col min="21" max="21" width="11.7109375" style="19" customWidth="1"/>
    <col min="22" max="22" width="7.5703125" style="19" customWidth="1"/>
    <col min="23" max="23" width="7.140625" style="19" customWidth="1"/>
    <col min="24" max="24" width="12.85546875" style="19" customWidth="1"/>
    <col min="25" max="25" width="6.5703125" style="19" customWidth="1"/>
    <col min="26" max="26" width="12" style="19" customWidth="1"/>
    <col min="27" max="29" width="9.28515625" style="19" bestFit="1" customWidth="1"/>
    <col min="30" max="30" width="13.140625" style="19" customWidth="1"/>
    <col min="31" max="31" width="5.85546875" style="19" customWidth="1"/>
    <col min="32" max="16384" width="9.140625" style="19"/>
  </cols>
  <sheetData>
    <row r="1" spans="1:31" ht="13.5" thickBot="1" x14ac:dyDescent="0.25">
      <c r="B1" s="1075" t="s">
        <v>87</v>
      </c>
      <c r="C1" s="1075"/>
      <c r="D1" s="1075"/>
      <c r="E1" s="1075"/>
      <c r="F1" s="1075"/>
      <c r="G1" s="1075"/>
      <c r="H1" s="1075"/>
      <c r="I1" s="1075"/>
      <c r="J1" s="1075"/>
      <c r="K1" s="1075"/>
      <c r="L1" s="1075"/>
      <c r="M1" s="1075"/>
      <c r="N1" s="1075"/>
      <c r="O1" s="1075"/>
      <c r="P1" s="1075"/>
      <c r="Q1" s="1075"/>
      <c r="R1" s="1075"/>
      <c r="S1" s="1075"/>
    </row>
    <row r="2" spans="1:31" x14ac:dyDescent="0.2">
      <c r="A2" s="1077"/>
      <c r="B2" s="1078"/>
      <c r="C2" s="1090" t="s">
        <v>45</v>
      </c>
      <c r="D2" s="1091"/>
      <c r="E2" s="1091"/>
      <c r="F2" s="1091"/>
      <c r="G2" s="1091"/>
      <c r="H2" s="1091"/>
      <c r="I2" s="1091"/>
      <c r="J2" s="1091"/>
      <c r="K2" s="1091"/>
      <c r="L2" s="1091"/>
      <c r="M2" s="1091"/>
      <c r="N2" s="1091"/>
      <c r="O2" s="1091"/>
      <c r="P2" s="1091"/>
      <c r="Q2" s="1091"/>
      <c r="R2" s="1091"/>
      <c r="S2" s="1077" t="s">
        <v>17</v>
      </c>
      <c r="T2" s="1050" t="s">
        <v>43</v>
      </c>
      <c r="U2" s="1051"/>
      <c r="V2" s="1051"/>
      <c r="W2" s="1051"/>
      <c r="X2" s="1051"/>
      <c r="Y2" s="1052"/>
      <c r="Z2" s="1050" t="s">
        <v>44</v>
      </c>
      <c r="AA2" s="1051"/>
      <c r="AB2" s="1051"/>
      <c r="AC2" s="1051"/>
      <c r="AD2" s="1051"/>
      <c r="AE2" s="1052"/>
    </row>
    <row r="3" spans="1:31" ht="13.5" thickBot="1" x14ac:dyDescent="0.25">
      <c r="A3" s="1079"/>
      <c r="B3" s="1080"/>
      <c r="C3" s="27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99" t="s">
        <v>21</v>
      </c>
      <c r="S3" s="1088"/>
      <c r="T3" s="1053" t="s">
        <v>40</v>
      </c>
      <c r="U3" s="1054"/>
      <c r="V3" s="1054"/>
      <c r="W3" s="1054"/>
      <c r="X3" s="1054"/>
      <c r="Y3" s="1055"/>
      <c r="Z3" s="1056" t="s">
        <v>40</v>
      </c>
      <c r="AA3" s="1056"/>
      <c r="AB3" s="1056"/>
      <c r="AC3" s="1056"/>
      <c r="AD3" s="1056"/>
      <c r="AE3" s="1056"/>
    </row>
    <row r="4" spans="1:31" x14ac:dyDescent="0.2">
      <c r="A4" s="1084" t="s">
        <v>0</v>
      </c>
      <c r="B4" s="1082" t="s">
        <v>1</v>
      </c>
      <c r="C4" s="1087" t="s">
        <v>18</v>
      </c>
      <c r="D4" s="1087"/>
      <c r="E4" s="1087"/>
      <c r="F4" s="1076" t="s">
        <v>5</v>
      </c>
      <c r="G4" s="1076"/>
      <c r="H4" s="1076"/>
      <c r="I4" s="1076"/>
      <c r="J4" s="1076"/>
      <c r="K4" s="1076" t="s">
        <v>16</v>
      </c>
      <c r="L4" s="1076"/>
      <c r="M4" s="1076"/>
      <c r="N4" s="1076"/>
      <c r="O4" s="1076"/>
      <c r="P4" s="1076" t="s">
        <v>15</v>
      </c>
      <c r="Q4" s="1076"/>
      <c r="R4" s="1076"/>
      <c r="S4" s="1089"/>
      <c r="T4" s="1057" t="s">
        <v>46</v>
      </c>
      <c r="U4" s="1058"/>
      <c r="V4" s="1057" t="s">
        <v>41</v>
      </c>
      <c r="W4" s="1058"/>
      <c r="X4" s="1057" t="s">
        <v>42</v>
      </c>
      <c r="Y4" s="1058"/>
      <c r="Z4" s="1057" t="s">
        <v>46</v>
      </c>
      <c r="AA4" s="1058"/>
      <c r="AB4" s="1057" t="s">
        <v>41</v>
      </c>
      <c r="AC4" s="1058"/>
      <c r="AD4" s="1057" t="s">
        <v>42</v>
      </c>
      <c r="AE4" s="1058"/>
    </row>
    <row r="5" spans="1:31" x14ac:dyDescent="0.2">
      <c r="A5" s="1085"/>
      <c r="B5" s="1082"/>
      <c r="C5" s="1072" t="s">
        <v>27</v>
      </c>
      <c r="D5" s="1072" t="s">
        <v>28</v>
      </c>
      <c r="E5" s="1072" t="s">
        <v>29</v>
      </c>
      <c r="F5" s="1072" t="s">
        <v>27</v>
      </c>
      <c r="G5" s="1072" t="s">
        <v>28</v>
      </c>
      <c r="H5" s="1072" t="s">
        <v>29</v>
      </c>
      <c r="I5" s="1081" t="s">
        <v>4</v>
      </c>
      <c r="J5" s="1081"/>
      <c r="K5" s="1072" t="s">
        <v>27</v>
      </c>
      <c r="L5" s="1072" t="s">
        <v>28</v>
      </c>
      <c r="M5" s="1072" t="s">
        <v>29</v>
      </c>
      <c r="N5" s="1081" t="s">
        <v>4</v>
      </c>
      <c r="O5" s="1081"/>
      <c r="P5" s="1072" t="s">
        <v>27</v>
      </c>
      <c r="Q5" s="1072" t="s">
        <v>28</v>
      </c>
      <c r="R5" s="1072" t="s">
        <v>29</v>
      </c>
      <c r="S5" s="1089"/>
      <c r="T5" s="1059" t="s">
        <v>2</v>
      </c>
      <c r="U5" s="1061" t="s">
        <v>3</v>
      </c>
      <c r="V5" s="1059" t="s">
        <v>2</v>
      </c>
      <c r="W5" s="1061" t="s">
        <v>3</v>
      </c>
      <c r="X5" s="1059" t="s">
        <v>2</v>
      </c>
      <c r="Y5" s="1061" t="s">
        <v>3</v>
      </c>
      <c r="Z5" s="1059" t="s">
        <v>2</v>
      </c>
      <c r="AA5" s="1061" t="s">
        <v>3</v>
      </c>
      <c r="AB5" s="1059" t="s">
        <v>2</v>
      </c>
      <c r="AC5" s="1061" t="s">
        <v>3</v>
      </c>
      <c r="AD5" s="1059" t="s">
        <v>2</v>
      </c>
      <c r="AE5" s="1061" t="s">
        <v>3</v>
      </c>
    </row>
    <row r="6" spans="1:31" ht="52.5" customHeight="1" thickBot="1" x14ac:dyDescent="0.25">
      <c r="A6" s="1086"/>
      <c r="B6" s="1083"/>
      <c r="C6" s="1073"/>
      <c r="D6" s="1073"/>
      <c r="E6" s="1073"/>
      <c r="F6" s="1073"/>
      <c r="G6" s="1073"/>
      <c r="H6" s="1073"/>
      <c r="I6" s="28" t="s">
        <v>2</v>
      </c>
      <c r="J6" s="28" t="s">
        <v>3</v>
      </c>
      <c r="K6" s="1073"/>
      <c r="L6" s="1073"/>
      <c r="M6" s="1073"/>
      <c r="N6" s="28" t="s">
        <v>2</v>
      </c>
      <c r="O6" s="28" t="s">
        <v>3</v>
      </c>
      <c r="P6" s="1073"/>
      <c r="Q6" s="1073"/>
      <c r="R6" s="1073"/>
      <c r="S6" s="1089"/>
      <c r="T6" s="1060"/>
      <c r="U6" s="1062"/>
      <c r="V6" s="1060"/>
      <c r="W6" s="1062"/>
      <c r="X6" s="1060"/>
      <c r="Y6" s="1062"/>
      <c r="Z6" s="1060"/>
      <c r="AA6" s="1062"/>
      <c r="AB6" s="1060"/>
      <c r="AC6" s="1062"/>
      <c r="AD6" s="1060"/>
      <c r="AE6" s="1062"/>
    </row>
    <row r="7" spans="1:31" ht="13.5" customHeight="1" thickBot="1" x14ac:dyDescent="0.25">
      <c r="A7" s="29">
        <v>1</v>
      </c>
      <c r="B7" s="30" t="s">
        <v>6</v>
      </c>
      <c r="C7" s="10" t="s">
        <v>30</v>
      </c>
      <c r="D7" s="10">
        <f>SUM(D8:D31)</f>
        <v>0</v>
      </c>
      <c r="E7" s="10" t="s">
        <v>30</v>
      </c>
      <c r="F7" s="10" t="s">
        <v>30</v>
      </c>
      <c r="G7" s="10">
        <f>SUM(G8:G31)</f>
        <v>1314000</v>
      </c>
      <c r="H7" s="10" t="s">
        <v>30</v>
      </c>
      <c r="I7" s="10">
        <f>SUM(I8:I31)</f>
        <v>0</v>
      </c>
      <c r="J7" s="10">
        <f>SUM(J8:J31)</f>
        <v>0</v>
      </c>
      <c r="K7" s="10" t="s">
        <v>30</v>
      </c>
      <c r="L7" s="10">
        <f>SUM(L8:L31)</f>
        <v>-2256832</v>
      </c>
      <c r="M7" s="10" t="s">
        <v>30</v>
      </c>
      <c r="N7" s="10">
        <f>SUM(N8:N31)</f>
        <v>0</v>
      </c>
      <c r="O7" s="10">
        <f>SUM(O8:O31)</f>
        <v>0</v>
      </c>
      <c r="P7" s="10" t="s">
        <v>30</v>
      </c>
      <c r="Q7" s="10">
        <f>SUM(Q8:Q31)</f>
        <v>136348117</v>
      </c>
      <c r="R7" s="10" t="s">
        <v>30</v>
      </c>
      <c r="S7" s="88">
        <f>SUM(C7:R7)</f>
        <v>135405285</v>
      </c>
      <c r="T7" s="42">
        <f>SUM(T8:T31)</f>
        <v>35000000</v>
      </c>
      <c r="U7" s="42">
        <f t="shared" ref="U7:AE7" si="0">SUM(U8:U31)</f>
        <v>0</v>
      </c>
      <c r="V7" s="42">
        <f t="shared" si="0"/>
        <v>0</v>
      </c>
      <c r="W7" s="42">
        <f t="shared" si="0"/>
        <v>0</v>
      </c>
      <c r="X7" s="42">
        <f t="shared" si="0"/>
        <v>74941767</v>
      </c>
      <c r="Y7" s="42">
        <f t="shared" si="0"/>
        <v>0</v>
      </c>
      <c r="Z7" s="42">
        <f t="shared" si="0"/>
        <v>30800000</v>
      </c>
      <c r="AA7" s="42">
        <f t="shared" si="0"/>
        <v>0</v>
      </c>
      <c r="AB7" s="42">
        <f t="shared" si="0"/>
        <v>0</v>
      </c>
      <c r="AC7" s="42">
        <f t="shared" si="0"/>
        <v>0</v>
      </c>
      <c r="AD7" s="42">
        <f t="shared" si="0"/>
        <v>79272818</v>
      </c>
      <c r="AE7" s="42">
        <f t="shared" si="0"/>
        <v>0</v>
      </c>
    </row>
    <row r="8" spans="1:31" x14ac:dyDescent="0.2">
      <c r="A8" s="1095"/>
      <c r="B8" s="2" t="s">
        <v>47</v>
      </c>
      <c r="C8" s="9"/>
      <c r="D8" s="9"/>
      <c r="E8" s="9"/>
      <c r="F8" s="9"/>
      <c r="G8" s="9"/>
      <c r="H8" s="1"/>
      <c r="I8" s="9"/>
      <c r="J8" s="9"/>
      <c r="K8" s="9"/>
      <c r="L8" s="9"/>
      <c r="M8" s="1"/>
      <c r="N8" s="9"/>
      <c r="O8" s="9"/>
      <c r="P8" s="9">
        <v>0</v>
      </c>
      <c r="Q8" s="9">
        <v>500000</v>
      </c>
      <c r="R8" s="1"/>
      <c r="S8" s="1066"/>
      <c r="T8" s="103"/>
      <c r="U8" s="104"/>
      <c r="V8" s="103"/>
      <c r="W8" s="104"/>
      <c r="X8" s="103">
        <v>600000</v>
      </c>
      <c r="Y8" s="104"/>
      <c r="Z8" s="103"/>
      <c r="AA8" s="104"/>
      <c r="AB8" s="103"/>
      <c r="AC8" s="104"/>
      <c r="AD8" s="103">
        <v>600000</v>
      </c>
      <c r="AE8" s="104"/>
    </row>
    <row r="9" spans="1:31" x14ac:dyDescent="0.2">
      <c r="A9" s="1095"/>
      <c r="B9" s="2" t="s">
        <v>48</v>
      </c>
      <c r="C9" s="9"/>
      <c r="D9" s="9"/>
      <c r="E9" s="9"/>
      <c r="F9" s="9"/>
      <c r="G9" s="9"/>
      <c r="H9" s="1"/>
      <c r="I9" s="9"/>
      <c r="J9" s="9"/>
      <c r="K9" s="9"/>
      <c r="L9" s="9"/>
      <c r="M9" s="1"/>
      <c r="N9" s="9"/>
      <c r="O9" s="9"/>
      <c r="P9" s="9">
        <v>0</v>
      </c>
      <c r="Q9" s="9">
        <v>5500000</v>
      </c>
      <c r="R9" s="1"/>
      <c r="S9" s="1066"/>
      <c r="T9" s="57"/>
      <c r="U9" s="105"/>
      <c r="V9" s="57"/>
      <c r="W9" s="105"/>
      <c r="X9" s="57">
        <v>6000000</v>
      </c>
      <c r="Y9" s="105"/>
      <c r="Z9" s="57"/>
      <c r="AA9" s="105"/>
      <c r="AB9" s="57"/>
      <c r="AC9" s="105"/>
      <c r="AD9" s="57">
        <v>6600000</v>
      </c>
      <c r="AE9" s="105"/>
    </row>
    <row r="10" spans="1:31" x14ac:dyDescent="0.2">
      <c r="A10" s="1095"/>
      <c r="B10" s="2" t="s">
        <v>55</v>
      </c>
      <c r="C10" s="9"/>
      <c r="D10" s="9"/>
      <c r="E10" s="9"/>
      <c r="F10" s="9"/>
      <c r="G10" s="9"/>
      <c r="H10" s="1"/>
      <c r="I10" s="9"/>
      <c r="J10" s="9"/>
      <c r="K10" s="9"/>
      <c r="L10" s="9"/>
      <c r="M10" s="1"/>
      <c r="N10" s="9"/>
      <c r="O10" s="9"/>
      <c r="P10" s="9">
        <v>0</v>
      </c>
      <c r="Q10" s="9">
        <v>120278</v>
      </c>
      <c r="R10" s="1"/>
      <c r="S10" s="1066"/>
      <c r="T10" s="57"/>
      <c r="U10" s="105"/>
      <c r="V10" s="57"/>
      <c r="W10" s="105"/>
      <c r="X10" s="57"/>
      <c r="Y10" s="105"/>
      <c r="Z10" s="57"/>
      <c r="AA10" s="105"/>
      <c r="AB10" s="57"/>
      <c r="AC10" s="105"/>
      <c r="AD10" s="57"/>
      <c r="AE10" s="105"/>
    </row>
    <row r="11" spans="1:31" ht="25.5" x14ac:dyDescent="0.2">
      <c r="A11" s="1095"/>
      <c r="B11" s="2" t="s">
        <v>56</v>
      </c>
      <c r="C11" s="9"/>
      <c r="D11" s="9"/>
      <c r="E11" s="9"/>
      <c r="F11" s="9"/>
      <c r="G11" s="9"/>
      <c r="H11" s="1"/>
      <c r="I11" s="9"/>
      <c r="J11" s="9"/>
      <c r="K11" s="77"/>
      <c r="L11" s="77"/>
      <c r="M11" s="78"/>
      <c r="N11" s="9"/>
      <c r="O11" s="9"/>
      <c r="P11" s="9">
        <v>0</v>
      </c>
      <c r="Q11" s="9">
        <v>2050048</v>
      </c>
      <c r="R11" s="1"/>
      <c r="S11" s="1066"/>
      <c r="T11" s="57"/>
      <c r="U11" s="105"/>
      <c r="V11" s="57"/>
      <c r="W11" s="105"/>
      <c r="X11" s="57">
        <v>1500000</v>
      </c>
      <c r="Y11" s="105"/>
      <c r="Z11" s="57"/>
      <c r="AA11" s="105"/>
      <c r="AB11" s="57"/>
      <c r="AC11" s="105"/>
      <c r="AD11" s="57">
        <v>1500000</v>
      </c>
      <c r="AE11" s="105"/>
    </row>
    <row r="12" spans="1:31" ht="16.5" customHeight="1" x14ac:dyDescent="0.2">
      <c r="A12" s="1095"/>
      <c r="B12" s="2" t="s">
        <v>57</v>
      </c>
      <c r="C12" s="9"/>
      <c r="D12" s="9"/>
      <c r="E12" s="9"/>
      <c r="F12" s="9"/>
      <c r="G12" s="9"/>
      <c r="H12" s="1"/>
      <c r="I12" s="9"/>
      <c r="J12" s="9"/>
      <c r="K12" s="9"/>
      <c r="L12" s="9"/>
      <c r="M12" s="1"/>
      <c r="N12" s="9"/>
      <c r="O12" s="9"/>
      <c r="P12" s="9">
        <v>0</v>
      </c>
      <c r="Q12" s="9">
        <v>230000</v>
      </c>
      <c r="R12" s="1"/>
      <c r="S12" s="1066"/>
      <c r="T12" s="57"/>
      <c r="U12" s="105"/>
      <c r="V12" s="57"/>
      <c r="W12" s="105"/>
      <c r="X12" s="57"/>
      <c r="Y12" s="105"/>
      <c r="Z12" s="57"/>
      <c r="AA12" s="105"/>
      <c r="AB12" s="57"/>
      <c r="AC12" s="105"/>
      <c r="AD12" s="57"/>
      <c r="AE12" s="105"/>
    </row>
    <row r="13" spans="1:31" ht="25.5" x14ac:dyDescent="0.2">
      <c r="A13" s="1095"/>
      <c r="B13" s="2" t="s">
        <v>58</v>
      </c>
      <c r="C13" s="9"/>
      <c r="D13" s="9"/>
      <c r="E13" s="9"/>
      <c r="F13" s="9"/>
      <c r="G13" s="9"/>
      <c r="H13" s="1"/>
      <c r="I13" s="9"/>
      <c r="J13" s="9"/>
      <c r="K13" s="9"/>
      <c r="L13" s="23"/>
      <c r="M13" s="1"/>
      <c r="N13" s="9"/>
      <c r="O13" s="9"/>
      <c r="P13" s="9">
        <v>0</v>
      </c>
      <c r="Q13" s="9">
        <v>9415346</v>
      </c>
      <c r="R13" s="1"/>
      <c r="S13" s="1066"/>
      <c r="T13" s="57"/>
      <c r="U13" s="105"/>
      <c r="V13" s="57"/>
      <c r="W13" s="105"/>
      <c r="X13" s="57"/>
      <c r="Y13" s="105"/>
      <c r="Z13" s="57"/>
      <c r="AA13" s="105"/>
      <c r="AB13" s="57"/>
      <c r="AC13" s="105"/>
      <c r="AD13" s="57"/>
      <c r="AE13" s="105"/>
    </row>
    <row r="14" spans="1:31" ht="25.5" x14ac:dyDescent="0.2">
      <c r="A14" s="1095"/>
      <c r="B14" s="2" t="s">
        <v>59</v>
      </c>
      <c r="C14" s="9"/>
      <c r="D14" s="9"/>
      <c r="E14" s="9"/>
      <c r="F14" s="9"/>
      <c r="G14" s="9"/>
      <c r="H14" s="1"/>
      <c r="I14" s="9"/>
      <c r="J14" s="9"/>
      <c r="K14" s="9"/>
      <c r="L14" s="23"/>
      <c r="M14" s="1"/>
      <c r="N14" s="9"/>
      <c r="O14" s="9"/>
      <c r="P14" s="9">
        <v>0</v>
      </c>
      <c r="Q14" s="9">
        <v>2050474</v>
      </c>
      <c r="R14" s="1"/>
      <c r="S14" s="1066"/>
      <c r="T14" s="57"/>
      <c r="U14" s="105"/>
      <c r="V14" s="57"/>
      <c r="W14" s="105"/>
      <c r="X14" s="57"/>
      <c r="Y14" s="105"/>
      <c r="Z14" s="57"/>
      <c r="AA14" s="105"/>
      <c r="AB14" s="57"/>
      <c r="AC14" s="105"/>
      <c r="AD14" s="57"/>
      <c r="AE14" s="105"/>
    </row>
    <row r="15" spans="1:31" ht="20.25" customHeight="1" x14ac:dyDescent="0.2">
      <c r="A15" s="1095"/>
      <c r="B15" s="2" t="s">
        <v>60</v>
      </c>
      <c r="C15" s="9"/>
      <c r="D15" s="9"/>
      <c r="E15" s="9"/>
      <c r="F15" s="9"/>
      <c r="G15" s="9"/>
      <c r="H15" s="1"/>
      <c r="I15" s="9"/>
      <c r="J15" s="9"/>
      <c r="K15" s="77"/>
      <c r="L15" s="79"/>
      <c r="M15" s="78"/>
      <c r="N15" s="9"/>
      <c r="O15" s="9"/>
      <c r="P15" s="9">
        <v>0</v>
      </c>
      <c r="Q15" s="9">
        <v>240000</v>
      </c>
      <c r="R15" s="1"/>
      <c r="S15" s="1066"/>
      <c r="T15" s="57"/>
      <c r="U15" s="105"/>
      <c r="V15" s="57"/>
      <c r="W15" s="105"/>
      <c r="X15" s="57"/>
      <c r="Y15" s="105"/>
      <c r="Z15" s="57"/>
      <c r="AA15" s="105"/>
      <c r="AB15" s="57"/>
      <c r="AC15" s="105"/>
      <c r="AD15" s="57"/>
      <c r="AE15" s="105"/>
    </row>
    <row r="16" spans="1:31" x14ac:dyDescent="0.2">
      <c r="A16" s="1095"/>
      <c r="B16" s="2" t="s">
        <v>67</v>
      </c>
      <c r="C16" s="9"/>
      <c r="D16" s="9"/>
      <c r="E16" s="9"/>
      <c r="F16" s="9"/>
      <c r="G16" s="9"/>
      <c r="H16" s="1"/>
      <c r="I16" s="9"/>
      <c r="J16" s="9"/>
      <c r="K16" s="77"/>
      <c r="L16" s="9"/>
      <c r="M16" s="78"/>
      <c r="N16" s="9"/>
      <c r="O16" s="9"/>
      <c r="P16" s="9">
        <v>0</v>
      </c>
      <c r="Q16" s="9">
        <v>1000000</v>
      </c>
      <c r="R16" s="1"/>
      <c r="S16" s="1066"/>
      <c r="T16" s="57"/>
      <c r="U16" s="105"/>
      <c r="V16" s="57"/>
      <c r="W16" s="105"/>
      <c r="X16" s="57">
        <v>800000</v>
      </c>
      <c r="Y16" s="105"/>
      <c r="Z16" s="57"/>
      <c r="AA16" s="105"/>
      <c r="AB16" s="57"/>
      <c r="AC16" s="105"/>
      <c r="AD16" s="57">
        <v>800000</v>
      </c>
      <c r="AE16" s="105"/>
    </row>
    <row r="17" spans="1:31" x14ac:dyDescent="0.2">
      <c r="A17" s="1095"/>
      <c r="B17" s="2" t="s">
        <v>61</v>
      </c>
      <c r="C17" s="9"/>
      <c r="D17" s="9"/>
      <c r="E17" s="9"/>
      <c r="F17" s="9"/>
      <c r="G17" s="9"/>
      <c r="H17" s="1"/>
      <c r="I17" s="9"/>
      <c r="J17" s="9"/>
      <c r="K17" s="77"/>
      <c r="L17" s="77"/>
      <c r="M17" s="78"/>
      <c r="N17" s="9"/>
      <c r="O17" s="9"/>
      <c r="P17" s="9">
        <v>0</v>
      </c>
      <c r="Q17" s="9">
        <v>500000</v>
      </c>
      <c r="R17" s="1"/>
      <c r="S17" s="1066"/>
      <c r="T17" s="57"/>
      <c r="U17" s="105"/>
      <c r="V17" s="57"/>
      <c r="W17" s="105"/>
      <c r="X17" s="57">
        <v>500000</v>
      </c>
      <c r="Y17" s="105"/>
      <c r="Z17" s="57"/>
      <c r="AA17" s="105"/>
      <c r="AB17" s="57"/>
      <c r="AC17" s="105"/>
      <c r="AD17" s="57">
        <v>500000</v>
      </c>
      <c r="AE17" s="105"/>
    </row>
    <row r="18" spans="1:31" ht="14.25" customHeight="1" x14ac:dyDescent="0.2">
      <c r="A18" s="1095"/>
      <c r="B18" s="2" t="s">
        <v>62</v>
      </c>
      <c r="C18" s="9"/>
      <c r="D18" s="9"/>
      <c r="E18" s="9"/>
      <c r="F18" s="9"/>
      <c r="G18" s="9"/>
      <c r="H18" s="1"/>
      <c r="I18" s="9"/>
      <c r="J18" s="9"/>
      <c r="K18" s="77"/>
      <c r="L18" s="77"/>
      <c r="M18" s="78"/>
      <c r="N18" s="9"/>
      <c r="O18" s="9"/>
      <c r="P18" s="9">
        <v>0</v>
      </c>
      <c r="Q18" s="9">
        <v>12000000</v>
      </c>
      <c r="R18" s="1"/>
      <c r="S18" s="1066"/>
      <c r="T18" s="57"/>
      <c r="U18" s="105"/>
      <c r="V18" s="57"/>
      <c r="W18" s="105"/>
      <c r="X18" s="57">
        <v>12840000</v>
      </c>
      <c r="Y18" s="105"/>
      <c r="Z18" s="57"/>
      <c r="AA18" s="105"/>
      <c r="AB18" s="57"/>
      <c r="AC18" s="105"/>
      <c r="AD18" s="57">
        <v>13738800</v>
      </c>
      <c r="AE18" s="105"/>
    </row>
    <row r="19" spans="1:31" x14ac:dyDescent="0.2">
      <c r="A19" s="1095"/>
      <c r="B19" s="2" t="s">
        <v>63</v>
      </c>
      <c r="C19" s="9"/>
      <c r="D19" s="9"/>
      <c r="E19" s="9"/>
      <c r="F19" s="9"/>
      <c r="G19" s="9"/>
      <c r="H19" s="1"/>
      <c r="I19" s="9"/>
      <c r="J19" s="9"/>
      <c r="K19" s="77"/>
      <c r="L19" s="77"/>
      <c r="M19" s="78"/>
      <c r="N19" s="9"/>
      <c r="O19" s="9"/>
      <c r="P19" s="9">
        <v>0</v>
      </c>
      <c r="Q19" s="9">
        <v>2000000</v>
      </c>
      <c r="R19" s="1"/>
      <c r="S19" s="1066"/>
      <c r="T19" s="57"/>
      <c r="U19" s="105"/>
      <c r="V19" s="57"/>
      <c r="W19" s="105"/>
      <c r="X19" s="57">
        <v>2000000</v>
      </c>
      <c r="Y19" s="105"/>
      <c r="Z19" s="57"/>
      <c r="AA19" s="105"/>
      <c r="AB19" s="57"/>
      <c r="AC19" s="105"/>
      <c r="AD19" s="57">
        <v>2000000</v>
      </c>
      <c r="AE19" s="105"/>
    </row>
    <row r="20" spans="1:31" x14ac:dyDescent="0.2">
      <c r="A20" s="1095"/>
      <c r="B20" s="31" t="s">
        <v>64</v>
      </c>
      <c r="C20" s="9"/>
      <c r="D20" s="9"/>
      <c r="E20" s="9"/>
      <c r="F20" s="9"/>
      <c r="G20" s="9"/>
      <c r="H20" s="1"/>
      <c r="I20" s="9"/>
      <c r="J20" s="9"/>
      <c r="K20" s="77"/>
      <c r="L20" s="77"/>
      <c r="M20" s="78"/>
      <c r="N20" s="9"/>
      <c r="O20" s="9"/>
      <c r="P20" s="9">
        <v>0</v>
      </c>
      <c r="Q20" s="23">
        <v>7235000</v>
      </c>
      <c r="R20" s="1"/>
      <c r="S20" s="1066"/>
      <c r="T20" s="57"/>
      <c r="U20" s="105"/>
      <c r="V20" s="57"/>
      <c r="W20" s="105"/>
      <c r="X20" s="57">
        <v>7235000</v>
      </c>
      <c r="Y20" s="105"/>
      <c r="Z20" s="57"/>
      <c r="AA20" s="105"/>
      <c r="AB20" s="57"/>
      <c r="AC20" s="105"/>
      <c r="AD20" s="57">
        <v>7235000</v>
      </c>
      <c r="AE20" s="105"/>
    </row>
    <row r="21" spans="1:31" x14ac:dyDescent="0.2">
      <c r="A21" s="1095"/>
      <c r="B21" s="31" t="s">
        <v>65</v>
      </c>
      <c r="C21" s="9"/>
      <c r="D21" s="9"/>
      <c r="E21" s="9"/>
      <c r="F21" s="9"/>
      <c r="G21" s="9"/>
      <c r="H21" s="1"/>
      <c r="I21" s="9"/>
      <c r="J21" s="9"/>
      <c r="K21" s="77"/>
      <c r="L21" s="77"/>
      <c r="M21" s="78"/>
      <c r="N21" s="9"/>
      <c r="O21" s="9"/>
      <c r="P21" s="9">
        <v>0</v>
      </c>
      <c r="Q21" s="23">
        <v>3420400</v>
      </c>
      <c r="R21" s="1"/>
      <c r="S21" s="1066"/>
      <c r="T21" s="57"/>
      <c r="U21" s="105"/>
      <c r="V21" s="57"/>
      <c r="W21" s="105"/>
      <c r="X21" s="57">
        <v>3966767</v>
      </c>
      <c r="Y21" s="105"/>
      <c r="Z21" s="57"/>
      <c r="AA21" s="105"/>
      <c r="AB21" s="57"/>
      <c r="AC21" s="105"/>
      <c r="AD21" s="57">
        <v>4799018</v>
      </c>
      <c r="AE21" s="105"/>
    </row>
    <row r="22" spans="1:31" ht="25.5" x14ac:dyDescent="0.2">
      <c r="A22" s="1095"/>
      <c r="B22" s="31" t="s">
        <v>66</v>
      </c>
      <c r="C22" s="9"/>
      <c r="D22" s="9"/>
      <c r="E22" s="9"/>
      <c r="F22" s="9"/>
      <c r="G22" s="9"/>
      <c r="H22" s="1"/>
      <c r="I22" s="9"/>
      <c r="J22" s="9"/>
      <c r="K22" s="77"/>
      <c r="L22" s="77"/>
      <c r="M22" s="78"/>
      <c r="N22" s="9"/>
      <c r="O22" s="9"/>
      <c r="P22" s="9">
        <v>0</v>
      </c>
      <c r="Q22" s="23">
        <v>21845000</v>
      </c>
      <c r="R22" s="1"/>
      <c r="S22" s="1066"/>
      <c r="T22" s="57"/>
      <c r="U22" s="105"/>
      <c r="V22" s="57"/>
      <c r="W22" s="105"/>
      <c r="X22" s="57">
        <v>1500000</v>
      </c>
      <c r="Y22" s="105"/>
      <c r="Z22" s="57"/>
      <c r="AA22" s="105"/>
      <c r="AB22" s="57"/>
      <c r="AC22" s="105"/>
      <c r="AD22" s="57">
        <v>1500000</v>
      </c>
      <c r="AE22" s="105"/>
    </row>
    <row r="23" spans="1:31" x14ac:dyDescent="0.2">
      <c r="A23" s="1095"/>
      <c r="B23" s="31" t="s">
        <v>70</v>
      </c>
      <c r="C23" s="9"/>
      <c r="D23" s="9"/>
      <c r="E23" s="9"/>
      <c r="F23" s="9">
        <v>2700000</v>
      </c>
      <c r="G23" s="9">
        <v>1314000</v>
      </c>
      <c r="H23" s="1">
        <f>G23/F23</f>
        <v>0.48666666666666669</v>
      </c>
      <c r="I23" s="9"/>
      <c r="J23" s="9"/>
      <c r="K23" s="77"/>
      <c r="L23" s="77"/>
      <c r="M23" s="78"/>
      <c r="N23" s="9"/>
      <c r="O23" s="9"/>
      <c r="P23" s="9"/>
      <c r="Q23" s="23"/>
      <c r="R23" s="1"/>
      <c r="S23" s="1066"/>
      <c r="T23" s="57"/>
      <c r="U23" s="105"/>
      <c r="V23" s="57"/>
      <c r="W23" s="105"/>
      <c r="X23" s="57"/>
      <c r="Y23" s="105"/>
      <c r="Z23" s="57"/>
      <c r="AA23" s="105"/>
      <c r="AB23" s="57"/>
      <c r="AC23" s="105"/>
      <c r="AD23" s="57"/>
      <c r="AE23" s="105"/>
    </row>
    <row r="24" spans="1:31" x14ac:dyDescent="0.2">
      <c r="A24" s="1095"/>
      <c r="B24" s="31" t="s">
        <v>71</v>
      </c>
      <c r="C24" s="9"/>
      <c r="D24" s="9"/>
      <c r="E24" s="9"/>
      <c r="F24" s="9"/>
      <c r="G24" s="9"/>
      <c r="H24" s="1"/>
      <c r="I24" s="9"/>
      <c r="J24" s="9"/>
      <c r="K24" s="110">
        <v>0</v>
      </c>
      <c r="L24" s="110">
        <v>1000000</v>
      </c>
      <c r="M24" s="111"/>
      <c r="N24" s="110"/>
      <c r="O24" s="110"/>
      <c r="P24" s="110"/>
      <c r="Q24" s="23"/>
      <c r="R24" s="1"/>
      <c r="S24" s="1066"/>
      <c r="T24" s="57"/>
      <c r="U24" s="105"/>
      <c r="V24" s="57"/>
      <c r="W24" s="105"/>
      <c r="X24" s="57"/>
      <c r="Y24" s="105"/>
      <c r="Z24" s="57"/>
      <c r="AA24" s="105"/>
      <c r="AB24" s="57"/>
      <c r="AC24" s="105"/>
      <c r="AD24" s="57"/>
      <c r="AE24" s="105"/>
    </row>
    <row r="25" spans="1:31" x14ac:dyDescent="0.2">
      <c r="A25" s="1095"/>
      <c r="B25" s="31" t="s">
        <v>72</v>
      </c>
      <c r="C25" s="9"/>
      <c r="D25" s="9"/>
      <c r="E25" s="9"/>
      <c r="F25" s="9"/>
      <c r="G25" s="9"/>
      <c r="H25" s="1"/>
      <c r="I25" s="9"/>
      <c r="J25" s="9"/>
      <c r="K25" s="110">
        <v>3256832</v>
      </c>
      <c r="L25" s="110">
        <v>-3256832</v>
      </c>
      <c r="M25" s="111">
        <v>1</v>
      </c>
      <c r="N25" s="110"/>
      <c r="O25" s="110"/>
      <c r="P25" s="110"/>
      <c r="Q25" s="23"/>
      <c r="R25" s="1"/>
      <c r="S25" s="1066"/>
      <c r="T25" s="57"/>
      <c r="U25" s="105"/>
      <c r="V25" s="57"/>
      <c r="W25" s="105"/>
      <c r="X25" s="57"/>
      <c r="Y25" s="105"/>
      <c r="Z25" s="57"/>
      <c r="AA25" s="105"/>
      <c r="AB25" s="57"/>
      <c r="AC25" s="105"/>
      <c r="AD25" s="57"/>
      <c r="AE25" s="105"/>
    </row>
    <row r="26" spans="1:31" x14ac:dyDescent="0.2">
      <c r="A26" s="1095"/>
      <c r="B26" s="31"/>
      <c r="C26" s="9"/>
      <c r="D26" s="9"/>
      <c r="E26" s="9"/>
      <c r="F26" s="9"/>
      <c r="G26" s="9"/>
      <c r="H26" s="1"/>
      <c r="I26" s="9"/>
      <c r="J26" s="9"/>
      <c r="K26" s="110"/>
      <c r="L26" s="110"/>
      <c r="M26" s="111"/>
      <c r="N26" s="110"/>
      <c r="O26" s="110"/>
      <c r="P26" s="110"/>
      <c r="Q26" s="23"/>
      <c r="R26" s="1"/>
      <c r="S26" s="1066"/>
      <c r="T26" s="57"/>
      <c r="U26" s="105"/>
      <c r="V26" s="57"/>
      <c r="W26" s="105"/>
      <c r="X26" s="57"/>
      <c r="Y26" s="105"/>
      <c r="Z26" s="57"/>
      <c r="AA26" s="105"/>
      <c r="AB26" s="57"/>
      <c r="AC26" s="105"/>
      <c r="AD26" s="57"/>
      <c r="AE26" s="105"/>
    </row>
    <row r="27" spans="1:31" x14ac:dyDescent="0.2">
      <c r="A27" s="1095"/>
      <c r="B27" s="31"/>
      <c r="C27" s="9"/>
      <c r="D27" s="9"/>
      <c r="E27" s="9"/>
      <c r="F27" s="9"/>
      <c r="G27" s="9"/>
      <c r="H27" s="1"/>
      <c r="I27" s="9"/>
      <c r="J27" s="9"/>
      <c r="K27" s="110"/>
      <c r="L27" s="110"/>
      <c r="M27" s="111"/>
      <c r="N27" s="110"/>
      <c r="O27" s="110"/>
      <c r="P27" s="110"/>
      <c r="Q27" s="23"/>
      <c r="R27" s="1"/>
      <c r="S27" s="1066"/>
      <c r="T27" s="57"/>
      <c r="U27" s="105"/>
      <c r="V27" s="57"/>
      <c r="W27" s="105"/>
      <c r="X27" s="57"/>
      <c r="Y27" s="105"/>
      <c r="Z27" s="57"/>
      <c r="AA27" s="105"/>
      <c r="AB27" s="57"/>
      <c r="AC27" s="105"/>
      <c r="AD27" s="57"/>
      <c r="AE27" s="105"/>
    </row>
    <row r="28" spans="1:31" x14ac:dyDescent="0.2">
      <c r="A28" s="1095"/>
      <c r="B28" s="31"/>
      <c r="C28" s="9"/>
      <c r="D28" s="9"/>
      <c r="E28" s="9"/>
      <c r="F28" s="9"/>
      <c r="G28" s="9"/>
      <c r="H28" s="1"/>
      <c r="I28" s="9"/>
      <c r="J28" s="9"/>
      <c r="K28" s="77"/>
      <c r="L28" s="77"/>
      <c r="M28" s="78"/>
      <c r="N28" s="9"/>
      <c r="O28" s="9"/>
      <c r="P28" s="9"/>
      <c r="Q28" s="23"/>
      <c r="R28" s="1"/>
      <c r="S28" s="1066"/>
      <c r="T28" s="57"/>
      <c r="U28" s="105"/>
      <c r="V28" s="57"/>
      <c r="W28" s="105"/>
      <c r="X28" s="57"/>
      <c r="Y28" s="105"/>
      <c r="Z28" s="57"/>
      <c r="AA28" s="105"/>
      <c r="AB28" s="57"/>
      <c r="AC28" s="105"/>
      <c r="AD28" s="57"/>
      <c r="AE28" s="105"/>
    </row>
    <row r="29" spans="1:31" x14ac:dyDescent="0.2">
      <c r="A29" s="1095"/>
      <c r="B29" s="31"/>
      <c r="C29" s="9"/>
      <c r="D29" s="9"/>
      <c r="E29" s="9"/>
      <c r="F29" s="9"/>
      <c r="G29" s="9"/>
      <c r="H29" s="1"/>
      <c r="I29" s="9"/>
      <c r="J29" s="9"/>
      <c r="K29" s="77"/>
      <c r="L29" s="77"/>
      <c r="M29" s="78"/>
      <c r="N29" s="9"/>
      <c r="O29" s="9"/>
      <c r="P29" s="9"/>
      <c r="Q29" s="23"/>
      <c r="R29" s="1"/>
      <c r="S29" s="1066"/>
      <c r="T29" s="57"/>
      <c r="U29" s="105"/>
      <c r="V29" s="57"/>
      <c r="W29" s="105"/>
      <c r="X29" s="57"/>
      <c r="Y29" s="105"/>
      <c r="Z29" s="57"/>
      <c r="AA29" s="105"/>
      <c r="AB29" s="57"/>
      <c r="AC29" s="105"/>
      <c r="AD29" s="57"/>
      <c r="AE29" s="105"/>
    </row>
    <row r="30" spans="1:31" x14ac:dyDescent="0.2">
      <c r="A30" s="1095"/>
      <c r="B30" s="31"/>
      <c r="C30" s="9"/>
      <c r="D30" s="9"/>
      <c r="E30" s="9"/>
      <c r="F30" s="9"/>
      <c r="G30" s="9"/>
      <c r="H30" s="1"/>
      <c r="I30" s="9"/>
      <c r="J30" s="9"/>
      <c r="K30" s="9"/>
      <c r="L30" s="9"/>
      <c r="M30" s="1"/>
      <c r="N30" s="9"/>
      <c r="O30" s="9"/>
      <c r="P30" s="9"/>
      <c r="Q30" s="23"/>
      <c r="R30" s="1"/>
      <c r="S30" s="1066"/>
      <c r="T30" s="57"/>
      <c r="U30" s="105"/>
      <c r="V30" s="57"/>
      <c r="W30" s="105"/>
      <c r="X30" s="57"/>
      <c r="Y30" s="105"/>
      <c r="Z30" s="57"/>
      <c r="AA30" s="105"/>
      <c r="AB30" s="57"/>
      <c r="AC30" s="105"/>
      <c r="AD30" s="57"/>
      <c r="AE30" s="105"/>
    </row>
    <row r="31" spans="1:31" x14ac:dyDescent="0.2">
      <c r="A31" s="1095"/>
      <c r="B31" s="32" t="s">
        <v>24</v>
      </c>
      <c r="C31" s="3">
        <f t="shared" ref="C31:O31" si="1">C33+C35+C36+C37+C40+C34</f>
        <v>0</v>
      </c>
      <c r="D31" s="3">
        <f t="shared" si="1"/>
        <v>0</v>
      </c>
      <c r="E31" s="3">
        <f t="shared" si="1"/>
        <v>0</v>
      </c>
      <c r="F31" s="3">
        <f t="shared" si="1"/>
        <v>0</v>
      </c>
      <c r="G31" s="3">
        <f t="shared" ref="G31" si="2">G33+G35+G36+G37+G40+G34</f>
        <v>0</v>
      </c>
      <c r="H31" s="3" t="s">
        <v>30</v>
      </c>
      <c r="I31" s="3">
        <f t="shared" si="1"/>
        <v>0</v>
      </c>
      <c r="J31" s="3">
        <f t="shared" si="1"/>
        <v>0</v>
      </c>
      <c r="K31" s="3">
        <f t="shared" si="1"/>
        <v>0</v>
      </c>
      <c r="L31" s="3">
        <f t="shared" si="1"/>
        <v>0</v>
      </c>
      <c r="M31" s="3">
        <f t="shared" si="1"/>
        <v>0</v>
      </c>
      <c r="N31" s="3">
        <f t="shared" si="1"/>
        <v>0</v>
      </c>
      <c r="O31" s="3">
        <f t="shared" si="1"/>
        <v>0</v>
      </c>
      <c r="P31" s="3">
        <f>P33+P35+P36+P37+P40+P34</f>
        <v>0</v>
      </c>
      <c r="Q31" s="24">
        <f>SUM(Q32:Q40)</f>
        <v>68241571</v>
      </c>
      <c r="R31" s="82" t="e">
        <f>Q31/P31</f>
        <v>#DIV/0!</v>
      </c>
      <c r="S31" s="1066"/>
      <c r="T31" s="98">
        <f>SUM(T32:T40)</f>
        <v>35000000</v>
      </c>
      <c r="U31" s="98">
        <f t="shared" ref="U31:AE31" si="3">SUM(U32:U40)</f>
        <v>0</v>
      </c>
      <c r="V31" s="98">
        <f t="shared" si="3"/>
        <v>0</v>
      </c>
      <c r="W31" s="98">
        <f t="shared" si="3"/>
        <v>0</v>
      </c>
      <c r="X31" s="98">
        <f t="shared" si="3"/>
        <v>38000000</v>
      </c>
      <c r="Y31" s="98">
        <f t="shared" si="3"/>
        <v>0</v>
      </c>
      <c r="Z31" s="98">
        <f t="shared" si="3"/>
        <v>30800000</v>
      </c>
      <c r="AA31" s="98">
        <f t="shared" si="3"/>
        <v>0</v>
      </c>
      <c r="AB31" s="98">
        <f t="shared" si="3"/>
        <v>0</v>
      </c>
      <c r="AC31" s="98">
        <f t="shared" si="3"/>
        <v>0</v>
      </c>
      <c r="AD31" s="98">
        <f t="shared" si="3"/>
        <v>40000000</v>
      </c>
      <c r="AE31" s="98">
        <f t="shared" si="3"/>
        <v>0</v>
      </c>
    </row>
    <row r="32" spans="1:31" ht="25.5" x14ac:dyDescent="0.2">
      <c r="A32" s="1095"/>
      <c r="B32" s="2" t="s">
        <v>53</v>
      </c>
      <c r="C32" s="9"/>
      <c r="D32" s="9"/>
      <c r="E32" s="9"/>
      <c r="F32" s="9"/>
      <c r="G32" s="9"/>
      <c r="H32" s="9"/>
      <c r="I32" s="9"/>
      <c r="J32" s="9"/>
      <c r="K32" s="77"/>
      <c r="L32" s="77"/>
      <c r="M32" s="77"/>
      <c r="N32" s="9"/>
      <c r="O32" s="9"/>
      <c r="P32" s="9">
        <v>0</v>
      </c>
      <c r="Q32" s="23">
        <v>500000</v>
      </c>
      <c r="R32" s="1"/>
      <c r="S32" s="1066"/>
      <c r="T32" s="57"/>
      <c r="U32" s="105"/>
      <c r="V32" s="57"/>
      <c r="W32" s="105"/>
      <c r="X32" s="57">
        <v>500000</v>
      </c>
      <c r="Y32" s="105"/>
      <c r="Z32" s="57"/>
      <c r="AA32" s="105"/>
      <c r="AB32" s="57"/>
      <c r="AC32" s="105"/>
      <c r="AD32" s="57">
        <v>500000</v>
      </c>
      <c r="AE32" s="105"/>
    </row>
    <row r="33" spans="1:31" hidden="1" x14ac:dyDescent="0.2">
      <c r="A33" s="1095"/>
      <c r="B33" s="33" t="s">
        <v>38</v>
      </c>
      <c r="C33" s="9"/>
      <c r="D33" s="9"/>
      <c r="E33" s="9"/>
      <c r="F33" s="9"/>
      <c r="G33" s="9"/>
      <c r="H33" s="1"/>
      <c r="I33" s="9"/>
      <c r="J33" s="9"/>
      <c r="K33" s="77"/>
      <c r="L33" s="77"/>
      <c r="M33" s="77"/>
      <c r="N33" s="9"/>
      <c r="O33" s="9"/>
      <c r="P33" s="9"/>
      <c r="Q33" s="23"/>
      <c r="R33" s="1"/>
      <c r="S33" s="1066"/>
      <c r="T33" s="57"/>
      <c r="U33" s="105"/>
      <c r="V33" s="57"/>
      <c r="W33" s="105"/>
      <c r="X33" s="57"/>
      <c r="Y33" s="105"/>
      <c r="Z33" s="57"/>
      <c r="AA33" s="105"/>
      <c r="AB33" s="57"/>
      <c r="AC33" s="105"/>
      <c r="AD33" s="57"/>
      <c r="AE33" s="105"/>
    </row>
    <row r="34" spans="1:31" x14ac:dyDescent="0.2">
      <c r="A34" s="1095"/>
      <c r="B34" s="34" t="s">
        <v>49</v>
      </c>
      <c r="C34" s="9"/>
      <c r="D34" s="9"/>
      <c r="E34" s="9"/>
      <c r="F34" s="9"/>
      <c r="G34" s="9"/>
      <c r="H34" s="1"/>
      <c r="I34" s="9"/>
      <c r="J34" s="9"/>
      <c r="K34" s="77"/>
      <c r="L34" s="77"/>
      <c r="M34" s="77"/>
      <c r="N34" s="9"/>
      <c r="O34" s="9"/>
      <c r="P34" s="9">
        <v>0</v>
      </c>
      <c r="Q34" s="23">
        <v>1265000</v>
      </c>
      <c r="R34" s="1"/>
      <c r="S34" s="1066"/>
      <c r="T34" s="57"/>
      <c r="U34" s="105"/>
      <c r="V34" s="57"/>
      <c r="W34" s="105"/>
      <c r="X34" s="57">
        <v>1265000</v>
      </c>
      <c r="Y34" s="105"/>
      <c r="Z34" s="57"/>
      <c r="AA34" s="105"/>
      <c r="AB34" s="57"/>
      <c r="AC34" s="105"/>
      <c r="AD34" s="57">
        <v>1265000</v>
      </c>
      <c r="AE34" s="105"/>
    </row>
    <row r="35" spans="1:31" x14ac:dyDescent="0.2">
      <c r="A35" s="1095"/>
      <c r="B35" s="34" t="s">
        <v>54</v>
      </c>
      <c r="C35" s="9"/>
      <c r="D35" s="9"/>
      <c r="E35" s="9"/>
      <c r="F35" s="9"/>
      <c r="G35" s="9"/>
      <c r="H35" s="1"/>
      <c r="I35" s="9"/>
      <c r="J35" s="9"/>
      <c r="K35" s="77"/>
      <c r="L35" s="77"/>
      <c r="M35" s="77"/>
      <c r="N35" s="9"/>
      <c r="O35" s="9"/>
      <c r="P35" s="9">
        <v>0</v>
      </c>
      <c r="Q35" s="23">
        <v>7000000</v>
      </c>
      <c r="R35" s="1"/>
      <c r="S35" s="1066"/>
      <c r="T35" s="57"/>
      <c r="U35" s="105"/>
      <c r="V35" s="57"/>
      <c r="W35" s="105"/>
      <c r="X35" s="57">
        <v>23500000</v>
      </c>
      <c r="Y35" s="105"/>
      <c r="Z35" s="57"/>
      <c r="AA35" s="105"/>
      <c r="AB35" s="57"/>
      <c r="AC35" s="105"/>
      <c r="AD35" s="57">
        <v>24500000</v>
      </c>
      <c r="AE35" s="105"/>
    </row>
    <row r="36" spans="1:31" hidden="1" x14ac:dyDescent="0.2">
      <c r="A36" s="1095"/>
      <c r="B36" s="34"/>
      <c r="C36" s="9"/>
      <c r="D36" s="9"/>
      <c r="E36" s="9"/>
      <c r="F36" s="9"/>
      <c r="G36" s="9"/>
      <c r="H36" s="1"/>
      <c r="I36" s="9"/>
      <c r="J36" s="9"/>
      <c r="K36" s="77"/>
      <c r="L36" s="77"/>
      <c r="M36" s="77"/>
      <c r="N36" s="9"/>
      <c r="O36" s="9"/>
      <c r="P36" s="9"/>
      <c r="Q36" s="23"/>
      <c r="R36" s="1"/>
      <c r="S36" s="1066"/>
      <c r="T36" s="57"/>
      <c r="U36" s="105"/>
      <c r="V36" s="57"/>
      <c r="W36" s="105"/>
      <c r="X36" s="57"/>
      <c r="Y36" s="105"/>
      <c r="Z36" s="57"/>
      <c r="AA36" s="105"/>
      <c r="AB36" s="57"/>
      <c r="AC36" s="105"/>
      <c r="AD36" s="57"/>
      <c r="AE36" s="105"/>
    </row>
    <row r="37" spans="1:31" hidden="1" x14ac:dyDescent="0.2">
      <c r="A37" s="1095"/>
      <c r="B37" s="34"/>
      <c r="C37" s="9"/>
      <c r="D37" s="9"/>
      <c r="E37" s="9"/>
      <c r="F37" s="9"/>
      <c r="G37" s="9"/>
      <c r="H37" s="1"/>
      <c r="I37" s="9"/>
      <c r="J37" s="9"/>
      <c r="K37" s="77"/>
      <c r="L37" s="77"/>
      <c r="M37" s="77"/>
      <c r="N37" s="9"/>
      <c r="O37" s="9"/>
      <c r="P37" s="9"/>
      <c r="Q37" s="23"/>
      <c r="R37" s="1"/>
      <c r="S37" s="1067"/>
      <c r="T37" s="57"/>
      <c r="U37" s="105"/>
      <c r="V37" s="57"/>
      <c r="W37" s="105"/>
      <c r="X37" s="57"/>
      <c r="Y37" s="105"/>
      <c r="Z37" s="57"/>
      <c r="AA37" s="105"/>
      <c r="AB37" s="57"/>
      <c r="AC37" s="105"/>
      <c r="AD37" s="57"/>
      <c r="AE37" s="105"/>
    </row>
    <row r="38" spans="1:31" x14ac:dyDescent="0.2">
      <c r="A38" s="1095"/>
      <c r="B38" s="34" t="s">
        <v>50</v>
      </c>
      <c r="C38" s="13"/>
      <c r="D38" s="13"/>
      <c r="E38" s="13"/>
      <c r="F38" s="13"/>
      <c r="G38" s="13"/>
      <c r="H38" s="35"/>
      <c r="I38" s="13"/>
      <c r="J38" s="13"/>
      <c r="K38" s="76"/>
      <c r="L38" s="76"/>
      <c r="M38" s="76"/>
      <c r="N38" s="13"/>
      <c r="O38" s="13"/>
      <c r="P38" s="13">
        <v>0</v>
      </c>
      <c r="Q38" s="36">
        <v>9568000</v>
      </c>
      <c r="R38" s="35"/>
      <c r="S38" s="1068"/>
      <c r="T38" s="48"/>
      <c r="U38" s="38"/>
      <c r="V38" s="48"/>
      <c r="W38" s="38"/>
      <c r="X38" s="48">
        <v>12735000</v>
      </c>
      <c r="Y38" s="38"/>
      <c r="Z38" s="48"/>
      <c r="AA38" s="38"/>
      <c r="AB38" s="48"/>
      <c r="AC38" s="38"/>
      <c r="AD38" s="48">
        <v>13735000</v>
      </c>
      <c r="AE38" s="38"/>
    </row>
    <row r="39" spans="1:31" x14ac:dyDescent="0.2">
      <c r="A39" s="1095"/>
      <c r="B39" s="34" t="s">
        <v>51</v>
      </c>
      <c r="C39" s="13"/>
      <c r="D39" s="13"/>
      <c r="E39" s="13"/>
      <c r="F39" s="13"/>
      <c r="G39" s="13"/>
      <c r="H39" s="35"/>
      <c r="I39" s="13"/>
      <c r="J39" s="13"/>
      <c r="K39" s="76"/>
      <c r="L39" s="76"/>
      <c r="M39" s="76"/>
      <c r="N39" s="13"/>
      <c r="O39" s="13"/>
      <c r="P39" s="13">
        <v>0</v>
      </c>
      <c r="Q39" s="36">
        <f>42000000+4667000</f>
        <v>46667000</v>
      </c>
      <c r="R39" s="35"/>
      <c r="S39" s="1068"/>
      <c r="T39" s="48">
        <v>35000000</v>
      </c>
      <c r="U39" s="38"/>
      <c r="V39" s="48"/>
      <c r="W39" s="38"/>
      <c r="X39" s="48"/>
      <c r="Y39" s="38"/>
      <c r="Z39" s="48">
        <v>30800000</v>
      </c>
      <c r="AA39" s="38"/>
      <c r="AB39" s="48"/>
      <c r="AC39" s="38"/>
      <c r="AD39" s="48"/>
      <c r="AE39" s="38"/>
    </row>
    <row r="40" spans="1:31" ht="13.5" thickBot="1" x14ac:dyDescent="0.25">
      <c r="A40" s="1095"/>
      <c r="B40" s="101" t="s">
        <v>52</v>
      </c>
      <c r="C40" s="13"/>
      <c r="D40" s="13"/>
      <c r="E40" s="13"/>
      <c r="F40" s="13"/>
      <c r="G40" s="13"/>
      <c r="H40" s="35"/>
      <c r="I40" s="13"/>
      <c r="J40" s="13"/>
      <c r="K40" s="76"/>
      <c r="L40" s="76"/>
      <c r="M40" s="76"/>
      <c r="N40" s="13"/>
      <c r="O40" s="13"/>
      <c r="P40" s="13">
        <v>0</v>
      </c>
      <c r="Q40" s="36">
        <v>3241571</v>
      </c>
      <c r="R40" s="35"/>
      <c r="S40" s="1068"/>
      <c r="T40" s="48"/>
      <c r="U40" s="38"/>
      <c r="V40" s="48"/>
      <c r="W40" s="38"/>
      <c r="X40" s="48"/>
      <c r="Y40" s="38"/>
      <c r="Z40" s="48"/>
      <c r="AA40" s="38"/>
      <c r="AB40" s="48"/>
      <c r="AC40" s="38"/>
      <c r="AD40" s="48"/>
      <c r="AE40" s="38"/>
    </row>
    <row r="41" spans="1:31" ht="13.5" thickBot="1" x14ac:dyDescent="0.25">
      <c r="A41" s="40">
        <v>2</v>
      </c>
      <c r="B41" s="100" t="s">
        <v>7</v>
      </c>
      <c r="C41" s="42" t="s">
        <v>30</v>
      </c>
      <c r="D41" s="42">
        <f t="shared" ref="D41:O41" si="4">SUM(D42:D46)</f>
        <v>0</v>
      </c>
      <c r="E41" s="42" t="s">
        <v>30</v>
      </c>
      <c r="F41" s="42" t="s">
        <v>30</v>
      </c>
      <c r="G41" s="42">
        <f t="shared" si="4"/>
        <v>0</v>
      </c>
      <c r="H41" s="42" t="s">
        <v>30</v>
      </c>
      <c r="I41" s="42">
        <f t="shared" si="4"/>
        <v>0</v>
      </c>
      <c r="J41" s="42">
        <f t="shared" si="4"/>
        <v>0</v>
      </c>
      <c r="K41" s="42" t="s">
        <v>30</v>
      </c>
      <c r="L41" s="42">
        <f>SUM(L42:L47)</f>
        <v>0</v>
      </c>
      <c r="M41" s="42" t="s">
        <v>30</v>
      </c>
      <c r="N41" s="42">
        <f t="shared" si="4"/>
        <v>0</v>
      </c>
      <c r="O41" s="42">
        <f t="shared" si="4"/>
        <v>0</v>
      </c>
      <c r="P41" s="42" t="s">
        <v>30</v>
      </c>
      <c r="Q41" s="42">
        <f>SUM(Q42:Q47)</f>
        <v>900000</v>
      </c>
      <c r="R41" s="42" t="s">
        <v>30</v>
      </c>
      <c r="S41" s="89">
        <f>SUM(C41:R41)</f>
        <v>900000</v>
      </c>
      <c r="T41" s="42">
        <f>SUM(T42:T47)</f>
        <v>0</v>
      </c>
      <c r="U41" s="102">
        <f t="shared" ref="U41:AE41" si="5">SUM(U42:U47)</f>
        <v>0</v>
      </c>
      <c r="V41" s="42">
        <f t="shared" si="5"/>
        <v>0</v>
      </c>
      <c r="W41" s="102">
        <f t="shared" si="5"/>
        <v>0</v>
      </c>
      <c r="X41" s="42">
        <f t="shared" si="5"/>
        <v>250000</v>
      </c>
      <c r="Y41" s="102">
        <f t="shared" si="5"/>
        <v>0</v>
      </c>
      <c r="Z41" s="42">
        <f t="shared" si="5"/>
        <v>0</v>
      </c>
      <c r="AA41" s="102">
        <f t="shared" si="5"/>
        <v>0</v>
      </c>
      <c r="AB41" s="42">
        <f t="shared" si="5"/>
        <v>0</v>
      </c>
      <c r="AC41" s="102">
        <f t="shared" si="5"/>
        <v>0</v>
      </c>
      <c r="AD41" s="42">
        <f t="shared" si="5"/>
        <v>250000</v>
      </c>
      <c r="AE41" s="102">
        <f t="shared" si="5"/>
        <v>0</v>
      </c>
    </row>
    <row r="42" spans="1:31" x14ac:dyDescent="0.2">
      <c r="A42" s="1088"/>
      <c r="B42" s="20" t="s">
        <v>68</v>
      </c>
      <c r="C42" s="6"/>
      <c r="D42" s="6"/>
      <c r="E42" s="6"/>
      <c r="F42" s="6"/>
      <c r="G42" s="6"/>
      <c r="H42" s="6"/>
      <c r="I42" s="6"/>
      <c r="J42" s="6"/>
      <c r="K42" s="6"/>
      <c r="L42" s="43"/>
      <c r="M42" s="7"/>
      <c r="N42" s="6"/>
      <c r="O42" s="6"/>
      <c r="P42" s="6">
        <v>0</v>
      </c>
      <c r="Q42" s="6">
        <v>900000</v>
      </c>
      <c r="R42" s="17"/>
      <c r="S42" s="1070"/>
      <c r="T42" s="103"/>
      <c r="U42" s="104"/>
      <c r="V42" s="103"/>
      <c r="W42" s="104"/>
      <c r="X42" s="103">
        <v>250000</v>
      </c>
      <c r="Y42" s="104"/>
      <c r="Z42" s="103"/>
      <c r="AA42" s="104"/>
      <c r="AB42" s="103"/>
      <c r="AC42" s="104"/>
      <c r="AD42" s="103">
        <v>250000</v>
      </c>
      <c r="AE42" s="104"/>
    </row>
    <row r="43" spans="1:31" x14ac:dyDescent="0.2">
      <c r="A43" s="1088"/>
      <c r="B43" s="4"/>
      <c r="C43" s="9"/>
      <c r="D43" s="9"/>
      <c r="E43" s="9"/>
      <c r="F43" s="9"/>
      <c r="G43" s="9"/>
      <c r="H43" s="9"/>
      <c r="I43" s="9"/>
      <c r="J43" s="9"/>
      <c r="K43" s="9"/>
      <c r="L43" s="9"/>
      <c r="M43" s="1"/>
      <c r="N43" s="9"/>
      <c r="O43" s="9"/>
      <c r="P43" s="9"/>
      <c r="Q43" s="9"/>
      <c r="R43" s="17"/>
      <c r="S43" s="1070"/>
      <c r="T43" s="57"/>
      <c r="U43" s="105"/>
      <c r="V43" s="57"/>
      <c r="W43" s="105"/>
      <c r="X43" s="57"/>
      <c r="Y43" s="105"/>
      <c r="Z43" s="57"/>
      <c r="AA43" s="105"/>
      <c r="AB43" s="57"/>
      <c r="AC43" s="105"/>
      <c r="AD43" s="57"/>
      <c r="AE43" s="105"/>
    </row>
    <row r="44" spans="1:31" hidden="1" x14ac:dyDescent="0.2">
      <c r="A44" s="1088"/>
      <c r="B44" s="4"/>
      <c r="C44" s="9"/>
      <c r="D44" s="9"/>
      <c r="E44" s="9"/>
      <c r="F44" s="9"/>
      <c r="G44" s="9"/>
      <c r="H44" s="9"/>
      <c r="I44" s="9"/>
      <c r="J44" s="9"/>
      <c r="K44" s="9"/>
      <c r="L44" s="9"/>
      <c r="M44" s="78"/>
      <c r="N44" s="9"/>
      <c r="O44" s="9"/>
      <c r="P44" s="9"/>
      <c r="Q44" s="9"/>
      <c r="R44" s="17"/>
      <c r="S44" s="1070"/>
      <c r="T44" s="57"/>
      <c r="U44" s="105"/>
      <c r="V44" s="57"/>
      <c r="W44" s="105"/>
      <c r="X44" s="57"/>
      <c r="Y44" s="105"/>
      <c r="Z44" s="57"/>
      <c r="AA44" s="105"/>
      <c r="AB44" s="57"/>
      <c r="AC44" s="105"/>
      <c r="AD44" s="57"/>
      <c r="AE44" s="105"/>
    </row>
    <row r="45" spans="1:31" hidden="1" x14ac:dyDescent="0.2">
      <c r="A45" s="1088"/>
      <c r="B45" s="4"/>
      <c r="C45" s="9"/>
      <c r="D45" s="9"/>
      <c r="E45" s="9"/>
      <c r="F45" s="9"/>
      <c r="G45" s="9"/>
      <c r="H45" s="9"/>
      <c r="I45" s="9"/>
      <c r="J45" s="9"/>
      <c r="K45" s="9"/>
      <c r="L45" s="9"/>
      <c r="M45" s="78"/>
      <c r="N45" s="9"/>
      <c r="O45" s="9"/>
      <c r="P45" s="9"/>
      <c r="Q45" s="9"/>
      <c r="R45" s="17"/>
      <c r="S45" s="1070"/>
      <c r="T45" s="57"/>
      <c r="U45" s="105"/>
      <c r="V45" s="57"/>
      <c r="W45" s="105"/>
      <c r="X45" s="57"/>
      <c r="Y45" s="105"/>
      <c r="Z45" s="57"/>
      <c r="AA45" s="105"/>
      <c r="AB45" s="57"/>
      <c r="AC45" s="105"/>
      <c r="AD45" s="57"/>
      <c r="AE45" s="105"/>
    </row>
    <row r="46" spans="1:31" x14ac:dyDescent="0.2">
      <c r="A46" s="1088"/>
      <c r="B46" s="12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35"/>
      <c r="N46" s="13"/>
      <c r="O46" s="13"/>
      <c r="P46" s="13"/>
      <c r="Q46" s="13"/>
      <c r="R46" s="17"/>
      <c r="S46" s="1070"/>
      <c r="T46" s="57"/>
      <c r="U46" s="105"/>
      <c r="V46" s="57"/>
      <c r="W46" s="105"/>
      <c r="X46" s="57"/>
      <c r="Y46" s="105"/>
      <c r="Z46" s="57"/>
      <c r="AA46" s="105"/>
      <c r="AB46" s="57"/>
      <c r="AC46" s="105"/>
      <c r="AD46" s="57"/>
      <c r="AE46" s="105"/>
    </row>
    <row r="47" spans="1:31" ht="13.5" thickBot="1" x14ac:dyDescent="0.25">
      <c r="A47" s="86"/>
      <c r="B47" s="12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35"/>
      <c r="N47" s="13"/>
      <c r="O47" s="13"/>
      <c r="P47" s="13"/>
      <c r="Q47" s="13"/>
      <c r="R47" s="44"/>
      <c r="S47" s="90"/>
      <c r="T47" s="48"/>
      <c r="U47" s="38"/>
      <c r="V47" s="48"/>
      <c r="W47" s="38"/>
      <c r="X47" s="48"/>
      <c r="Y47" s="38"/>
      <c r="Z47" s="48"/>
      <c r="AA47" s="38"/>
      <c r="AB47" s="48"/>
      <c r="AC47" s="38"/>
      <c r="AD47" s="48"/>
      <c r="AE47" s="38"/>
    </row>
    <row r="48" spans="1:31" ht="13.5" thickBot="1" x14ac:dyDescent="0.25">
      <c r="A48" s="40">
        <v>3</v>
      </c>
      <c r="B48" s="41" t="s">
        <v>8</v>
      </c>
      <c r="C48" s="42" t="s">
        <v>30</v>
      </c>
      <c r="D48" s="42">
        <f>SUM(D49:D63)</f>
        <v>0</v>
      </c>
      <c r="E48" s="42" t="s">
        <v>30</v>
      </c>
      <c r="F48" s="42" t="s">
        <v>30</v>
      </c>
      <c r="G48" s="42">
        <f>SUM(G49:G63)</f>
        <v>0</v>
      </c>
      <c r="H48" s="42" t="s">
        <v>30</v>
      </c>
      <c r="I48" s="42">
        <f>SUM(I49:I63)</f>
        <v>0</v>
      </c>
      <c r="J48" s="42">
        <f>SUM(J49:J63)</f>
        <v>0</v>
      </c>
      <c r="K48" s="42" t="s">
        <v>30</v>
      </c>
      <c r="L48" s="42">
        <f>SUM(L49:L63)</f>
        <v>0</v>
      </c>
      <c r="M48" s="42" t="s">
        <v>30</v>
      </c>
      <c r="N48" s="42">
        <f>SUM(N49:N63)</f>
        <v>0</v>
      </c>
      <c r="O48" s="42">
        <f>SUM(O49:O63)</f>
        <v>0</v>
      </c>
      <c r="P48" s="42" t="s">
        <v>30</v>
      </c>
      <c r="Q48" s="42">
        <f>SUM(Q49:Q63)</f>
        <v>0</v>
      </c>
      <c r="R48" s="42" t="s">
        <v>30</v>
      </c>
      <c r="S48" s="89">
        <f>SUM(C48:R48)</f>
        <v>0</v>
      </c>
      <c r="T48" s="42">
        <f>SUM(T49:T63)</f>
        <v>0</v>
      </c>
      <c r="U48" s="102">
        <f t="shared" ref="U48:AE48" si="6">SUM(U49:U63)</f>
        <v>0</v>
      </c>
      <c r="V48" s="42">
        <f t="shared" si="6"/>
        <v>0</v>
      </c>
      <c r="W48" s="102">
        <f t="shared" si="6"/>
        <v>0</v>
      </c>
      <c r="X48" s="42">
        <f t="shared" si="6"/>
        <v>0</v>
      </c>
      <c r="Y48" s="102">
        <f t="shared" si="6"/>
        <v>0</v>
      </c>
      <c r="Z48" s="42">
        <f t="shared" si="6"/>
        <v>0</v>
      </c>
      <c r="AA48" s="102">
        <f t="shared" si="6"/>
        <v>0</v>
      </c>
      <c r="AB48" s="42">
        <f t="shared" si="6"/>
        <v>0</v>
      </c>
      <c r="AC48" s="102">
        <f t="shared" si="6"/>
        <v>0</v>
      </c>
      <c r="AD48" s="42">
        <f t="shared" si="6"/>
        <v>0</v>
      </c>
      <c r="AE48" s="102">
        <f t="shared" si="6"/>
        <v>0</v>
      </c>
    </row>
    <row r="49" spans="1:31" x14ac:dyDescent="0.2">
      <c r="A49" s="45"/>
      <c r="B49" s="46"/>
      <c r="C49" s="6"/>
      <c r="D49" s="6"/>
      <c r="E49" s="6"/>
      <c r="F49" s="6"/>
      <c r="G49" s="6"/>
      <c r="H49" s="7"/>
      <c r="I49" s="6"/>
      <c r="J49" s="6"/>
      <c r="K49" s="6"/>
      <c r="L49" s="6"/>
      <c r="M49" s="81"/>
      <c r="N49" s="6"/>
      <c r="O49" s="6"/>
      <c r="P49" s="6"/>
      <c r="Q49" s="6"/>
      <c r="R49" s="6"/>
      <c r="S49" s="1074"/>
      <c r="T49" s="103"/>
      <c r="U49" s="104"/>
      <c r="V49" s="103"/>
      <c r="W49" s="104"/>
      <c r="X49" s="103"/>
      <c r="Y49" s="104"/>
      <c r="Z49" s="103"/>
      <c r="AA49" s="104"/>
      <c r="AB49" s="103"/>
      <c r="AC49" s="104"/>
      <c r="AD49" s="103"/>
      <c r="AE49" s="104"/>
    </row>
    <row r="50" spans="1:31" x14ac:dyDescent="0.2">
      <c r="A50" s="45"/>
      <c r="B50" s="46"/>
      <c r="C50" s="9"/>
      <c r="D50" s="9"/>
      <c r="E50" s="9"/>
      <c r="F50" s="9"/>
      <c r="G50" s="9"/>
      <c r="H50" s="1"/>
      <c r="I50" s="9"/>
      <c r="J50" s="9"/>
      <c r="K50" s="9"/>
      <c r="L50" s="9"/>
      <c r="M50" s="50"/>
      <c r="N50" s="9"/>
      <c r="O50" s="9"/>
      <c r="P50" s="9"/>
      <c r="Q50" s="9"/>
      <c r="R50" s="9"/>
      <c r="S50" s="1074"/>
      <c r="T50" s="57"/>
      <c r="U50" s="105"/>
      <c r="V50" s="57"/>
      <c r="W50" s="105"/>
      <c r="X50" s="57"/>
      <c r="Y50" s="105"/>
      <c r="Z50" s="57"/>
      <c r="AA50" s="105"/>
      <c r="AB50" s="57"/>
      <c r="AC50" s="105"/>
      <c r="AD50" s="57"/>
      <c r="AE50" s="105"/>
    </row>
    <row r="51" spans="1:31" x14ac:dyDescent="0.2">
      <c r="A51" s="45"/>
      <c r="B51" s="47"/>
      <c r="C51" s="48"/>
      <c r="D51" s="49"/>
      <c r="E51" s="38"/>
      <c r="F51" s="48"/>
      <c r="G51" s="48"/>
      <c r="H51" s="50"/>
      <c r="I51" s="37"/>
      <c r="J51" s="39"/>
      <c r="K51" s="48"/>
      <c r="L51" s="49"/>
      <c r="M51" s="50"/>
      <c r="N51" s="37"/>
      <c r="O51" s="39"/>
      <c r="P51" s="48"/>
      <c r="Q51" s="49"/>
      <c r="R51" s="38"/>
      <c r="S51" s="1070"/>
      <c r="T51" s="57"/>
      <c r="U51" s="105"/>
      <c r="V51" s="57"/>
      <c r="W51" s="105"/>
      <c r="X51" s="57"/>
      <c r="Y51" s="105"/>
      <c r="Z51" s="57"/>
      <c r="AA51" s="105"/>
      <c r="AB51" s="57"/>
      <c r="AC51" s="105"/>
      <c r="AD51" s="57"/>
      <c r="AE51" s="105"/>
    </row>
    <row r="52" spans="1:31" x14ac:dyDescent="0.2">
      <c r="A52" s="45"/>
      <c r="B52" s="47"/>
      <c r="C52" s="48"/>
      <c r="D52" s="49"/>
      <c r="E52" s="38"/>
      <c r="F52" s="48"/>
      <c r="G52" s="48"/>
      <c r="H52" s="50"/>
      <c r="I52" s="37"/>
      <c r="J52" s="39"/>
      <c r="K52" s="48"/>
      <c r="L52" s="49"/>
      <c r="M52" s="50"/>
      <c r="N52" s="37"/>
      <c r="O52" s="39"/>
      <c r="P52" s="48"/>
      <c r="Q52" s="49"/>
      <c r="R52" s="38"/>
      <c r="S52" s="1070"/>
      <c r="T52" s="57"/>
      <c r="U52" s="105"/>
      <c r="V52" s="57"/>
      <c r="W52" s="105"/>
      <c r="X52" s="57"/>
      <c r="Y52" s="105"/>
      <c r="Z52" s="57"/>
      <c r="AA52" s="105"/>
      <c r="AB52" s="57"/>
      <c r="AC52" s="105"/>
      <c r="AD52" s="57"/>
      <c r="AE52" s="105"/>
    </row>
    <row r="53" spans="1:31" x14ac:dyDescent="0.2">
      <c r="A53" s="45"/>
      <c r="B53" s="47"/>
      <c r="C53" s="48"/>
      <c r="D53" s="49"/>
      <c r="E53" s="38"/>
      <c r="F53" s="48"/>
      <c r="G53" s="48"/>
      <c r="H53" s="50"/>
      <c r="I53" s="37"/>
      <c r="J53" s="39"/>
      <c r="K53" s="48"/>
      <c r="L53" s="49"/>
      <c r="M53" s="50"/>
      <c r="N53" s="37"/>
      <c r="O53" s="39"/>
      <c r="P53" s="48"/>
      <c r="Q53" s="49"/>
      <c r="R53" s="38"/>
      <c r="S53" s="1070"/>
      <c r="T53" s="57"/>
      <c r="U53" s="105"/>
      <c r="V53" s="57"/>
      <c r="W53" s="105"/>
      <c r="X53" s="57"/>
      <c r="Y53" s="105"/>
      <c r="Z53" s="57"/>
      <c r="AA53" s="105"/>
      <c r="AB53" s="57"/>
      <c r="AC53" s="105"/>
      <c r="AD53" s="57"/>
      <c r="AE53" s="105"/>
    </row>
    <row r="54" spans="1:31" x14ac:dyDescent="0.2">
      <c r="A54" s="45"/>
      <c r="B54" s="47"/>
      <c r="C54" s="48"/>
      <c r="D54" s="49"/>
      <c r="E54" s="38"/>
      <c r="F54" s="48"/>
      <c r="G54" s="48"/>
      <c r="H54" s="50"/>
      <c r="I54" s="37"/>
      <c r="J54" s="39"/>
      <c r="K54" s="48"/>
      <c r="L54" s="49"/>
      <c r="M54" s="50"/>
      <c r="N54" s="37"/>
      <c r="O54" s="39"/>
      <c r="P54" s="48"/>
      <c r="Q54" s="49"/>
      <c r="R54" s="38"/>
      <c r="S54" s="1070"/>
      <c r="T54" s="57"/>
      <c r="U54" s="105"/>
      <c r="V54" s="57"/>
      <c r="W54" s="105"/>
      <c r="X54" s="57"/>
      <c r="Y54" s="105"/>
      <c r="Z54" s="57"/>
      <c r="AA54" s="105"/>
      <c r="AB54" s="57"/>
      <c r="AC54" s="105"/>
      <c r="AD54" s="57"/>
      <c r="AE54" s="105"/>
    </row>
    <row r="55" spans="1:31" x14ac:dyDescent="0.2">
      <c r="A55" s="45"/>
      <c r="B55" s="47"/>
      <c r="C55" s="48"/>
      <c r="D55" s="49"/>
      <c r="E55" s="38"/>
      <c r="F55" s="48"/>
      <c r="G55" s="48"/>
      <c r="H55" s="50"/>
      <c r="I55" s="37"/>
      <c r="J55" s="39"/>
      <c r="K55" s="48"/>
      <c r="L55" s="49"/>
      <c r="M55" s="50"/>
      <c r="N55" s="37"/>
      <c r="O55" s="39"/>
      <c r="P55" s="48"/>
      <c r="Q55" s="49"/>
      <c r="R55" s="38"/>
      <c r="S55" s="1070"/>
      <c r="T55" s="57"/>
      <c r="U55" s="105"/>
      <c r="V55" s="57"/>
      <c r="W55" s="105"/>
      <c r="X55" s="57"/>
      <c r="Y55" s="105"/>
      <c r="Z55" s="57"/>
      <c r="AA55" s="105"/>
      <c r="AB55" s="57"/>
      <c r="AC55" s="105"/>
      <c r="AD55" s="57"/>
      <c r="AE55" s="105"/>
    </row>
    <row r="56" spans="1:31" hidden="1" x14ac:dyDescent="0.2">
      <c r="A56" s="45"/>
      <c r="B56" s="47"/>
      <c r="C56" s="48"/>
      <c r="D56" s="49"/>
      <c r="E56" s="38"/>
      <c r="F56" s="48"/>
      <c r="G56" s="48"/>
      <c r="H56" s="50"/>
      <c r="I56" s="37"/>
      <c r="J56" s="39"/>
      <c r="K56" s="48"/>
      <c r="L56" s="49"/>
      <c r="M56" s="50"/>
      <c r="N56" s="37"/>
      <c r="O56" s="39"/>
      <c r="P56" s="48"/>
      <c r="Q56" s="49"/>
      <c r="R56" s="38"/>
      <c r="S56" s="1070"/>
      <c r="T56" s="57"/>
      <c r="U56" s="105"/>
      <c r="V56" s="57"/>
      <c r="W56" s="105"/>
      <c r="X56" s="57"/>
      <c r="Y56" s="105"/>
      <c r="Z56" s="57"/>
      <c r="AA56" s="105"/>
      <c r="AB56" s="57"/>
      <c r="AC56" s="105"/>
      <c r="AD56" s="57"/>
      <c r="AE56" s="105"/>
    </row>
    <row r="57" spans="1:31" hidden="1" x14ac:dyDescent="0.2">
      <c r="A57" s="45"/>
      <c r="B57" s="47"/>
      <c r="C57" s="48"/>
      <c r="D57" s="49"/>
      <c r="E57" s="38"/>
      <c r="F57" s="48"/>
      <c r="G57" s="48"/>
      <c r="H57" s="50"/>
      <c r="I57" s="37"/>
      <c r="J57" s="39"/>
      <c r="K57" s="48"/>
      <c r="L57" s="49"/>
      <c r="M57" s="50"/>
      <c r="N57" s="37"/>
      <c r="O57" s="39"/>
      <c r="P57" s="48"/>
      <c r="Q57" s="49"/>
      <c r="R57" s="38"/>
      <c r="S57" s="1070"/>
      <c r="T57" s="57"/>
      <c r="U57" s="105"/>
      <c r="V57" s="57"/>
      <c r="W57" s="105"/>
      <c r="X57" s="57"/>
      <c r="Y57" s="105"/>
      <c r="Z57" s="57"/>
      <c r="AA57" s="105"/>
      <c r="AB57" s="57"/>
      <c r="AC57" s="105"/>
      <c r="AD57" s="57"/>
      <c r="AE57" s="105"/>
    </row>
    <row r="58" spans="1:31" hidden="1" x14ac:dyDescent="0.2">
      <c r="A58" s="45"/>
      <c r="B58" s="47"/>
      <c r="C58" s="48"/>
      <c r="D58" s="49"/>
      <c r="E58" s="38"/>
      <c r="F58" s="48"/>
      <c r="G58" s="48"/>
      <c r="H58" s="50"/>
      <c r="I58" s="37"/>
      <c r="J58" s="39"/>
      <c r="K58" s="48"/>
      <c r="L58" s="49"/>
      <c r="M58" s="50"/>
      <c r="N58" s="37"/>
      <c r="O58" s="39"/>
      <c r="P58" s="48"/>
      <c r="Q58" s="49"/>
      <c r="R58" s="38"/>
      <c r="S58" s="1070"/>
      <c r="T58" s="57"/>
      <c r="U58" s="105"/>
      <c r="V58" s="57"/>
      <c r="W58" s="105"/>
      <c r="X58" s="57"/>
      <c r="Y58" s="105"/>
      <c r="Z58" s="57"/>
      <c r="AA58" s="105"/>
      <c r="AB58" s="57"/>
      <c r="AC58" s="105"/>
      <c r="AD58" s="57"/>
      <c r="AE58" s="105"/>
    </row>
    <row r="59" spans="1:31" hidden="1" x14ac:dyDescent="0.2">
      <c r="A59" s="45"/>
      <c r="B59" s="47"/>
      <c r="C59" s="48"/>
      <c r="D59" s="49"/>
      <c r="E59" s="38"/>
      <c r="F59" s="48"/>
      <c r="G59" s="48"/>
      <c r="H59" s="50"/>
      <c r="I59" s="37"/>
      <c r="J59" s="39"/>
      <c r="K59" s="48"/>
      <c r="L59" s="49"/>
      <c r="M59" s="50"/>
      <c r="N59" s="37"/>
      <c r="O59" s="39"/>
      <c r="P59" s="48"/>
      <c r="Q59" s="49"/>
      <c r="R59" s="38"/>
      <c r="S59" s="1070"/>
      <c r="T59" s="57"/>
      <c r="U59" s="105"/>
      <c r="V59" s="57"/>
      <c r="W59" s="105"/>
      <c r="X59" s="57"/>
      <c r="Y59" s="105"/>
      <c r="Z59" s="57"/>
      <c r="AA59" s="105"/>
      <c r="AB59" s="57"/>
      <c r="AC59" s="105"/>
      <c r="AD59" s="57"/>
      <c r="AE59" s="105"/>
    </row>
    <row r="60" spans="1:31" hidden="1" x14ac:dyDescent="0.2">
      <c r="A60" s="45"/>
      <c r="B60" s="47"/>
      <c r="C60" s="48"/>
      <c r="D60" s="49"/>
      <c r="E60" s="38"/>
      <c r="F60" s="48"/>
      <c r="G60" s="48"/>
      <c r="H60" s="50"/>
      <c r="I60" s="37"/>
      <c r="J60" s="39"/>
      <c r="K60" s="48"/>
      <c r="L60" s="49"/>
      <c r="M60" s="50"/>
      <c r="N60" s="37"/>
      <c r="O60" s="39"/>
      <c r="P60" s="48"/>
      <c r="Q60" s="49"/>
      <c r="R60" s="38"/>
      <c r="S60" s="1070"/>
      <c r="T60" s="57"/>
      <c r="U60" s="105"/>
      <c r="V60" s="57"/>
      <c r="W60" s="105"/>
      <c r="X60" s="57"/>
      <c r="Y60" s="105"/>
      <c r="Z60" s="57"/>
      <c r="AA60" s="105"/>
      <c r="AB60" s="57"/>
      <c r="AC60" s="105"/>
      <c r="AD60" s="57"/>
      <c r="AE60" s="105"/>
    </row>
    <row r="61" spans="1:31" hidden="1" x14ac:dyDescent="0.2">
      <c r="A61" s="45"/>
      <c r="B61" s="47"/>
      <c r="C61" s="48"/>
      <c r="D61" s="49"/>
      <c r="E61" s="38"/>
      <c r="F61" s="48"/>
      <c r="G61" s="38"/>
      <c r="H61" s="50"/>
      <c r="I61" s="37"/>
      <c r="J61" s="39"/>
      <c r="K61" s="48"/>
      <c r="L61" s="49"/>
      <c r="M61" s="50"/>
      <c r="N61" s="37"/>
      <c r="O61" s="39"/>
      <c r="P61" s="48"/>
      <c r="Q61" s="49"/>
      <c r="R61" s="38"/>
      <c r="S61" s="1070"/>
      <c r="T61" s="57"/>
      <c r="U61" s="105"/>
      <c r="V61" s="57"/>
      <c r="W61" s="105"/>
      <c r="X61" s="57"/>
      <c r="Y61" s="105"/>
      <c r="Z61" s="57"/>
      <c r="AA61" s="105"/>
      <c r="AB61" s="57"/>
      <c r="AC61" s="105"/>
      <c r="AD61" s="57"/>
      <c r="AE61" s="105"/>
    </row>
    <row r="62" spans="1:31" x14ac:dyDescent="0.2">
      <c r="A62" s="45"/>
      <c r="B62" s="47"/>
      <c r="C62" s="48"/>
      <c r="D62" s="49"/>
      <c r="E62" s="38"/>
      <c r="F62" s="48"/>
      <c r="G62" s="38"/>
      <c r="H62" s="50"/>
      <c r="I62" s="37"/>
      <c r="J62" s="39"/>
      <c r="K62" s="48"/>
      <c r="L62" s="49"/>
      <c r="M62" s="50"/>
      <c r="N62" s="37"/>
      <c r="O62" s="39"/>
      <c r="P62" s="48"/>
      <c r="Q62" s="49"/>
      <c r="R62" s="38"/>
      <c r="S62" s="1070"/>
      <c r="T62" s="57"/>
      <c r="U62" s="105"/>
      <c r="V62" s="57"/>
      <c r="W62" s="105"/>
      <c r="X62" s="57"/>
      <c r="Y62" s="105"/>
      <c r="Z62" s="57"/>
      <c r="AA62" s="105"/>
      <c r="AB62" s="57"/>
      <c r="AC62" s="105"/>
      <c r="AD62" s="57"/>
      <c r="AE62" s="105"/>
    </row>
    <row r="63" spans="1:31" ht="13.5" thickBot="1" x14ac:dyDescent="0.25">
      <c r="A63" s="45"/>
      <c r="B63" s="51"/>
      <c r="C63" s="48"/>
      <c r="D63" s="49"/>
      <c r="E63" s="38"/>
      <c r="F63" s="48"/>
      <c r="G63" s="48"/>
      <c r="H63" s="50"/>
      <c r="I63" s="37"/>
      <c r="J63" s="39"/>
      <c r="K63" s="48"/>
      <c r="L63" s="49"/>
      <c r="M63" s="50"/>
      <c r="N63" s="37"/>
      <c r="O63" s="39"/>
      <c r="P63" s="48"/>
      <c r="Q63" s="49"/>
      <c r="R63" s="38"/>
      <c r="S63" s="1070"/>
      <c r="T63" s="48"/>
      <c r="U63" s="38"/>
      <c r="V63" s="48"/>
      <c r="W63" s="38"/>
      <c r="X63" s="48"/>
      <c r="Y63" s="38"/>
      <c r="Z63" s="48"/>
      <c r="AA63" s="38"/>
      <c r="AB63" s="48"/>
      <c r="AC63" s="38"/>
      <c r="AD63" s="48"/>
      <c r="AE63" s="38"/>
    </row>
    <row r="64" spans="1:31" ht="13.5" thickBot="1" x14ac:dyDescent="0.25">
      <c r="A64" s="40">
        <v>4</v>
      </c>
      <c r="B64" s="41" t="s">
        <v>9</v>
      </c>
      <c r="C64" s="42" t="s">
        <v>30</v>
      </c>
      <c r="D64" s="42">
        <f>SUM(D65:D74)</f>
        <v>942800</v>
      </c>
      <c r="E64" s="42" t="s">
        <v>30</v>
      </c>
      <c r="F64" s="42" t="s">
        <v>30</v>
      </c>
      <c r="G64" s="42">
        <f>SUM(G65:G74)</f>
        <v>-32082</v>
      </c>
      <c r="H64" s="42" t="s">
        <v>30</v>
      </c>
      <c r="I64" s="42">
        <f>SUM(I65:I74)</f>
        <v>0</v>
      </c>
      <c r="J64" s="42">
        <f>SUM(J65:J74)</f>
        <v>0</v>
      </c>
      <c r="K64" s="42" t="s">
        <v>30</v>
      </c>
      <c r="L64" s="42">
        <f>SUM(L65:L74)</f>
        <v>0</v>
      </c>
      <c r="M64" s="42" t="s">
        <v>30</v>
      </c>
      <c r="N64" s="42">
        <f>SUM(N65:N74)</f>
        <v>0</v>
      </c>
      <c r="O64" s="42">
        <f>SUM(O65:O74)</f>
        <v>0</v>
      </c>
      <c r="P64" s="42" t="s">
        <v>30</v>
      </c>
      <c r="Q64" s="42">
        <f>SUM(Q65:Q74)</f>
        <v>0</v>
      </c>
      <c r="R64" s="42" t="s">
        <v>30</v>
      </c>
      <c r="S64" s="89">
        <f>SUM(C64:R64)</f>
        <v>910718</v>
      </c>
      <c r="T64" s="42">
        <f>SUM(T65:T73)</f>
        <v>0</v>
      </c>
      <c r="U64" s="102">
        <f t="shared" ref="U64:AE64" si="7">SUM(U65:U73)</f>
        <v>0</v>
      </c>
      <c r="V64" s="42">
        <f t="shared" si="7"/>
        <v>0</v>
      </c>
      <c r="W64" s="102">
        <f t="shared" si="7"/>
        <v>0</v>
      </c>
      <c r="X64" s="42">
        <f t="shared" si="7"/>
        <v>0</v>
      </c>
      <c r="Y64" s="102">
        <f t="shared" si="7"/>
        <v>0</v>
      </c>
      <c r="Z64" s="42">
        <f t="shared" si="7"/>
        <v>0</v>
      </c>
      <c r="AA64" s="102">
        <f t="shared" si="7"/>
        <v>0</v>
      </c>
      <c r="AB64" s="42">
        <f t="shared" si="7"/>
        <v>0</v>
      </c>
      <c r="AC64" s="102">
        <f t="shared" si="7"/>
        <v>0</v>
      </c>
      <c r="AD64" s="42">
        <f t="shared" si="7"/>
        <v>0</v>
      </c>
      <c r="AE64" s="102">
        <f t="shared" si="7"/>
        <v>0</v>
      </c>
    </row>
    <row r="65" spans="1:31" ht="25.5" x14ac:dyDescent="0.2">
      <c r="A65" s="1064"/>
      <c r="B65" s="5" t="s">
        <v>73</v>
      </c>
      <c r="C65" s="6">
        <v>0</v>
      </c>
      <c r="D65" s="6">
        <v>750000</v>
      </c>
      <c r="E65" s="7"/>
      <c r="F65" s="6"/>
      <c r="G65" s="6"/>
      <c r="H65" s="7"/>
      <c r="I65" s="8"/>
      <c r="J65" s="8"/>
      <c r="K65" s="8"/>
      <c r="L65" s="8"/>
      <c r="M65" s="8"/>
      <c r="N65" s="8"/>
      <c r="O65" s="8"/>
      <c r="P65" s="8"/>
      <c r="Q65" s="8"/>
      <c r="R65" s="80"/>
      <c r="S65" s="1074"/>
      <c r="T65" s="103"/>
      <c r="U65" s="104"/>
      <c r="V65" s="103"/>
      <c r="W65" s="104"/>
      <c r="X65" s="103"/>
      <c r="Y65" s="104"/>
      <c r="Z65" s="103"/>
      <c r="AA65" s="104"/>
      <c r="AB65" s="103"/>
      <c r="AC65" s="104"/>
      <c r="AD65" s="103"/>
      <c r="AE65" s="104"/>
    </row>
    <row r="66" spans="1:31" x14ac:dyDescent="0.2">
      <c r="A66" s="1064"/>
      <c r="B66" s="4" t="s">
        <v>74</v>
      </c>
      <c r="C66" s="9">
        <v>5423900</v>
      </c>
      <c r="D66" s="9">
        <v>192800</v>
      </c>
      <c r="E66" s="1"/>
      <c r="F66" s="9"/>
      <c r="G66" s="9"/>
      <c r="H66" s="1"/>
      <c r="I66" s="9"/>
      <c r="J66" s="9"/>
      <c r="K66" s="9"/>
      <c r="L66" s="9"/>
      <c r="M66" s="1"/>
      <c r="N66" s="9"/>
      <c r="O66" s="9"/>
      <c r="P66" s="9"/>
      <c r="Q66" s="9"/>
      <c r="R66" s="1"/>
      <c r="S66" s="1074"/>
      <c r="T66" s="57"/>
      <c r="U66" s="105"/>
      <c r="V66" s="57"/>
      <c r="W66" s="105"/>
      <c r="X66" s="57"/>
      <c r="Y66" s="105"/>
      <c r="Z66" s="57"/>
      <c r="AA66" s="105"/>
      <c r="AB66" s="57"/>
      <c r="AC66" s="105"/>
      <c r="AD66" s="57"/>
      <c r="AE66" s="105"/>
    </row>
    <row r="67" spans="1:31" x14ac:dyDescent="0.2">
      <c r="A67" s="25"/>
      <c r="B67" s="4" t="s">
        <v>75</v>
      </c>
      <c r="C67" s="9"/>
      <c r="D67" s="9"/>
      <c r="E67" s="1"/>
      <c r="F67" s="9">
        <v>562000</v>
      </c>
      <c r="G67" s="9">
        <v>-32082</v>
      </c>
      <c r="H67" s="1"/>
      <c r="I67" s="9"/>
      <c r="J67" s="9"/>
      <c r="K67" s="9"/>
      <c r="L67" s="9"/>
      <c r="M67" s="1"/>
      <c r="N67" s="9"/>
      <c r="O67" s="9"/>
      <c r="P67" s="9"/>
      <c r="Q67" s="9"/>
      <c r="R67" s="1"/>
      <c r="S67" s="1074"/>
      <c r="T67" s="57"/>
      <c r="U67" s="105"/>
      <c r="V67" s="57"/>
      <c r="W67" s="105"/>
      <c r="X67" s="57"/>
      <c r="Y67" s="105"/>
      <c r="Z67" s="57"/>
      <c r="AA67" s="105"/>
      <c r="AB67" s="57"/>
      <c r="AC67" s="105"/>
      <c r="AD67" s="57"/>
      <c r="AE67" s="105"/>
    </row>
    <row r="68" spans="1:31" x14ac:dyDescent="0.2">
      <c r="A68" s="25"/>
      <c r="B68" s="4"/>
      <c r="C68" s="9"/>
      <c r="D68" s="9"/>
      <c r="E68" s="1"/>
      <c r="F68" s="9"/>
      <c r="G68" s="9"/>
      <c r="H68" s="1"/>
      <c r="I68" s="9"/>
      <c r="J68" s="9"/>
      <c r="K68" s="9"/>
      <c r="L68" s="9"/>
      <c r="M68" s="1"/>
      <c r="N68" s="9"/>
      <c r="O68" s="9"/>
      <c r="P68" s="9"/>
      <c r="Q68" s="9"/>
      <c r="R68" s="1"/>
      <c r="S68" s="1074"/>
      <c r="T68" s="57"/>
      <c r="U68" s="105"/>
      <c r="V68" s="57"/>
      <c r="W68" s="105"/>
      <c r="X68" s="57"/>
      <c r="Y68" s="105"/>
      <c r="Z68" s="57"/>
      <c r="AA68" s="105"/>
      <c r="AB68" s="57"/>
      <c r="AC68" s="105"/>
      <c r="AD68" s="57"/>
      <c r="AE68" s="105"/>
    </row>
    <row r="69" spans="1:31" x14ac:dyDescent="0.2">
      <c r="A69" s="52"/>
      <c r="B69" s="4"/>
      <c r="C69" s="9"/>
      <c r="D69" s="9"/>
      <c r="E69" s="1"/>
      <c r="F69" s="9"/>
      <c r="G69" s="9"/>
      <c r="H69" s="1"/>
      <c r="I69" s="9"/>
      <c r="J69" s="9"/>
      <c r="K69" s="9"/>
      <c r="L69" s="9"/>
      <c r="M69" s="1"/>
      <c r="N69" s="9"/>
      <c r="O69" s="9"/>
      <c r="P69" s="9"/>
      <c r="Q69" s="9"/>
      <c r="R69" s="1"/>
      <c r="S69" s="1074"/>
      <c r="T69" s="57"/>
      <c r="U69" s="105"/>
      <c r="V69" s="57"/>
      <c r="W69" s="105"/>
      <c r="X69" s="57"/>
      <c r="Y69" s="105"/>
      <c r="Z69" s="57"/>
      <c r="AA69" s="105"/>
      <c r="AB69" s="57"/>
      <c r="AC69" s="105"/>
      <c r="AD69" s="57"/>
      <c r="AE69" s="105"/>
    </row>
    <row r="70" spans="1:31" x14ac:dyDescent="0.2">
      <c r="A70" s="53"/>
      <c r="B70" s="4"/>
      <c r="C70" s="9"/>
      <c r="D70" s="9"/>
      <c r="E70" s="1"/>
      <c r="F70" s="9"/>
      <c r="G70" s="9"/>
      <c r="H70" s="1"/>
      <c r="I70" s="9"/>
      <c r="J70" s="9"/>
      <c r="K70" s="9"/>
      <c r="L70" s="9"/>
      <c r="M70" s="1"/>
      <c r="N70" s="9"/>
      <c r="O70" s="9"/>
      <c r="P70" s="9"/>
      <c r="Q70" s="9"/>
      <c r="R70" s="1"/>
      <c r="S70" s="1074"/>
      <c r="T70" s="57"/>
      <c r="U70" s="105"/>
      <c r="V70" s="57"/>
      <c r="W70" s="105"/>
      <c r="X70" s="57"/>
      <c r="Y70" s="105"/>
      <c r="Z70" s="57"/>
      <c r="AA70" s="105"/>
      <c r="AB70" s="57"/>
      <c r="AC70" s="105"/>
      <c r="AD70" s="57"/>
      <c r="AE70" s="105"/>
    </row>
    <row r="71" spans="1:31" x14ac:dyDescent="0.2">
      <c r="A71" s="53"/>
      <c r="B71" s="4"/>
      <c r="C71" s="9"/>
      <c r="D71" s="9"/>
      <c r="E71" s="1"/>
      <c r="F71" s="9"/>
      <c r="G71" s="9"/>
      <c r="H71" s="1"/>
      <c r="I71" s="9"/>
      <c r="J71" s="9"/>
      <c r="K71" s="9"/>
      <c r="L71" s="9"/>
      <c r="M71" s="1"/>
      <c r="N71" s="9"/>
      <c r="O71" s="9"/>
      <c r="P71" s="9"/>
      <c r="Q71" s="9"/>
      <c r="R71" s="1"/>
      <c r="S71" s="1074"/>
      <c r="T71" s="57"/>
      <c r="U71" s="105"/>
      <c r="V71" s="57"/>
      <c r="W71" s="105"/>
      <c r="X71" s="57"/>
      <c r="Y71" s="105"/>
      <c r="Z71" s="57"/>
      <c r="AA71" s="105"/>
      <c r="AB71" s="57"/>
      <c r="AC71" s="105"/>
      <c r="AD71" s="57"/>
      <c r="AE71" s="105"/>
    </row>
    <row r="72" spans="1:31" x14ac:dyDescent="0.2">
      <c r="A72" s="53"/>
      <c r="B72" s="4"/>
      <c r="C72" s="9"/>
      <c r="D72" s="9"/>
      <c r="E72" s="1"/>
      <c r="F72" s="9"/>
      <c r="G72" s="9"/>
      <c r="H72" s="1"/>
      <c r="I72" s="9"/>
      <c r="J72" s="9"/>
      <c r="K72" s="9"/>
      <c r="L72" s="9"/>
      <c r="M72" s="1"/>
      <c r="N72" s="9"/>
      <c r="O72" s="9"/>
      <c r="P72" s="9"/>
      <c r="Q72" s="9"/>
      <c r="R72" s="1"/>
      <c r="S72" s="1074"/>
      <c r="T72" s="57"/>
      <c r="U72" s="105"/>
      <c r="V72" s="57"/>
      <c r="W72" s="105"/>
      <c r="X72" s="57"/>
      <c r="Y72" s="105"/>
      <c r="Z72" s="57"/>
      <c r="AA72" s="105"/>
      <c r="AB72" s="57"/>
      <c r="AC72" s="105"/>
      <c r="AD72" s="57"/>
      <c r="AE72" s="105"/>
    </row>
    <row r="73" spans="1:31" ht="13.5" thickBot="1" x14ac:dyDescent="0.25">
      <c r="A73" s="53"/>
      <c r="B73" s="4"/>
      <c r="C73" s="9"/>
      <c r="D73" s="9"/>
      <c r="E73" s="1"/>
      <c r="F73" s="9"/>
      <c r="G73" s="9"/>
      <c r="H73" s="1"/>
      <c r="I73" s="9"/>
      <c r="J73" s="9"/>
      <c r="K73" s="9"/>
      <c r="L73" s="9"/>
      <c r="M73" s="1"/>
      <c r="N73" s="9"/>
      <c r="O73" s="9"/>
      <c r="P73" s="9"/>
      <c r="Q73" s="9"/>
      <c r="R73" s="1"/>
      <c r="S73" s="1074"/>
      <c r="T73" s="57"/>
      <c r="U73" s="105"/>
      <c r="V73" s="57"/>
      <c r="W73" s="105"/>
      <c r="X73" s="57"/>
      <c r="Y73" s="105"/>
      <c r="Z73" s="57"/>
      <c r="AA73" s="105"/>
      <c r="AB73" s="57"/>
      <c r="AC73" s="105"/>
      <c r="AD73" s="57"/>
      <c r="AE73" s="105"/>
    </row>
    <row r="74" spans="1:31" ht="13.5" hidden="1" thickBot="1" x14ac:dyDescent="0.25">
      <c r="A74" s="53"/>
      <c r="B74" s="4" t="s">
        <v>36</v>
      </c>
      <c r="C74" s="9"/>
      <c r="D74" s="9"/>
      <c r="E74" s="9"/>
      <c r="F74" s="9"/>
      <c r="G74" s="9"/>
      <c r="H74" s="1"/>
      <c r="I74" s="9"/>
      <c r="J74" s="9"/>
      <c r="K74" s="9"/>
      <c r="L74" s="9"/>
      <c r="M74" s="1" t="e">
        <f>L74/K74</f>
        <v>#DIV/0!</v>
      </c>
      <c r="N74" s="9"/>
      <c r="O74" s="9"/>
      <c r="P74" s="9"/>
      <c r="Q74" s="9"/>
      <c r="R74" s="9"/>
      <c r="S74" s="1074"/>
      <c r="T74" s="48"/>
      <c r="U74" s="38"/>
      <c r="V74" s="48"/>
      <c r="W74" s="38"/>
      <c r="X74" s="48"/>
      <c r="Y74" s="38"/>
      <c r="Z74" s="48"/>
      <c r="AA74" s="38"/>
      <c r="AB74" s="48"/>
      <c r="AC74" s="38"/>
      <c r="AD74" s="48"/>
      <c r="AE74" s="38"/>
    </row>
    <row r="75" spans="1:31" ht="13.5" thickBot="1" x14ac:dyDescent="0.25">
      <c r="A75" s="40">
        <v>5</v>
      </c>
      <c r="B75" s="54" t="s">
        <v>10</v>
      </c>
      <c r="C75" s="10" t="s">
        <v>30</v>
      </c>
      <c r="D75" s="10">
        <f>SUM(D76:D80)</f>
        <v>0</v>
      </c>
      <c r="E75" s="10" t="s">
        <v>30</v>
      </c>
      <c r="F75" s="10" t="s">
        <v>30</v>
      </c>
      <c r="G75" s="10">
        <f>SUM(G76:G80)</f>
        <v>-55921000</v>
      </c>
      <c r="H75" s="10" t="s">
        <v>30</v>
      </c>
      <c r="I75" s="10">
        <f>SUM(I76:I80)</f>
        <v>0</v>
      </c>
      <c r="J75" s="10">
        <f>SUM(J76:J80)</f>
        <v>0</v>
      </c>
      <c r="K75" s="10" t="s">
        <v>30</v>
      </c>
      <c r="L75" s="10">
        <f>SUM(L76:L80)</f>
        <v>0</v>
      </c>
      <c r="M75" s="10" t="s">
        <v>30</v>
      </c>
      <c r="N75" s="10">
        <f>SUM(N76:N80)</f>
        <v>0</v>
      </c>
      <c r="O75" s="10">
        <f>SUM(O76:O80)</f>
        <v>0</v>
      </c>
      <c r="P75" s="10" t="s">
        <v>30</v>
      </c>
      <c r="Q75" s="10">
        <f>SUM(Q76:Q80)</f>
        <v>0</v>
      </c>
      <c r="R75" s="10" t="s">
        <v>30</v>
      </c>
      <c r="S75" s="91">
        <f>SUM(C75:R75)</f>
        <v>-55921000</v>
      </c>
      <c r="T75" s="42">
        <f>SUM(T76:T80)</f>
        <v>0</v>
      </c>
      <c r="U75" s="102">
        <f t="shared" ref="U75:AE75" si="8">SUM(U76:U80)</f>
        <v>-2665000</v>
      </c>
      <c r="V75" s="42">
        <f t="shared" si="8"/>
        <v>0</v>
      </c>
      <c r="W75" s="102">
        <f t="shared" si="8"/>
        <v>0</v>
      </c>
      <c r="X75" s="42">
        <f t="shared" si="8"/>
        <v>0</v>
      </c>
      <c r="Y75" s="102">
        <f t="shared" si="8"/>
        <v>0</v>
      </c>
      <c r="Z75" s="42">
        <f t="shared" si="8"/>
        <v>0</v>
      </c>
      <c r="AA75" s="102">
        <f t="shared" si="8"/>
        <v>0</v>
      </c>
      <c r="AB75" s="42">
        <f t="shared" si="8"/>
        <v>0</v>
      </c>
      <c r="AC75" s="102">
        <f t="shared" si="8"/>
        <v>0</v>
      </c>
      <c r="AD75" s="42">
        <f t="shared" si="8"/>
        <v>0</v>
      </c>
      <c r="AE75" s="102">
        <f t="shared" si="8"/>
        <v>0</v>
      </c>
    </row>
    <row r="76" spans="1:31" ht="12.75" customHeight="1" x14ac:dyDescent="0.2">
      <c r="A76" s="55"/>
      <c r="B76" s="4" t="s">
        <v>69</v>
      </c>
      <c r="C76" s="9"/>
      <c r="D76" s="9"/>
      <c r="E76" s="9"/>
      <c r="F76" s="9">
        <v>55921000</v>
      </c>
      <c r="G76" s="9">
        <v>-55921000</v>
      </c>
      <c r="H76" s="112">
        <v>-1</v>
      </c>
      <c r="I76" s="9"/>
      <c r="J76" s="9"/>
      <c r="K76" s="9"/>
      <c r="L76" s="9"/>
      <c r="M76" s="1"/>
      <c r="N76" s="9"/>
      <c r="O76" s="9"/>
      <c r="P76" s="9"/>
      <c r="Q76" s="9"/>
      <c r="R76" s="9"/>
      <c r="S76" s="1069"/>
      <c r="T76" s="103"/>
      <c r="U76" s="104">
        <v>-2665000</v>
      </c>
      <c r="V76" s="103"/>
      <c r="W76" s="104"/>
      <c r="X76" s="103"/>
      <c r="Y76" s="104"/>
      <c r="Z76" s="103"/>
      <c r="AA76" s="104"/>
      <c r="AB76" s="103"/>
      <c r="AC76" s="104"/>
      <c r="AD76" s="103"/>
      <c r="AE76" s="104"/>
    </row>
    <row r="77" spans="1:31" ht="18" customHeight="1" x14ac:dyDescent="0.2">
      <c r="A77" s="87"/>
      <c r="B77" s="4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"/>
      <c r="N77" s="13"/>
      <c r="O77" s="13"/>
      <c r="P77" s="13"/>
      <c r="Q77" s="13"/>
      <c r="R77" s="13"/>
      <c r="S77" s="1070"/>
      <c r="T77" s="57"/>
      <c r="U77" s="105"/>
      <c r="V77" s="57"/>
      <c r="W77" s="105"/>
      <c r="X77" s="57"/>
      <c r="Y77" s="105"/>
      <c r="Z77" s="57"/>
      <c r="AA77" s="105"/>
      <c r="AB77" s="57"/>
      <c r="AC77" s="105"/>
      <c r="AD77" s="57"/>
      <c r="AE77" s="105"/>
    </row>
    <row r="78" spans="1:31" x14ac:dyDescent="0.2">
      <c r="A78" s="87"/>
      <c r="B78" s="12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35"/>
      <c r="N78" s="13"/>
      <c r="O78" s="13"/>
      <c r="P78" s="13"/>
      <c r="Q78" s="13"/>
      <c r="R78" s="13"/>
      <c r="S78" s="1070"/>
      <c r="T78" s="57"/>
      <c r="U78" s="105"/>
      <c r="V78" s="57"/>
      <c r="W78" s="105"/>
      <c r="X78" s="57"/>
      <c r="Y78" s="105"/>
      <c r="Z78" s="57"/>
      <c r="AA78" s="105"/>
      <c r="AB78" s="57"/>
      <c r="AC78" s="105"/>
      <c r="AD78" s="57"/>
      <c r="AE78" s="105"/>
    </row>
    <row r="79" spans="1:31" x14ac:dyDescent="0.2">
      <c r="A79" s="87"/>
      <c r="B79" s="12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35"/>
      <c r="N79" s="13"/>
      <c r="O79" s="13"/>
      <c r="P79" s="13"/>
      <c r="Q79" s="13"/>
      <c r="R79" s="13"/>
      <c r="S79" s="1070"/>
      <c r="T79" s="57"/>
      <c r="U79" s="105"/>
      <c r="V79" s="57"/>
      <c r="W79" s="105"/>
      <c r="X79" s="57"/>
      <c r="Y79" s="105"/>
      <c r="Z79" s="57"/>
      <c r="AA79" s="105"/>
      <c r="AB79" s="57"/>
      <c r="AC79" s="105"/>
      <c r="AD79" s="57"/>
      <c r="AE79" s="105"/>
    </row>
    <row r="80" spans="1:31" ht="13.5" thickBot="1" x14ac:dyDescent="0.25">
      <c r="A80" s="87"/>
      <c r="B80" s="12"/>
      <c r="C80" s="13"/>
      <c r="D80" s="13"/>
      <c r="E80" s="13"/>
      <c r="F80" s="13"/>
      <c r="G80" s="36"/>
      <c r="H80" s="35"/>
      <c r="I80" s="13"/>
      <c r="J80" s="13"/>
      <c r="K80" s="13"/>
      <c r="L80" s="13"/>
      <c r="M80" s="35"/>
      <c r="N80" s="13"/>
      <c r="O80" s="13"/>
      <c r="P80" s="13"/>
      <c r="Q80" s="13"/>
      <c r="R80" s="13"/>
      <c r="S80" s="1070"/>
      <c r="T80" s="48"/>
      <c r="U80" s="38"/>
      <c r="V80" s="48"/>
      <c r="W80" s="38"/>
      <c r="X80" s="48"/>
      <c r="Y80" s="38"/>
      <c r="Z80" s="48"/>
      <c r="AA80" s="38"/>
      <c r="AB80" s="48"/>
      <c r="AC80" s="38"/>
      <c r="AD80" s="48"/>
      <c r="AE80" s="38"/>
    </row>
    <row r="81" spans="1:31" ht="35.25" customHeight="1" thickBot="1" x14ac:dyDescent="0.25">
      <c r="A81" s="29">
        <v>6</v>
      </c>
      <c r="B81" s="56" t="s">
        <v>19</v>
      </c>
      <c r="C81" s="42" t="s">
        <v>30</v>
      </c>
      <c r="D81" s="42">
        <f>SUM(D82:D97)</f>
        <v>0</v>
      </c>
      <c r="E81" s="42" t="s">
        <v>30</v>
      </c>
      <c r="F81" s="42" t="s">
        <v>30</v>
      </c>
      <c r="G81" s="42">
        <f>SUM(G82:G95)</f>
        <v>0</v>
      </c>
      <c r="H81" s="42" t="s">
        <v>30</v>
      </c>
      <c r="I81" s="42">
        <f>SUM(I82:I95)</f>
        <v>0</v>
      </c>
      <c r="J81" s="42">
        <f>SUM(J82:J95)</f>
        <v>0</v>
      </c>
      <c r="K81" s="42" t="s">
        <v>30</v>
      </c>
      <c r="L81" s="42">
        <f>SUM(L82:L97)</f>
        <v>0</v>
      </c>
      <c r="M81" s="42" t="s">
        <v>30</v>
      </c>
      <c r="N81" s="42">
        <f>SUM(N82:N95)</f>
        <v>0</v>
      </c>
      <c r="O81" s="42">
        <f>SUM(O82:O95)</f>
        <v>0</v>
      </c>
      <c r="P81" s="42" t="s">
        <v>30</v>
      </c>
      <c r="Q81" s="42">
        <f>SUM(Q82:Q97)</f>
        <v>0</v>
      </c>
      <c r="R81" s="42" t="s">
        <v>30</v>
      </c>
      <c r="S81" s="91">
        <f>SUM(C81:R81)</f>
        <v>0</v>
      </c>
      <c r="T81" s="42">
        <f>SUM(T88:T97)</f>
        <v>0</v>
      </c>
      <c r="U81" s="102">
        <f t="shared" ref="U81:AE81" si="9">SUM(U88:U97)</f>
        <v>0</v>
      </c>
      <c r="V81" s="42">
        <f t="shared" si="9"/>
        <v>0</v>
      </c>
      <c r="W81" s="102">
        <f t="shared" si="9"/>
        <v>0</v>
      </c>
      <c r="X81" s="42">
        <f t="shared" si="9"/>
        <v>0</v>
      </c>
      <c r="Y81" s="102">
        <f t="shared" si="9"/>
        <v>0</v>
      </c>
      <c r="Z81" s="42">
        <f t="shared" si="9"/>
        <v>0</v>
      </c>
      <c r="AA81" s="102">
        <f t="shared" si="9"/>
        <v>0</v>
      </c>
      <c r="AB81" s="42">
        <f t="shared" si="9"/>
        <v>0</v>
      </c>
      <c r="AC81" s="102">
        <f t="shared" si="9"/>
        <v>0</v>
      </c>
      <c r="AD81" s="42">
        <f t="shared" si="9"/>
        <v>0</v>
      </c>
      <c r="AE81" s="102">
        <f t="shared" si="9"/>
        <v>0</v>
      </c>
    </row>
    <row r="82" spans="1:31" ht="18.75" hidden="1" customHeight="1" x14ac:dyDescent="0.2">
      <c r="A82" s="1063"/>
      <c r="B82" s="16" t="s">
        <v>31</v>
      </c>
      <c r="C82" s="6"/>
      <c r="D82" s="6"/>
      <c r="E82" s="7"/>
      <c r="F82" s="6"/>
      <c r="G82" s="6"/>
      <c r="H82" s="7"/>
      <c r="I82" s="6"/>
      <c r="J82" s="6"/>
      <c r="K82" s="6"/>
      <c r="L82" s="6"/>
      <c r="M82" s="7" t="e">
        <f>L82/K82</f>
        <v>#DIV/0!</v>
      </c>
      <c r="N82" s="6"/>
      <c r="O82" s="6"/>
      <c r="P82" s="6"/>
      <c r="Q82" s="6"/>
      <c r="R82" s="6"/>
      <c r="S82" s="1069"/>
      <c r="T82" s="103"/>
      <c r="U82" s="104"/>
      <c r="V82" s="103"/>
      <c r="W82" s="104"/>
      <c r="X82" s="103"/>
      <c r="Y82" s="104"/>
      <c r="Z82" s="103"/>
      <c r="AA82" s="104"/>
      <c r="AB82" s="103"/>
      <c r="AC82" s="104"/>
      <c r="AD82" s="103"/>
      <c r="AE82" s="104"/>
    </row>
    <row r="83" spans="1:31" ht="25.5" hidden="1" customHeight="1" x14ac:dyDescent="0.2">
      <c r="A83" s="1064"/>
      <c r="B83" s="14" t="s">
        <v>32</v>
      </c>
      <c r="C83" s="9"/>
      <c r="D83" s="9"/>
      <c r="E83" s="1"/>
      <c r="F83" s="9"/>
      <c r="G83" s="9"/>
      <c r="H83" s="1"/>
      <c r="I83" s="9"/>
      <c r="J83" s="9"/>
      <c r="K83" s="9"/>
      <c r="L83" s="9"/>
      <c r="M83" s="1" t="e">
        <f>L83/K83</f>
        <v>#DIV/0!</v>
      </c>
      <c r="N83" s="9"/>
      <c r="O83" s="9"/>
      <c r="P83" s="9"/>
      <c r="Q83" s="9"/>
      <c r="R83" s="9"/>
      <c r="S83" s="1070"/>
      <c r="T83" s="57"/>
      <c r="U83" s="105"/>
      <c r="V83" s="57"/>
      <c r="W83" s="105"/>
      <c r="X83" s="57"/>
      <c r="Y83" s="105"/>
      <c r="Z83" s="57"/>
      <c r="AA83" s="105"/>
      <c r="AB83" s="57"/>
      <c r="AC83" s="105"/>
      <c r="AD83" s="57"/>
      <c r="AE83" s="105"/>
    </row>
    <row r="84" spans="1:31" ht="12.75" hidden="1" customHeight="1" x14ac:dyDescent="0.2">
      <c r="A84" s="1064"/>
      <c r="B84" s="14" t="s">
        <v>33</v>
      </c>
      <c r="C84" s="9"/>
      <c r="D84" s="9"/>
      <c r="E84" s="1"/>
      <c r="F84" s="9"/>
      <c r="G84" s="9"/>
      <c r="H84" s="1"/>
      <c r="I84" s="9"/>
      <c r="J84" s="9"/>
      <c r="K84" s="9"/>
      <c r="L84" s="9"/>
      <c r="M84" s="1">
        <v>1</v>
      </c>
      <c r="N84" s="9"/>
      <c r="O84" s="9"/>
      <c r="P84" s="9"/>
      <c r="Q84" s="9"/>
      <c r="R84" s="9"/>
      <c r="S84" s="1070"/>
      <c r="T84" s="57"/>
      <c r="U84" s="105"/>
      <c r="V84" s="57"/>
      <c r="W84" s="105"/>
      <c r="X84" s="57"/>
      <c r="Y84" s="105"/>
      <c r="Z84" s="57"/>
      <c r="AA84" s="105"/>
      <c r="AB84" s="57"/>
      <c r="AC84" s="105"/>
      <c r="AD84" s="57"/>
      <c r="AE84" s="105"/>
    </row>
    <row r="85" spans="1:31" ht="25.5" hidden="1" customHeight="1" x14ac:dyDescent="0.2">
      <c r="A85" s="1064"/>
      <c r="B85" s="14" t="s">
        <v>35</v>
      </c>
      <c r="C85" s="9"/>
      <c r="D85" s="9"/>
      <c r="E85" s="1"/>
      <c r="F85" s="9"/>
      <c r="G85" s="9"/>
      <c r="H85" s="1"/>
      <c r="I85" s="9"/>
      <c r="J85" s="9"/>
      <c r="K85" s="9"/>
      <c r="L85" s="9"/>
      <c r="M85" s="1">
        <v>1</v>
      </c>
      <c r="N85" s="9"/>
      <c r="O85" s="9"/>
      <c r="P85" s="9"/>
      <c r="Q85" s="9"/>
      <c r="R85" s="9"/>
      <c r="S85" s="1070"/>
      <c r="T85" s="57"/>
      <c r="U85" s="105"/>
      <c r="V85" s="57"/>
      <c r="W85" s="105"/>
      <c r="X85" s="57"/>
      <c r="Y85" s="105"/>
      <c r="Z85" s="57"/>
      <c r="AA85" s="105"/>
      <c r="AB85" s="57"/>
      <c r="AC85" s="105"/>
      <c r="AD85" s="57"/>
      <c r="AE85" s="105"/>
    </row>
    <row r="86" spans="1:31" ht="12.75" hidden="1" customHeight="1" x14ac:dyDescent="0.2">
      <c r="A86" s="1064"/>
      <c r="B86" s="14" t="s">
        <v>34</v>
      </c>
      <c r="C86" s="9"/>
      <c r="D86" s="9"/>
      <c r="E86" s="1"/>
      <c r="F86" s="9"/>
      <c r="G86" s="9"/>
      <c r="H86" s="1"/>
      <c r="I86" s="9"/>
      <c r="J86" s="9"/>
      <c r="K86" s="9"/>
      <c r="L86" s="9"/>
      <c r="M86" s="1" t="e">
        <f>L86/K86</f>
        <v>#DIV/0!</v>
      </c>
      <c r="N86" s="9"/>
      <c r="O86" s="9"/>
      <c r="P86" s="9"/>
      <c r="Q86" s="9"/>
      <c r="R86" s="9"/>
      <c r="S86" s="1070"/>
      <c r="T86" s="57"/>
      <c r="U86" s="105"/>
      <c r="V86" s="57"/>
      <c r="W86" s="105"/>
      <c r="X86" s="57"/>
      <c r="Y86" s="105"/>
      <c r="Z86" s="57"/>
      <c r="AA86" s="105"/>
      <c r="AB86" s="57"/>
      <c r="AC86" s="105"/>
      <c r="AD86" s="57"/>
      <c r="AE86" s="105"/>
    </row>
    <row r="87" spans="1:31" ht="12.75" hidden="1" customHeight="1" x14ac:dyDescent="0.2">
      <c r="A87" s="1064"/>
      <c r="B87" s="14" t="s">
        <v>26</v>
      </c>
      <c r="C87" s="9"/>
      <c r="D87" s="9"/>
      <c r="E87" s="1"/>
      <c r="F87" s="9"/>
      <c r="G87" s="9"/>
      <c r="H87" s="1" t="e">
        <f>G87/F87</f>
        <v>#DIV/0!</v>
      </c>
      <c r="I87" s="9"/>
      <c r="J87" s="9"/>
      <c r="K87" s="9"/>
      <c r="L87" s="9"/>
      <c r="M87" s="1" t="e">
        <f t="shared" ref="M87" si="10">L87/K87</f>
        <v>#DIV/0!</v>
      </c>
      <c r="N87" s="9"/>
      <c r="O87" s="9"/>
      <c r="P87" s="9"/>
      <c r="Q87" s="9"/>
      <c r="R87" s="9"/>
      <c r="S87" s="1070"/>
      <c r="T87" s="57"/>
      <c r="U87" s="105"/>
      <c r="V87" s="57"/>
      <c r="W87" s="105"/>
      <c r="X87" s="57"/>
      <c r="Y87" s="105"/>
      <c r="Z87" s="57"/>
      <c r="AA87" s="105"/>
      <c r="AB87" s="57"/>
      <c r="AC87" s="105"/>
      <c r="AD87" s="57"/>
      <c r="AE87" s="105"/>
    </row>
    <row r="88" spans="1:31" x14ac:dyDescent="0.2">
      <c r="A88" s="1064"/>
      <c r="B88" s="15"/>
      <c r="C88" s="57"/>
      <c r="D88" s="9"/>
      <c r="E88" s="1"/>
      <c r="F88" s="9"/>
      <c r="G88" s="9"/>
      <c r="H88" s="1"/>
      <c r="I88" s="9"/>
      <c r="J88" s="9"/>
      <c r="K88" s="9"/>
      <c r="L88" s="9"/>
      <c r="M88" s="1"/>
      <c r="N88" s="9"/>
      <c r="O88" s="9"/>
      <c r="P88" s="9"/>
      <c r="Q88" s="9"/>
      <c r="R88" s="9"/>
      <c r="S88" s="1070"/>
      <c r="T88" s="57"/>
      <c r="U88" s="105"/>
      <c r="V88" s="57"/>
      <c r="W88" s="105"/>
      <c r="X88" s="57"/>
      <c r="Y88" s="105"/>
      <c r="Z88" s="57"/>
      <c r="AA88" s="105"/>
      <c r="AB88" s="57"/>
      <c r="AC88" s="105"/>
      <c r="AD88" s="57"/>
      <c r="AE88" s="105"/>
    </row>
    <row r="89" spans="1:31" x14ac:dyDescent="0.2">
      <c r="A89" s="1064"/>
      <c r="B89" s="14"/>
      <c r="C89" s="9"/>
      <c r="D89" s="9"/>
      <c r="E89" s="1"/>
      <c r="F89" s="9"/>
      <c r="G89" s="9"/>
      <c r="H89" s="1"/>
      <c r="I89" s="9"/>
      <c r="J89" s="9"/>
      <c r="K89" s="9"/>
      <c r="L89" s="9"/>
      <c r="M89" s="1"/>
      <c r="N89" s="9"/>
      <c r="O89" s="9"/>
      <c r="P89" s="9"/>
      <c r="Q89" s="9"/>
      <c r="R89" s="9"/>
      <c r="S89" s="1070"/>
      <c r="T89" s="57"/>
      <c r="U89" s="105"/>
      <c r="V89" s="57"/>
      <c r="W89" s="105"/>
      <c r="X89" s="57"/>
      <c r="Y89" s="105"/>
      <c r="Z89" s="57"/>
      <c r="AA89" s="105"/>
      <c r="AB89" s="57"/>
      <c r="AC89" s="105"/>
      <c r="AD89" s="57"/>
      <c r="AE89" s="105"/>
    </row>
    <row r="90" spans="1:31" x14ac:dyDescent="0.2">
      <c r="A90" s="1064"/>
      <c r="B90" s="14"/>
      <c r="C90" s="9"/>
      <c r="D90" s="9"/>
      <c r="E90" s="1"/>
      <c r="F90" s="9"/>
      <c r="G90" s="9"/>
      <c r="H90" s="78"/>
      <c r="I90" s="9"/>
      <c r="J90" s="9"/>
      <c r="K90" s="9"/>
      <c r="L90" s="9"/>
      <c r="M90" s="1"/>
      <c r="N90" s="9"/>
      <c r="O90" s="9"/>
      <c r="P90" s="9"/>
      <c r="Q90" s="9"/>
      <c r="R90" s="9"/>
      <c r="S90" s="1070"/>
      <c r="T90" s="57"/>
      <c r="U90" s="105"/>
      <c r="V90" s="57"/>
      <c r="W90" s="105"/>
      <c r="X90" s="57"/>
      <c r="Y90" s="105"/>
      <c r="Z90" s="57"/>
      <c r="AA90" s="105"/>
      <c r="AB90" s="57"/>
      <c r="AC90" s="105"/>
      <c r="AD90" s="57"/>
      <c r="AE90" s="105"/>
    </row>
    <row r="91" spans="1:31" x14ac:dyDescent="0.2">
      <c r="A91" s="1064"/>
      <c r="B91" s="14"/>
      <c r="C91" s="9"/>
      <c r="D91" s="9"/>
      <c r="E91" s="1"/>
      <c r="F91" s="9"/>
      <c r="G91" s="9"/>
      <c r="H91" s="1"/>
      <c r="I91" s="9"/>
      <c r="J91" s="9"/>
      <c r="K91" s="9"/>
      <c r="L91" s="9"/>
      <c r="M91" s="1"/>
      <c r="N91" s="9"/>
      <c r="O91" s="9"/>
      <c r="P91" s="9"/>
      <c r="Q91" s="9"/>
      <c r="R91" s="9"/>
      <c r="S91" s="1070"/>
      <c r="T91" s="57"/>
      <c r="U91" s="105"/>
      <c r="V91" s="57"/>
      <c r="W91" s="105"/>
      <c r="X91" s="57"/>
      <c r="Y91" s="105"/>
      <c r="Z91" s="57"/>
      <c r="AA91" s="105"/>
      <c r="AB91" s="57"/>
      <c r="AC91" s="105"/>
      <c r="AD91" s="57"/>
      <c r="AE91" s="105"/>
    </row>
    <row r="92" spans="1:31" x14ac:dyDescent="0.2">
      <c r="A92" s="1064"/>
      <c r="B92" s="14"/>
      <c r="C92" s="9"/>
      <c r="D92" s="9"/>
      <c r="E92" s="1"/>
      <c r="F92" s="9"/>
      <c r="G92" s="9"/>
      <c r="H92" s="1"/>
      <c r="I92" s="9"/>
      <c r="J92" s="9"/>
      <c r="K92" s="9"/>
      <c r="L92" s="9"/>
      <c r="M92" s="1"/>
      <c r="N92" s="9"/>
      <c r="O92" s="9"/>
      <c r="P92" s="9"/>
      <c r="Q92" s="9"/>
      <c r="R92" s="9"/>
      <c r="S92" s="1070"/>
      <c r="T92" s="57"/>
      <c r="U92" s="105"/>
      <c r="V92" s="57"/>
      <c r="W92" s="105"/>
      <c r="X92" s="57"/>
      <c r="Y92" s="105"/>
      <c r="Z92" s="57"/>
      <c r="AA92" s="105"/>
      <c r="AB92" s="57"/>
      <c r="AC92" s="105"/>
      <c r="AD92" s="57"/>
      <c r="AE92" s="105"/>
    </row>
    <row r="93" spans="1:31" x14ac:dyDescent="0.2">
      <c r="A93" s="1064"/>
      <c r="B93" s="14"/>
      <c r="C93" s="9"/>
      <c r="D93" s="9"/>
      <c r="E93" s="1"/>
      <c r="F93" s="9"/>
      <c r="G93" s="9"/>
      <c r="H93" s="1"/>
      <c r="I93" s="9"/>
      <c r="J93" s="9"/>
      <c r="K93" s="9"/>
      <c r="L93" s="9"/>
      <c r="M93" s="1"/>
      <c r="N93" s="9"/>
      <c r="O93" s="9"/>
      <c r="P93" s="9"/>
      <c r="Q93" s="9"/>
      <c r="R93" s="9"/>
      <c r="S93" s="1070"/>
      <c r="T93" s="57"/>
      <c r="U93" s="105"/>
      <c r="V93" s="57"/>
      <c r="W93" s="105"/>
      <c r="X93" s="57"/>
      <c r="Y93" s="105"/>
      <c r="Z93" s="57"/>
      <c r="AA93" s="105"/>
      <c r="AB93" s="57"/>
      <c r="AC93" s="105"/>
      <c r="AD93" s="57"/>
      <c r="AE93" s="105"/>
    </row>
    <row r="94" spans="1:31" x14ac:dyDescent="0.2">
      <c r="A94" s="1064"/>
      <c r="B94" s="14"/>
      <c r="C94" s="9"/>
      <c r="D94" s="9"/>
      <c r="E94" s="1"/>
      <c r="F94" s="9"/>
      <c r="G94" s="9"/>
      <c r="H94" s="1"/>
      <c r="I94" s="9"/>
      <c r="J94" s="9"/>
      <c r="K94" s="9"/>
      <c r="L94" s="9"/>
      <c r="M94" s="1"/>
      <c r="N94" s="9"/>
      <c r="O94" s="9"/>
      <c r="P94" s="9"/>
      <c r="Q94" s="9"/>
      <c r="R94" s="9"/>
      <c r="S94" s="1070"/>
      <c r="T94" s="57"/>
      <c r="U94" s="105"/>
      <c r="V94" s="57"/>
      <c r="W94" s="105"/>
      <c r="X94" s="57"/>
      <c r="Y94" s="105"/>
      <c r="Z94" s="57"/>
      <c r="AA94" s="105"/>
      <c r="AB94" s="57"/>
      <c r="AC94" s="105"/>
      <c r="AD94" s="57"/>
      <c r="AE94" s="105"/>
    </row>
    <row r="95" spans="1:31" x14ac:dyDescent="0.2">
      <c r="A95" s="1064"/>
      <c r="B95" s="14"/>
      <c r="C95" s="9"/>
      <c r="D95" s="9"/>
      <c r="E95" s="1"/>
      <c r="F95" s="9"/>
      <c r="G95" s="9"/>
      <c r="H95" s="1"/>
      <c r="I95" s="9"/>
      <c r="J95" s="9"/>
      <c r="K95" s="9"/>
      <c r="L95" s="9"/>
      <c r="M95" s="78"/>
      <c r="N95" s="9"/>
      <c r="O95" s="9"/>
      <c r="P95" s="9"/>
      <c r="Q95" s="9"/>
      <c r="R95" s="9"/>
      <c r="S95" s="1070"/>
      <c r="T95" s="57"/>
      <c r="U95" s="105"/>
      <c r="V95" s="57"/>
      <c r="W95" s="105"/>
      <c r="X95" s="57"/>
      <c r="Y95" s="105"/>
      <c r="Z95" s="57"/>
      <c r="AA95" s="105"/>
      <c r="AB95" s="57"/>
      <c r="AC95" s="105"/>
      <c r="AD95" s="57"/>
      <c r="AE95" s="105"/>
    </row>
    <row r="96" spans="1:31" x14ac:dyDescent="0.2">
      <c r="A96" s="1064"/>
      <c r="B96" s="14"/>
      <c r="C96" s="9"/>
      <c r="D96" s="9"/>
      <c r="E96" s="1"/>
      <c r="F96" s="9"/>
      <c r="G96" s="9"/>
      <c r="H96" s="1"/>
      <c r="I96" s="9"/>
      <c r="J96" s="9"/>
      <c r="K96" s="9"/>
      <c r="L96" s="9"/>
      <c r="M96" s="1"/>
      <c r="N96" s="9"/>
      <c r="O96" s="9"/>
      <c r="P96" s="9"/>
      <c r="Q96" s="13"/>
      <c r="R96" s="35"/>
      <c r="S96" s="1070"/>
      <c r="T96" s="57"/>
      <c r="U96" s="105"/>
      <c r="V96" s="57"/>
      <c r="W96" s="105"/>
      <c r="X96" s="57"/>
      <c r="Y96" s="105"/>
      <c r="Z96" s="57"/>
      <c r="AA96" s="105"/>
      <c r="AB96" s="57"/>
      <c r="AC96" s="105"/>
      <c r="AD96" s="57"/>
      <c r="AE96" s="105"/>
    </row>
    <row r="97" spans="1:31" ht="13.5" thickBot="1" x14ac:dyDescent="0.25">
      <c r="A97" s="1064"/>
      <c r="B97" s="58"/>
      <c r="C97" s="13"/>
      <c r="D97" s="13"/>
      <c r="E97" s="35"/>
      <c r="F97" s="13"/>
      <c r="G97" s="13"/>
      <c r="H97" s="35"/>
      <c r="I97" s="13"/>
      <c r="J97" s="13"/>
      <c r="K97" s="13"/>
      <c r="L97" s="13"/>
      <c r="M97" s="1"/>
      <c r="N97" s="13"/>
      <c r="O97" s="13"/>
      <c r="P97" s="13"/>
      <c r="Q97" s="36"/>
      <c r="R97" s="35"/>
      <c r="S97" s="1071"/>
      <c r="T97" s="48"/>
      <c r="U97" s="38"/>
      <c r="V97" s="48"/>
      <c r="W97" s="38"/>
      <c r="X97" s="48"/>
      <c r="Y97" s="38"/>
      <c r="Z97" s="48"/>
      <c r="AA97" s="38"/>
      <c r="AB97" s="48"/>
      <c r="AC97" s="38"/>
      <c r="AD97" s="48"/>
      <c r="AE97" s="38"/>
    </row>
    <row r="98" spans="1:31" ht="13.5" thickBot="1" x14ac:dyDescent="0.25">
      <c r="A98" s="59">
        <v>7</v>
      </c>
      <c r="B98" s="30" t="s">
        <v>11</v>
      </c>
      <c r="C98" s="10" t="s">
        <v>30</v>
      </c>
      <c r="D98" s="10">
        <f>SUM(D99:D102)</f>
        <v>0</v>
      </c>
      <c r="E98" s="10" t="s">
        <v>30</v>
      </c>
      <c r="F98" s="10" t="s">
        <v>30</v>
      </c>
      <c r="G98" s="10">
        <f>SUM(G99:G102)</f>
        <v>32082</v>
      </c>
      <c r="H98" s="10" t="s">
        <v>30</v>
      </c>
      <c r="I98" s="10">
        <f>SUM(I99:I102)</f>
        <v>0</v>
      </c>
      <c r="J98" s="10">
        <f>SUM(J99:J102)</f>
        <v>0</v>
      </c>
      <c r="K98" s="10" t="s">
        <v>30</v>
      </c>
      <c r="L98" s="10">
        <f>SUM(L99:L102)</f>
        <v>0</v>
      </c>
      <c r="M98" s="10" t="s">
        <v>30</v>
      </c>
      <c r="N98" s="10">
        <f>SUM(N99:N102)</f>
        <v>0</v>
      </c>
      <c r="O98" s="10">
        <f>SUM(O99:O102)</f>
        <v>0</v>
      </c>
      <c r="P98" s="10" t="s">
        <v>30</v>
      </c>
      <c r="Q98" s="10">
        <f>SUM(Q99:Q102)</f>
        <v>0</v>
      </c>
      <c r="R98" s="10" t="s">
        <v>30</v>
      </c>
      <c r="S98" s="91">
        <f>SUM(C98:R98)</f>
        <v>32082</v>
      </c>
      <c r="T98" s="42">
        <f>SUM(T99:T102)</f>
        <v>0</v>
      </c>
      <c r="U98" s="102">
        <f t="shared" ref="U98:AE98" si="11">SUM(U99:U102)</f>
        <v>0</v>
      </c>
      <c r="V98" s="42">
        <f t="shared" si="11"/>
        <v>0</v>
      </c>
      <c r="W98" s="102">
        <f t="shared" si="11"/>
        <v>0</v>
      </c>
      <c r="X98" s="42">
        <f t="shared" si="11"/>
        <v>0</v>
      </c>
      <c r="Y98" s="102">
        <f t="shared" si="11"/>
        <v>0</v>
      </c>
      <c r="Z98" s="42">
        <f t="shared" si="11"/>
        <v>0</v>
      </c>
      <c r="AA98" s="102">
        <f t="shared" si="11"/>
        <v>0</v>
      </c>
      <c r="AB98" s="42">
        <f t="shared" si="11"/>
        <v>0</v>
      </c>
      <c r="AC98" s="102">
        <f t="shared" si="11"/>
        <v>0</v>
      </c>
      <c r="AD98" s="42">
        <f t="shared" si="11"/>
        <v>0</v>
      </c>
      <c r="AE98" s="102">
        <f t="shared" si="11"/>
        <v>0</v>
      </c>
    </row>
    <row r="99" spans="1:31" x14ac:dyDescent="0.2">
      <c r="A99" s="1064"/>
      <c r="B99" s="16" t="s">
        <v>76</v>
      </c>
      <c r="C99" s="6"/>
      <c r="D99" s="6"/>
      <c r="E99" s="6"/>
      <c r="F99" s="6">
        <v>0</v>
      </c>
      <c r="G99" s="6">
        <v>32082</v>
      </c>
      <c r="H99" s="6"/>
      <c r="I99" s="6"/>
      <c r="J99" s="6"/>
      <c r="K99" s="6"/>
      <c r="L99" s="6"/>
      <c r="M99" s="7"/>
      <c r="N99" s="6"/>
      <c r="O99" s="6"/>
      <c r="P99" s="6"/>
      <c r="Q99" s="6"/>
      <c r="R99" s="60"/>
      <c r="S99" s="1069"/>
      <c r="T99" s="103"/>
      <c r="U99" s="104"/>
      <c r="V99" s="103"/>
      <c r="W99" s="104"/>
      <c r="X99" s="103"/>
      <c r="Y99" s="104"/>
      <c r="Z99" s="103"/>
      <c r="AA99" s="104"/>
      <c r="AB99" s="103"/>
      <c r="AC99" s="104"/>
      <c r="AD99" s="103"/>
      <c r="AE99" s="104"/>
    </row>
    <row r="100" spans="1:31" ht="13.9" customHeight="1" x14ac:dyDescent="0.2">
      <c r="A100" s="1064"/>
      <c r="B100" s="16"/>
      <c r="C100" s="6"/>
      <c r="D100" s="6"/>
      <c r="E100" s="6"/>
      <c r="F100" s="6"/>
      <c r="G100" s="6"/>
      <c r="H100" s="7"/>
      <c r="I100" s="6"/>
      <c r="J100" s="6"/>
      <c r="K100" s="6"/>
      <c r="L100" s="6"/>
      <c r="M100" s="7"/>
      <c r="N100" s="6"/>
      <c r="O100" s="6"/>
      <c r="P100" s="6"/>
      <c r="Q100" s="6"/>
      <c r="R100" s="60"/>
      <c r="S100" s="1070"/>
      <c r="T100" s="57"/>
      <c r="U100" s="105"/>
      <c r="V100" s="57"/>
      <c r="W100" s="105"/>
      <c r="X100" s="57"/>
      <c r="Y100" s="105"/>
      <c r="Z100" s="57"/>
      <c r="AA100" s="105"/>
      <c r="AB100" s="57"/>
      <c r="AC100" s="105"/>
      <c r="AD100" s="57"/>
      <c r="AE100" s="105"/>
    </row>
    <row r="101" spans="1:31" ht="15.75" customHeight="1" x14ac:dyDescent="0.2">
      <c r="A101" s="1064"/>
      <c r="B101" s="14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1"/>
      <c r="N101" s="9"/>
      <c r="O101" s="9"/>
      <c r="P101" s="9"/>
      <c r="Q101" s="9"/>
      <c r="R101" s="17"/>
      <c r="S101" s="1070"/>
      <c r="T101" s="57"/>
      <c r="U101" s="105"/>
      <c r="V101" s="57"/>
      <c r="W101" s="105"/>
      <c r="X101" s="57"/>
      <c r="Y101" s="105"/>
      <c r="Z101" s="57"/>
      <c r="AA101" s="105"/>
      <c r="AB101" s="57"/>
      <c r="AC101" s="105"/>
      <c r="AD101" s="57"/>
      <c r="AE101" s="105"/>
    </row>
    <row r="102" spans="1:31" ht="13.5" customHeight="1" thickBot="1" x14ac:dyDescent="0.25">
      <c r="A102" s="1064"/>
      <c r="B102" s="14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17"/>
      <c r="N102" s="9"/>
      <c r="O102" s="9"/>
      <c r="P102" s="23"/>
      <c r="Q102" s="23"/>
      <c r="R102" s="17"/>
      <c r="S102" s="1071"/>
      <c r="T102" s="48"/>
      <c r="U102" s="38"/>
      <c r="V102" s="48"/>
      <c r="W102" s="38"/>
      <c r="X102" s="48"/>
      <c r="Y102" s="38"/>
      <c r="Z102" s="48"/>
      <c r="AA102" s="38"/>
      <c r="AB102" s="48"/>
      <c r="AC102" s="38"/>
      <c r="AD102" s="48"/>
      <c r="AE102" s="38"/>
    </row>
    <row r="103" spans="1:31" ht="13.5" thickBot="1" x14ac:dyDescent="0.25">
      <c r="A103" s="29">
        <v>8</v>
      </c>
      <c r="B103" s="30" t="s">
        <v>12</v>
      </c>
      <c r="C103" s="10" t="s">
        <v>30</v>
      </c>
      <c r="D103" s="10">
        <f t="shared" ref="D103:Q103" si="12">SUM(D104:D104)</f>
        <v>0</v>
      </c>
      <c r="E103" s="10" t="s">
        <v>30</v>
      </c>
      <c r="F103" s="10" t="s">
        <v>30</v>
      </c>
      <c r="G103" s="10">
        <f t="shared" si="12"/>
        <v>0</v>
      </c>
      <c r="H103" s="10" t="s">
        <v>30</v>
      </c>
      <c r="I103" s="10">
        <f t="shared" si="12"/>
        <v>0</v>
      </c>
      <c r="J103" s="10">
        <f t="shared" si="12"/>
        <v>0</v>
      </c>
      <c r="K103" s="10" t="s">
        <v>30</v>
      </c>
      <c r="L103" s="10">
        <f t="shared" si="12"/>
        <v>0</v>
      </c>
      <c r="M103" s="10" t="s">
        <v>30</v>
      </c>
      <c r="N103" s="10">
        <f t="shared" si="12"/>
        <v>0</v>
      </c>
      <c r="O103" s="10">
        <f t="shared" si="12"/>
        <v>0</v>
      </c>
      <c r="P103" s="10" t="s">
        <v>30</v>
      </c>
      <c r="Q103" s="10">
        <f t="shared" si="12"/>
        <v>0</v>
      </c>
      <c r="R103" s="10" t="s">
        <v>30</v>
      </c>
      <c r="S103" s="91">
        <f>SUM(C103:R103)</f>
        <v>0</v>
      </c>
      <c r="T103" s="42">
        <f>T104</f>
        <v>0</v>
      </c>
      <c r="U103" s="102">
        <f t="shared" ref="U103:AE103" si="13">U104</f>
        <v>0</v>
      </c>
      <c r="V103" s="42">
        <f t="shared" si="13"/>
        <v>0</v>
      </c>
      <c r="W103" s="102">
        <f t="shared" si="13"/>
        <v>0</v>
      </c>
      <c r="X103" s="42">
        <f t="shared" si="13"/>
        <v>0</v>
      </c>
      <c r="Y103" s="102">
        <f t="shared" si="13"/>
        <v>0</v>
      </c>
      <c r="Z103" s="42">
        <f t="shared" si="13"/>
        <v>0</v>
      </c>
      <c r="AA103" s="102">
        <f t="shared" si="13"/>
        <v>0</v>
      </c>
      <c r="AB103" s="42">
        <f t="shared" si="13"/>
        <v>0</v>
      </c>
      <c r="AC103" s="102">
        <f t="shared" si="13"/>
        <v>0</v>
      </c>
      <c r="AD103" s="42">
        <f t="shared" si="13"/>
        <v>0</v>
      </c>
      <c r="AE103" s="102">
        <f t="shared" si="13"/>
        <v>0</v>
      </c>
    </row>
    <row r="104" spans="1:31" ht="13.5" thickBot="1" x14ac:dyDescent="0.25">
      <c r="A104" s="61"/>
      <c r="B104" s="16" t="s">
        <v>37</v>
      </c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7" t="e">
        <f>L104/K104</f>
        <v>#DIV/0!</v>
      </c>
      <c r="N104" s="6"/>
      <c r="O104" s="6"/>
      <c r="P104" s="6"/>
      <c r="Q104" s="6"/>
      <c r="R104" s="6"/>
      <c r="S104" s="92"/>
      <c r="T104" s="103"/>
      <c r="U104" s="104"/>
      <c r="V104" s="103"/>
      <c r="W104" s="104"/>
      <c r="X104" s="103"/>
      <c r="Y104" s="104"/>
      <c r="Z104" s="103"/>
      <c r="AA104" s="104"/>
      <c r="AB104" s="103"/>
      <c r="AC104" s="104"/>
      <c r="AD104" s="103"/>
      <c r="AE104" s="104"/>
    </row>
    <row r="105" spans="1:31" ht="13.5" hidden="1" thickBot="1" x14ac:dyDescent="0.25">
      <c r="A105" s="62"/>
      <c r="B105" s="63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93"/>
      <c r="T105" s="48"/>
      <c r="U105" s="38"/>
      <c r="V105" s="48"/>
      <c r="W105" s="38"/>
      <c r="X105" s="48"/>
      <c r="Y105" s="38"/>
      <c r="Z105" s="48"/>
      <c r="AA105" s="38"/>
      <c r="AB105" s="48"/>
      <c r="AC105" s="38"/>
      <c r="AD105" s="48"/>
      <c r="AE105" s="38"/>
    </row>
    <row r="106" spans="1:31" ht="13.5" thickBot="1" x14ac:dyDescent="0.25">
      <c r="A106" s="1097" t="s">
        <v>13</v>
      </c>
      <c r="B106" s="1098"/>
      <c r="C106" s="10" t="s">
        <v>30</v>
      </c>
      <c r="D106" s="10">
        <f>SUM(D7+D41+D48+D64+D75+D81+D98+D103)</f>
        <v>942800</v>
      </c>
      <c r="E106" s="10" t="s">
        <v>30</v>
      </c>
      <c r="F106" s="10" t="s">
        <v>30</v>
      </c>
      <c r="G106" s="10">
        <f>SUM(G7+G41+G48+G64+G75+G81+G98+G103)</f>
        <v>-54607000</v>
      </c>
      <c r="H106" s="10" t="s">
        <v>30</v>
      </c>
      <c r="I106" s="10" t="e">
        <f>SUM(I7+I41+I48+I64+I75+I81+#REF!+I98+I103+#REF!)</f>
        <v>#REF!</v>
      </c>
      <c r="J106" s="10" t="e">
        <f>SUM(J7+J41+J48+J64+J75+J81+#REF!+J98+J103+#REF!)</f>
        <v>#REF!</v>
      </c>
      <c r="K106" s="10" t="s">
        <v>30</v>
      </c>
      <c r="L106" s="10">
        <f>SUM(L7+L41+L48+L64+L75+L81+L98+L103)</f>
        <v>-2256832</v>
      </c>
      <c r="M106" s="10" t="s">
        <v>30</v>
      </c>
      <c r="N106" s="10">
        <f>SUM(N7+N41+N48+N64+N75+N81+N98+N103)</f>
        <v>0</v>
      </c>
      <c r="O106" s="10">
        <f>SUM(O7+O41+O48+O64+O75+O81+O98+O103)</f>
        <v>0</v>
      </c>
      <c r="P106" s="10" t="s">
        <v>30</v>
      </c>
      <c r="Q106" s="10">
        <f>SUM(Q7+Q41+Q48+Q64+Q75+Q81+Q98+Q103)</f>
        <v>137248117</v>
      </c>
      <c r="R106" s="10" t="s">
        <v>30</v>
      </c>
      <c r="S106" s="91">
        <f>SUM(S7+S41+S48+S64+S75+S81+S98+S103)</f>
        <v>81327085</v>
      </c>
      <c r="T106" s="42">
        <f t="shared" ref="T106:AE106" si="14">SUM(T7+T41+T48+T64+T75+T81+T98+T103)</f>
        <v>35000000</v>
      </c>
      <c r="U106" s="11">
        <f t="shared" si="14"/>
        <v>-2665000</v>
      </c>
      <c r="V106" s="42">
        <f t="shared" si="14"/>
        <v>0</v>
      </c>
      <c r="W106" s="11">
        <f t="shared" si="14"/>
        <v>0</v>
      </c>
      <c r="X106" s="42">
        <f t="shared" si="14"/>
        <v>75191767</v>
      </c>
      <c r="Y106" s="11">
        <f t="shared" si="14"/>
        <v>0</v>
      </c>
      <c r="Z106" s="42">
        <f t="shared" si="14"/>
        <v>30800000</v>
      </c>
      <c r="AA106" s="11">
        <f t="shared" si="14"/>
        <v>0</v>
      </c>
      <c r="AB106" s="42">
        <f t="shared" si="14"/>
        <v>0</v>
      </c>
      <c r="AC106" s="11">
        <f t="shared" si="14"/>
        <v>0</v>
      </c>
      <c r="AD106" s="42">
        <f t="shared" si="14"/>
        <v>79522818</v>
      </c>
      <c r="AE106" s="11">
        <f t="shared" si="14"/>
        <v>0</v>
      </c>
    </row>
    <row r="107" spans="1:31" ht="13.5" thickBot="1" x14ac:dyDescent="0.25">
      <c r="A107" s="1100"/>
      <c r="B107" s="1101"/>
      <c r="C107" s="1093"/>
      <c r="D107" s="1094"/>
      <c r="E107" s="1065"/>
      <c r="F107" s="1065"/>
      <c r="G107" s="1065"/>
      <c r="H107" s="1065"/>
      <c r="I107" s="64"/>
      <c r="J107" s="64"/>
      <c r="K107" s="1065"/>
      <c r="L107" s="1065"/>
      <c r="M107" s="1065"/>
      <c r="N107" s="64"/>
      <c r="O107" s="64"/>
      <c r="P107" s="1065"/>
      <c r="Q107" s="1065"/>
      <c r="R107" s="1065"/>
      <c r="S107" s="94"/>
      <c r="T107" s="106"/>
      <c r="U107" s="107"/>
      <c r="V107" s="106"/>
      <c r="W107" s="107"/>
      <c r="X107" s="106"/>
      <c r="Y107" s="107"/>
      <c r="Z107" s="106"/>
      <c r="AA107" s="107"/>
      <c r="AB107" s="106"/>
      <c r="AC107" s="107"/>
      <c r="AD107" s="106"/>
      <c r="AE107" s="107"/>
    </row>
    <row r="108" spans="1:31" x14ac:dyDescent="0.2">
      <c r="A108" s="1064" t="s">
        <v>14</v>
      </c>
      <c r="B108" s="1096"/>
      <c r="C108" s="1099">
        <f>D106+G106</f>
        <v>-53664200</v>
      </c>
      <c r="D108" s="1092"/>
      <c r="E108" s="1092"/>
      <c r="F108" s="1092"/>
      <c r="G108" s="1092"/>
      <c r="H108" s="1092"/>
      <c r="I108" s="65"/>
      <c r="J108" s="65"/>
      <c r="K108" s="1092">
        <f>L106</f>
        <v>-2256832</v>
      </c>
      <c r="L108" s="1092"/>
      <c r="M108" s="1092"/>
      <c r="N108" s="65"/>
      <c r="O108" s="65"/>
      <c r="P108" s="1092">
        <f>Q106</f>
        <v>137248117</v>
      </c>
      <c r="Q108" s="1092"/>
      <c r="R108" s="1092"/>
      <c r="S108" s="65">
        <f>C108+K108+P108</f>
        <v>81327085</v>
      </c>
      <c r="T108" s="108"/>
      <c r="U108" s="109"/>
      <c r="V108" s="108"/>
      <c r="W108" s="109"/>
      <c r="X108" s="108"/>
      <c r="Y108" s="109"/>
      <c r="Z108" s="108"/>
      <c r="AA108" s="109"/>
      <c r="AB108" s="108"/>
      <c r="AC108" s="109"/>
      <c r="AD108" s="108"/>
      <c r="AE108" s="109"/>
    </row>
    <row r="109" spans="1:31" hidden="1" x14ac:dyDescent="0.2">
      <c r="A109" s="66">
        <v>9</v>
      </c>
      <c r="B109" s="67" t="s">
        <v>20</v>
      </c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95">
        <f>P109+R109</f>
        <v>0</v>
      </c>
      <c r="T109" s="57"/>
      <c r="U109" s="105"/>
      <c r="V109" s="57"/>
      <c r="W109" s="105"/>
      <c r="X109" s="57"/>
      <c r="Y109" s="105"/>
      <c r="Z109" s="57"/>
      <c r="AA109" s="105"/>
      <c r="AB109" s="57"/>
      <c r="AC109" s="105"/>
      <c r="AD109" s="57"/>
      <c r="AE109" s="105"/>
    </row>
    <row r="110" spans="1:31" x14ac:dyDescent="0.2">
      <c r="A110" s="68"/>
      <c r="B110" s="69" t="s">
        <v>22</v>
      </c>
      <c r="C110" s="83"/>
      <c r="D110" s="83"/>
      <c r="E110" s="83"/>
      <c r="F110" s="83"/>
      <c r="G110" s="83">
        <v>0</v>
      </c>
      <c r="H110" s="83">
        <v>0</v>
      </c>
      <c r="I110" s="83"/>
      <c r="J110" s="83"/>
      <c r="K110" s="83"/>
      <c r="L110" s="83"/>
      <c r="M110" s="84"/>
      <c r="N110" s="83"/>
      <c r="O110" s="83"/>
      <c r="P110" s="83"/>
      <c r="Q110" s="83"/>
      <c r="R110" s="83"/>
      <c r="S110" s="96">
        <f>F110+K110+L110</f>
        <v>0</v>
      </c>
      <c r="T110" s="57"/>
      <c r="U110" s="105"/>
      <c r="V110" s="57"/>
      <c r="W110" s="105"/>
      <c r="X110" s="57"/>
      <c r="Y110" s="105"/>
      <c r="Z110" s="57"/>
      <c r="AA110" s="105"/>
      <c r="AB110" s="57"/>
      <c r="AC110" s="105"/>
      <c r="AD110" s="57"/>
      <c r="AE110" s="105"/>
    </row>
    <row r="111" spans="1:31" x14ac:dyDescent="0.2">
      <c r="A111" s="68"/>
      <c r="B111" s="69" t="s">
        <v>25</v>
      </c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5"/>
      <c r="N111" s="83"/>
      <c r="O111" s="83"/>
      <c r="P111" s="83"/>
      <c r="Q111" s="83"/>
      <c r="R111" s="83"/>
      <c r="S111" s="96"/>
      <c r="T111" s="57"/>
      <c r="U111" s="105"/>
      <c r="V111" s="57"/>
      <c r="W111" s="105"/>
      <c r="X111" s="57"/>
      <c r="Y111" s="105"/>
      <c r="Z111" s="57"/>
      <c r="AA111" s="105"/>
      <c r="AB111" s="57"/>
      <c r="AC111" s="105"/>
      <c r="AD111" s="57"/>
      <c r="AE111" s="105"/>
    </row>
    <row r="112" spans="1:31" ht="13.5" thickBot="1" x14ac:dyDescent="0.25">
      <c r="A112" s="68"/>
      <c r="B112" s="69" t="s">
        <v>39</v>
      </c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4"/>
      <c r="N112" s="83"/>
      <c r="O112" s="83"/>
      <c r="P112" s="83"/>
      <c r="Q112" s="83"/>
      <c r="R112" s="83"/>
      <c r="S112" s="96"/>
      <c r="T112" s="97"/>
      <c r="U112" s="73"/>
      <c r="V112" s="97"/>
      <c r="W112" s="73"/>
      <c r="X112" s="97"/>
      <c r="Y112" s="73"/>
      <c r="Z112" s="97"/>
      <c r="AA112" s="73"/>
      <c r="AB112" s="97"/>
      <c r="AC112" s="73"/>
      <c r="AD112" s="97"/>
      <c r="AE112" s="73"/>
    </row>
    <row r="113" spans="1:19" ht="13.5" hidden="1" thickBot="1" x14ac:dyDescent="0.25">
      <c r="A113" s="70">
        <v>10</v>
      </c>
      <c r="B113" s="21" t="s">
        <v>23</v>
      </c>
      <c r="C113" s="71"/>
      <c r="D113" s="71"/>
      <c r="E113" s="71"/>
      <c r="F113" s="71"/>
      <c r="G113" s="71"/>
      <c r="H113" s="71"/>
      <c r="I113" s="71"/>
      <c r="J113" s="71"/>
      <c r="K113" s="22"/>
      <c r="L113" s="22"/>
      <c r="M113" s="72"/>
      <c r="N113" s="71"/>
      <c r="O113" s="71"/>
      <c r="P113" s="71"/>
      <c r="Q113" s="71"/>
      <c r="R113" s="71"/>
      <c r="S113" s="73"/>
    </row>
    <row r="114" spans="1:19" x14ac:dyDescent="0.2">
      <c r="A114" s="74"/>
      <c r="B114" s="75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</row>
    <row r="115" spans="1:19" x14ac:dyDescent="0.2">
      <c r="A115" s="74"/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</row>
    <row r="116" spans="1:19" x14ac:dyDescent="0.2">
      <c r="A116" s="74"/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</row>
  </sheetData>
  <mergeCells count="68">
    <mergeCell ref="P108:R108"/>
    <mergeCell ref="G5:G6"/>
    <mergeCell ref="C107:E107"/>
    <mergeCell ref="A8:A40"/>
    <mergeCell ref="A42:A46"/>
    <mergeCell ref="F107:H107"/>
    <mergeCell ref="A108:B108"/>
    <mergeCell ref="F5:F6"/>
    <mergeCell ref="N5:O5"/>
    <mergeCell ref="K107:M107"/>
    <mergeCell ref="A106:B106"/>
    <mergeCell ref="L5:L6"/>
    <mergeCell ref="C108:H108"/>
    <mergeCell ref="K108:M108"/>
    <mergeCell ref="A65:A66"/>
    <mergeCell ref="A107:B107"/>
    <mergeCell ref="B1:S1"/>
    <mergeCell ref="F4:J4"/>
    <mergeCell ref="A2:B3"/>
    <mergeCell ref="H5:H6"/>
    <mergeCell ref="K5:K6"/>
    <mergeCell ref="I5:J5"/>
    <mergeCell ref="B4:B6"/>
    <mergeCell ref="P4:R4"/>
    <mergeCell ref="A4:A6"/>
    <mergeCell ref="C4:E4"/>
    <mergeCell ref="M5:M6"/>
    <mergeCell ref="P5:P6"/>
    <mergeCell ref="C5:C6"/>
    <mergeCell ref="K4:O4"/>
    <mergeCell ref="S2:S6"/>
    <mergeCell ref="C2:R2"/>
    <mergeCell ref="AD5:AD6"/>
    <mergeCell ref="AE5:AE6"/>
    <mergeCell ref="A82:A97"/>
    <mergeCell ref="P107:R107"/>
    <mergeCell ref="A99:A102"/>
    <mergeCell ref="S8:S40"/>
    <mergeCell ref="S99:S102"/>
    <mergeCell ref="S82:S97"/>
    <mergeCell ref="D5:D6"/>
    <mergeCell ref="E5:E6"/>
    <mergeCell ref="R5:R6"/>
    <mergeCell ref="S42:S46"/>
    <mergeCell ref="Q5:Q6"/>
    <mergeCell ref="S76:S80"/>
    <mergeCell ref="S65:S74"/>
    <mergeCell ref="S49:S63"/>
    <mergeCell ref="Y5:Y6"/>
    <mergeCell ref="Z5:Z6"/>
    <mergeCell ref="AA5:AA6"/>
    <mergeCell ref="AB5:AB6"/>
    <mergeCell ref="AC5:AC6"/>
    <mergeCell ref="T5:T6"/>
    <mergeCell ref="U5:U6"/>
    <mergeCell ref="V5:V6"/>
    <mergeCell ref="W5:W6"/>
    <mergeCell ref="X5:X6"/>
    <mergeCell ref="T2:Y2"/>
    <mergeCell ref="Z2:AE2"/>
    <mergeCell ref="T3:Y3"/>
    <mergeCell ref="Z3:AE3"/>
    <mergeCell ref="T4:U4"/>
    <mergeCell ref="V4:W4"/>
    <mergeCell ref="X4:Y4"/>
    <mergeCell ref="Z4:AA4"/>
    <mergeCell ref="AB4:AC4"/>
    <mergeCell ref="AD4:AE4"/>
  </mergeCells>
  <phoneticPr fontId="0" type="noConversion"/>
  <printOptions horizontalCentered="1"/>
  <pageMargins left="0.11811023622047245" right="0.19685039370078741" top="0.39370078740157483" bottom="0.39370078740157483" header="0.31496062992125984" footer="0.31496062992125984"/>
  <pageSetup paperSize="9" scale="45" fitToHeight="2" orientation="landscape" r:id="rId1"/>
  <rowBreaks count="1" manualBreakCount="1">
    <brk id="8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1"/>
  <sheetViews>
    <sheetView view="pageBreakPreview" topLeftCell="B128" zoomScale="85" zoomScaleSheetLayoutView="85" workbookViewId="0">
      <selection activeCell="K155" sqref="K155"/>
    </sheetView>
  </sheetViews>
  <sheetFormatPr defaultColWidth="9.140625" defaultRowHeight="15" x14ac:dyDescent="0.25"/>
  <cols>
    <col min="1" max="1" width="8.7109375" style="510" hidden="1" customWidth="1"/>
    <col min="2" max="2" width="50.42578125" style="154" customWidth="1"/>
    <col min="3" max="3" width="14" style="457" customWidth="1"/>
    <col min="4" max="4" width="15.85546875" style="511" customWidth="1"/>
    <col min="5" max="5" width="16.42578125" style="511" customWidth="1"/>
    <col min="6" max="6" width="12.5703125" style="511" customWidth="1"/>
    <col min="7" max="7" width="15.85546875" style="1019" customWidth="1"/>
    <col min="8" max="8" width="14.85546875" style="1019" customWidth="1"/>
    <col min="9" max="9" width="14" style="1019" customWidth="1"/>
    <col min="10" max="10" width="16.42578125" style="511" customWidth="1"/>
    <col min="11" max="11" width="18.7109375" style="511" customWidth="1"/>
    <col min="12" max="12" width="13.7109375" style="511" customWidth="1"/>
    <col min="13" max="13" width="15.7109375" style="511" customWidth="1"/>
    <col min="14" max="14" width="18.42578125" style="511" customWidth="1"/>
    <col min="15" max="15" width="18.5703125" style="511" customWidth="1"/>
    <col min="16" max="16" width="33.7109375" style="154" customWidth="1"/>
    <col min="17" max="17" width="12" style="154" bestFit="1" customWidth="1"/>
    <col min="18" max="16384" width="9.140625" style="154"/>
  </cols>
  <sheetData>
    <row r="1" spans="1:16" x14ac:dyDescent="0.25">
      <c r="A1" s="1104" t="s">
        <v>440</v>
      </c>
      <c r="B1" s="1104"/>
      <c r="C1" s="1104"/>
      <c r="D1" s="1104"/>
      <c r="E1" s="1104"/>
      <c r="F1" s="1104"/>
      <c r="G1" s="1104"/>
      <c r="H1" s="1104"/>
      <c r="I1" s="1104"/>
      <c r="J1" s="1104"/>
      <c r="K1" s="1104"/>
      <c r="L1" s="1104"/>
      <c r="M1" s="1104"/>
      <c r="N1" s="1104"/>
      <c r="O1" s="1104"/>
      <c r="P1" s="574"/>
    </row>
    <row r="2" spans="1:16" x14ac:dyDescent="0.25">
      <c r="A2" s="137"/>
      <c r="B2" s="809"/>
      <c r="C2" s="810"/>
      <c r="D2" s="1105"/>
      <c r="E2" s="1105"/>
      <c r="F2" s="1105"/>
      <c r="G2" s="1105"/>
      <c r="H2" s="1105"/>
      <c r="I2" s="1105"/>
      <c r="J2" s="1105"/>
      <c r="K2" s="810"/>
      <c r="L2" s="810"/>
      <c r="M2" s="810"/>
      <c r="N2" s="810"/>
      <c r="O2" s="810"/>
      <c r="P2" s="574"/>
    </row>
    <row r="3" spans="1:16" x14ac:dyDescent="0.25">
      <c r="A3" s="137"/>
      <c r="B3" s="809"/>
      <c r="C3" s="810"/>
      <c r="D3" s="810"/>
      <c r="E3" s="810"/>
      <c r="F3" s="810"/>
      <c r="G3" s="1003"/>
      <c r="H3" s="1003"/>
      <c r="I3" s="1003"/>
      <c r="J3" s="810"/>
      <c r="K3" s="810"/>
      <c r="L3" s="810"/>
      <c r="M3" s="810"/>
      <c r="N3" s="810"/>
      <c r="O3" s="810"/>
      <c r="P3" s="574"/>
    </row>
    <row r="4" spans="1:16" x14ac:dyDescent="0.25">
      <c r="A4" s="1106" t="s">
        <v>95</v>
      </c>
      <c r="B4" s="1107" t="s">
        <v>96</v>
      </c>
      <c r="C4" s="1108" t="s">
        <v>149</v>
      </c>
      <c r="D4" s="1109" t="s">
        <v>97</v>
      </c>
      <c r="E4" s="1109"/>
      <c r="F4" s="1109"/>
      <c r="G4" s="1111" t="s">
        <v>188</v>
      </c>
      <c r="H4" s="1111"/>
      <c r="I4" s="1111"/>
      <c r="J4" s="1109" t="s">
        <v>98</v>
      </c>
      <c r="K4" s="1109"/>
      <c r="L4" s="1109"/>
      <c r="M4" s="1112" t="s">
        <v>412</v>
      </c>
      <c r="N4" s="812" t="s">
        <v>44</v>
      </c>
      <c r="O4" s="812" t="s">
        <v>293</v>
      </c>
      <c r="P4" s="733"/>
    </row>
    <row r="5" spans="1:16" ht="42.75" x14ac:dyDescent="0.25">
      <c r="A5" s="1106"/>
      <c r="B5" s="1107"/>
      <c r="C5" s="1108"/>
      <c r="D5" s="811" t="s">
        <v>99</v>
      </c>
      <c r="E5" s="811" t="s">
        <v>100</v>
      </c>
      <c r="F5" s="811" t="s">
        <v>101</v>
      </c>
      <c r="G5" s="1004" t="s">
        <v>99</v>
      </c>
      <c r="H5" s="1004" t="s">
        <v>100</v>
      </c>
      <c r="I5" s="1004" t="s">
        <v>101</v>
      </c>
      <c r="J5" s="811" t="s">
        <v>99</v>
      </c>
      <c r="K5" s="811" t="s">
        <v>100</v>
      </c>
      <c r="L5" s="811" t="s">
        <v>101</v>
      </c>
      <c r="M5" s="1113"/>
      <c r="N5" s="811" t="s">
        <v>77</v>
      </c>
      <c r="O5" s="811" t="s">
        <v>77</v>
      </c>
      <c r="P5" s="762" t="s">
        <v>199</v>
      </c>
    </row>
    <row r="6" spans="1:16" x14ac:dyDescent="0.25">
      <c r="A6" s="1102"/>
      <c r="B6" s="1102"/>
      <c r="C6" s="1102"/>
      <c r="D6" s="1102"/>
      <c r="E6" s="1102"/>
      <c r="F6" s="1102"/>
      <c r="G6" s="1102"/>
      <c r="H6" s="1102"/>
      <c r="I6" s="1102"/>
      <c r="J6" s="1102"/>
      <c r="K6" s="1102"/>
      <c r="L6" s="1102"/>
      <c r="M6" s="881"/>
      <c r="N6" s="882"/>
      <c r="O6" s="882"/>
      <c r="P6" s="883"/>
    </row>
    <row r="7" spans="1:16" s="574" customFormat="1" ht="43.5" x14ac:dyDescent="0.25">
      <c r="A7" s="989">
        <v>1</v>
      </c>
      <c r="B7" s="990" t="s">
        <v>108</v>
      </c>
      <c r="C7" s="884"/>
      <c r="D7" s="856" t="s">
        <v>30</v>
      </c>
      <c r="E7" s="857">
        <f>E8+E13+E16+E19</f>
        <v>0</v>
      </c>
      <c r="F7" s="871" t="s">
        <v>30</v>
      </c>
      <c r="G7" s="856" t="s">
        <v>30</v>
      </c>
      <c r="H7" s="857">
        <f>H8+H13+H16+H19</f>
        <v>215625</v>
      </c>
      <c r="I7" s="871" t="s">
        <v>30</v>
      </c>
      <c r="J7" s="857" t="s">
        <v>30</v>
      </c>
      <c r="K7" s="857">
        <f>K8+K13+K16+K19</f>
        <v>-1010030.98</v>
      </c>
      <c r="L7" s="871" t="s">
        <v>30</v>
      </c>
      <c r="M7" s="857">
        <f>E7+H7+K7</f>
        <v>-794405.98</v>
      </c>
      <c r="N7" s="857">
        <f t="shared" ref="N7:O7" si="0">N8+N13+N16+N19</f>
        <v>-1005673.7</v>
      </c>
      <c r="O7" s="857">
        <f t="shared" si="0"/>
        <v>0</v>
      </c>
      <c r="P7" s="733"/>
    </row>
    <row r="8" spans="1:16" s="587" customFormat="1" x14ac:dyDescent="0.25">
      <c r="A8" s="991" t="s">
        <v>143</v>
      </c>
      <c r="B8" s="992" t="s">
        <v>109</v>
      </c>
      <c r="C8" s="993"/>
      <c r="D8" s="994" t="s">
        <v>182</v>
      </c>
      <c r="E8" s="845">
        <f>SUM(E9:E12)</f>
        <v>0</v>
      </c>
      <c r="F8" s="994" t="s">
        <v>30</v>
      </c>
      <c r="G8" s="994" t="s">
        <v>182</v>
      </c>
      <c r="H8" s="845">
        <f>SUM(H9:H12)</f>
        <v>-340079</v>
      </c>
      <c r="I8" s="994" t="s">
        <v>30</v>
      </c>
      <c r="J8" s="845" t="s">
        <v>182</v>
      </c>
      <c r="K8" s="845">
        <f>SUM(K9:K12)</f>
        <v>0</v>
      </c>
      <c r="L8" s="994" t="s">
        <v>30</v>
      </c>
      <c r="M8" s="845">
        <f>E8+H8+K8</f>
        <v>-340079</v>
      </c>
      <c r="N8" s="994">
        <f t="shared" ref="N8:O8" si="1">SUM(N9:N12)</f>
        <v>0</v>
      </c>
      <c r="O8" s="994">
        <f t="shared" si="1"/>
        <v>0</v>
      </c>
      <c r="P8" s="995"/>
    </row>
    <row r="9" spans="1:16" ht="30" hidden="1" x14ac:dyDescent="0.25">
      <c r="A9" s="734"/>
      <c r="B9" s="261" t="s">
        <v>202</v>
      </c>
      <c r="C9" s="181" t="s">
        <v>190</v>
      </c>
      <c r="D9" s="184">
        <v>0</v>
      </c>
      <c r="E9" s="184">
        <v>0</v>
      </c>
      <c r="F9" s="183">
        <v>1</v>
      </c>
      <c r="G9" s="1005"/>
      <c r="H9" s="1005"/>
      <c r="I9" s="1006"/>
      <c r="J9" s="184"/>
      <c r="K9" s="184"/>
      <c r="L9" s="183"/>
      <c r="M9" s="184"/>
      <c r="N9" s="184"/>
      <c r="O9" s="184"/>
      <c r="P9" s="133"/>
    </row>
    <row r="10" spans="1:16" s="574" customFormat="1" x14ac:dyDescent="0.25">
      <c r="A10" s="979"/>
      <c r="B10" s="863" t="s">
        <v>226</v>
      </c>
      <c r="C10" s="848" t="s">
        <v>190</v>
      </c>
      <c r="D10" s="850"/>
      <c r="E10" s="850"/>
      <c r="F10" s="851"/>
      <c r="G10" s="1007">
        <v>8219488</v>
      </c>
      <c r="H10" s="1007">
        <v>-340079</v>
      </c>
      <c r="I10" s="1008">
        <f>H10/G10</f>
        <v>-4.1374718230624587E-2</v>
      </c>
      <c r="J10" s="850"/>
      <c r="K10" s="850"/>
      <c r="L10" s="851"/>
      <c r="M10" s="850"/>
      <c r="N10" s="850"/>
      <c r="O10" s="850"/>
      <c r="P10" s="733"/>
    </row>
    <row r="11" spans="1:16" ht="30" hidden="1" x14ac:dyDescent="0.25">
      <c r="A11" s="734"/>
      <c r="B11" s="261" t="s">
        <v>224</v>
      </c>
      <c r="C11" s="181" t="s">
        <v>190</v>
      </c>
      <c r="D11" s="184"/>
      <c r="E11" s="184"/>
      <c r="F11" s="183"/>
      <c r="G11" s="1005"/>
      <c r="H11" s="1005"/>
      <c r="I11" s="1006">
        <v>1</v>
      </c>
      <c r="J11" s="184"/>
      <c r="K11" s="184"/>
      <c r="L11" s="183"/>
      <c r="M11" s="184"/>
      <c r="N11" s="184"/>
      <c r="O11" s="184"/>
      <c r="P11" s="133"/>
    </row>
    <row r="12" spans="1:16" hidden="1" x14ac:dyDescent="0.25">
      <c r="A12" s="734"/>
      <c r="B12" s="261" t="s">
        <v>204</v>
      </c>
      <c r="C12" s="181" t="s">
        <v>190</v>
      </c>
      <c r="D12" s="182"/>
      <c r="E12" s="184"/>
      <c r="F12" s="183">
        <v>1</v>
      </c>
      <c r="G12" s="1009"/>
      <c r="H12" s="1005"/>
      <c r="I12" s="1010">
        <v>0</v>
      </c>
      <c r="J12" s="184"/>
      <c r="K12" s="184"/>
      <c r="L12" s="183"/>
      <c r="M12" s="184"/>
      <c r="N12" s="184"/>
      <c r="O12" s="184"/>
      <c r="P12" s="133"/>
    </row>
    <row r="13" spans="1:16" s="587" customFormat="1" ht="64.5" customHeight="1" x14ac:dyDescent="0.25">
      <c r="A13" s="991" t="s">
        <v>144</v>
      </c>
      <c r="B13" s="992" t="s">
        <v>110</v>
      </c>
      <c r="C13" s="993"/>
      <c r="D13" s="994" t="s">
        <v>30</v>
      </c>
      <c r="E13" s="845">
        <f>SUM(E14:E15)</f>
        <v>0</v>
      </c>
      <c r="F13" s="994" t="s">
        <v>30</v>
      </c>
      <c r="G13" s="994" t="s">
        <v>30</v>
      </c>
      <c r="H13" s="845">
        <f>SUM(H14:H15)</f>
        <v>0</v>
      </c>
      <c r="I13" s="994" t="s">
        <v>30</v>
      </c>
      <c r="J13" s="845" t="s">
        <v>30</v>
      </c>
      <c r="K13" s="845">
        <f>SUM(K14:K14)</f>
        <v>-94370.98</v>
      </c>
      <c r="L13" s="994" t="s">
        <v>30</v>
      </c>
      <c r="M13" s="845">
        <f>E13+H13+K13</f>
        <v>-94370.98</v>
      </c>
      <c r="N13" s="994">
        <f>SUM(N14:N14)</f>
        <v>0</v>
      </c>
      <c r="O13" s="994">
        <f>SUM(O14:O14)</f>
        <v>0</v>
      </c>
      <c r="P13" s="995"/>
    </row>
    <row r="14" spans="1:16" s="574" customFormat="1" ht="30" x14ac:dyDescent="0.25">
      <c r="A14" s="1020"/>
      <c r="B14" s="867" t="s">
        <v>600</v>
      </c>
      <c r="C14" s="848" t="s">
        <v>190</v>
      </c>
      <c r="D14" s="849"/>
      <c r="E14" s="850"/>
      <c r="F14" s="851"/>
      <c r="G14" s="853"/>
      <c r="H14" s="1007"/>
      <c r="I14" s="1012">
        <v>1</v>
      </c>
      <c r="J14" s="850">
        <v>307000</v>
      </c>
      <c r="K14" s="850">
        <v>-94370.98</v>
      </c>
      <c r="L14" s="852">
        <f>K14/J14</f>
        <v>-0.30739732899022798</v>
      </c>
      <c r="M14" s="850"/>
      <c r="N14" s="850"/>
      <c r="O14" s="850"/>
      <c r="P14" s="733"/>
    </row>
    <row r="15" spans="1:16" ht="18.75" hidden="1" customHeight="1" x14ac:dyDescent="0.25">
      <c r="A15" s="734"/>
      <c r="B15" s="450" t="s">
        <v>403</v>
      </c>
      <c r="C15" s="181" t="s">
        <v>404</v>
      </c>
      <c r="D15" s="182"/>
      <c r="E15" s="184"/>
      <c r="F15" s="183"/>
      <c r="G15" s="1009"/>
      <c r="H15" s="1005"/>
      <c r="I15" s="1010"/>
      <c r="J15" s="184"/>
      <c r="K15" s="184"/>
      <c r="L15" s="451"/>
      <c r="M15" s="184"/>
      <c r="N15" s="184"/>
      <c r="O15" s="184"/>
      <c r="P15" s="133"/>
    </row>
    <row r="16" spans="1:16" s="155" customFormat="1" ht="51" hidden="1" customHeight="1" x14ac:dyDescent="0.25">
      <c r="A16" s="735" t="s">
        <v>145</v>
      </c>
      <c r="B16" s="736" t="s">
        <v>111</v>
      </c>
      <c r="C16" s="737"/>
      <c r="D16" s="738" t="s">
        <v>30</v>
      </c>
      <c r="E16" s="759">
        <f>SUM(E17:E18)</f>
        <v>0</v>
      </c>
      <c r="F16" s="738" t="s">
        <v>30</v>
      </c>
      <c r="G16" s="738" t="s">
        <v>30</v>
      </c>
      <c r="H16" s="759">
        <f>SUM(H17:H18)</f>
        <v>0</v>
      </c>
      <c r="I16" s="738" t="s">
        <v>30</v>
      </c>
      <c r="J16" s="759" t="s">
        <v>30</v>
      </c>
      <c r="K16" s="759">
        <f>SUM(K17:K18)</f>
        <v>0</v>
      </c>
      <c r="L16" s="738" t="s">
        <v>30</v>
      </c>
      <c r="M16" s="759"/>
      <c r="N16" s="738">
        <f t="shared" ref="N16:O16" si="2">SUM(N17:N18)</f>
        <v>0</v>
      </c>
      <c r="O16" s="738">
        <f t="shared" si="2"/>
        <v>0</v>
      </c>
      <c r="P16" s="739"/>
    </row>
    <row r="17" spans="1:16" hidden="1" x14ac:dyDescent="0.25">
      <c r="A17" s="734"/>
      <c r="B17" s="261" t="s">
        <v>193</v>
      </c>
      <c r="C17" s="181" t="s">
        <v>191</v>
      </c>
      <c r="D17" s="182"/>
      <c r="E17" s="184"/>
      <c r="F17" s="183"/>
      <c r="G17" s="1009"/>
      <c r="H17" s="1005"/>
      <c r="I17" s="1006">
        <v>1</v>
      </c>
      <c r="J17" s="184"/>
      <c r="K17" s="184"/>
      <c r="L17" s="183"/>
      <c r="M17" s="184"/>
      <c r="N17" s="184"/>
      <c r="O17" s="184"/>
      <c r="P17" s="133"/>
    </row>
    <row r="18" spans="1:16" hidden="1" x14ac:dyDescent="0.25">
      <c r="A18" s="734"/>
      <c r="B18" s="261"/>
      <c r="C18" s="181"/>
      <c r="D18" s="182"/>
      <c r="E18" s="184"/>
      <c r="F18" s="183"/>
      <c r="G18" s="1009"/>
      <c r="H18" s="1005"/>
      <c r="I18" s="1010"/>
      <c r="J18" s="184"/>
      <c r="K18" s="184"/>
      <c r="L18" s="183"/>
      <c r="M18" s="184"/>
      <c r="N18" s="184"/>
      <c r="O18" s="184"/>
      <c r="P18" s="133"/>
    </row>
    <row r="19" spans="1:16" s="587" customFormat="1" ht="45" x14ac:dyDescent="0.25">
      <c r="A19" s="991" t="s">
        <v>146</v>
      </c>
      <c r="B19" s="992" t="s">
        <v>112</v>
      </c>
      <c r="C19" s="993"/>
      <c r="D19" s="994" t="s">
        <v>30</v>
      </c>
      <c r="E19" s="845">
        <f>SUM(E20:E28)</f>
        <v>0</v>
      </c>
      <c r="F19" s="994" t="s">
        <v>30</v>
      </c>
      <c r="G19" s="994" t="s">
        <v>30</v>
      </c>
      <c r="H19" s="845">
        <f>SUM(H20:H28)</f>
        <v>555704</v>
      </c>
      <c r="I19" s="994" t="s">
        <v>30</v>
      </c>
      <c r="J19" s="845" t="s">
        <v>30</v>
      </c>
      <c r="K19" s="845">
        <f>SUM(K20:K28)</f>
        <v>-915660</v>
      </c>
      <c r="L19" s="994" t="s">
        <v>30</v>
      </c>
      <c r="M19" s="845">
        <f>E19+H19+K19</f>
        <v>-359956</v>
      </c>
      <c r="N19" s="845">
        <f>SUM(N20:N28)</f>
        <v>-1005673.7</v>
      </c>
      <c r="O19" s="845">
        <f>SUM(O20:O28)</f>
        <v>0</v>
      </c>
      <c r="P19" s="995"/>
    </row>
    <row r="20" spans="1:16" s="574" customFormat="1" x14ac:dyDescent="0.25">
      <c r="A20" s="1020"/>
      <c r="B20" s="986" t="s">
        <v>187</v>
      </c>
      <c r="C20" s="848" t="s">
        <v>190</v>
      </c>
      <c r="D20" s="849"/>
      <c r="E20" s="850"/>
      <c r="F20" s="851"/>
      <c r="G20" s="1007"/>
      <c r="H20" s="1007"/>
      <c r="I20" s="1008"/>
      <c r="J20" s="850">
        <f>280000+1439150</f>
        <v>1719150</v>
      </c>
      <c r="K20" s="850">
        <f>-31350-801310-103000+40425-20425</f>
        <v>-915660</v>
      </c>
      <c r="L20" s="852">
        <f>K20/J20</f>
        <v>-0.53262368030712848</v>
      </c>
      <c r="M20" s="850"/>
      <c r="N20" s="850">
        <v>-1500000</v>
      </c>
      <c r="O20" s="850"/>
      <c r="P20" s="733"/>
    </row>
    <row r="21" spans="1:16" ht="30" hidden="1" x14ac:dyDescent="0.25">
      <c r="A21" s="734"/>
      <c r="B21" s="740" t="s">
        <v>224</v>
      </c>
      <c r="C21" s="181" t="s">
        <v>190</v>
      </c>
      <c r="D21" s="182"/>
      <c r="E21" s="184"/>
      <c r="F21" s="183"/>
      <c r="G21" s="1005"/>
      <c r="H21" s="1005"/>
      <c r="I21" s="1006">
        <v>1</v>
      </c>
      <c r="J21" s="184"/>
      <c r="K21" s="184"/>
      <c r="L21" s="451">
        <v>1</v>
      </c>
      <c r="M21" s="184"/>
      <c r="N21" s="184"/>
      <c r="O21" s="184"/>
      <c r="P21" s="133"/>
    </row>
    <row r="22" spans="1:16" s="574" customFormat="1" ht="30" x14ac:dyDescent="0.25">
      <c r="A22" s="1023"/>
      <c r="B22" s="986" t="s">
        <v>485</v>
      </c>
      <c r="C22" s="848" t="s">
        <v>190</v>
      </c>
      <c r="D22" s="849"/>
      <c r="E22" s="850"/>
      <c r="F22" s="851"/>
      <c r="G22" s="1007"/>
      <c r="H22" s="1007"/>
      <c r="I22" s="1008"/>
      <c r="J22" s="850"/>
      <c r="K22" s="850"/>
      <c r="L22" s="852"/>
      <c r="M22" s="850"/>
      <c r="N22" s="850">
        <f>467873.3+26453</f>
        <v>494326.3</v>
      </c>
      <c r="O22" s="850"/>
      <c r="P22" s="733"/>
    </row>
    <row r="23" spans="1:16" ht="15.75" hidden="1" customHeight="1" x14ac:dyDescent="0.25">
      <c r="A23" s="734"/>
      <c r="B23" s="740" t="s">
        <v>233</v>
      </c>
      <c r="C23" s="181" t="s">
        <v>190</v>
      </c>
      <c r="D23" s="182"/>
      <c r="E23" s="184"/>
      <c r="F23" s="183"/>
      <c r="G23" s="1005"/>
      <c r="H23" s="1005"/>
      <c r="I23" s="1006" t="e">
        <f t="shared" ref="I23:I25" si="3">H23/G23</f>
        <v>#DIV/0!</v>
      </c>
      <c r="J23" s="184"/>
      <c r="K23" s="184"/>
      <c r="L23" s="451"/>
      <c r="M23" s="184"/>
      <c r="N23" s="184"/>
      <c r="O23" s="184"/>
      <c r="P23" s="133"/>
    </row>
    <row r="24" spans="1:16" ht="30" hidden="1" x14ac:dyDescent="0.25">
      <c r="A24" s="734"/>
      <c r="B24" s="740" t="s">
        <v>406</v>
      </c>
      <c r="C24" s="181" t="s">
        <v>190</v>
      </c>
      <c r="D24" s="182"/>
      <c r="E24" s="184"/>
      <c r="F24" s="183"/>
      <c r="G24" s="1005"/>
      <c r="H24" s="1005"/>
      <c r="I24" s="1006" t="e">
        <f t="shared" si="3"/>
        <v>#DIV/0!</v>
      </c>
      <c r="J24" s="184"/>
      <c r="K24" s="184"/>
      <c r="L24" s="451"/>
      <c r="M24" s="184"/>
      <c r="N24" s="184"/>
      <c r="O24" s="184"/>
      <c r="P24" s="815"/>
    </row>
    <row r="25" spans="1:16" s="574" customFormat="1" x14ac:dyDescent="0.25">
      <c r="A25" s="979"/>
      <c r="B25" s="986" t="s">
        <v>582</v>
      </c>
      <c r="C25" s="848" t="s">
        <v>190</v>
      </c>
      <c r="D25" s="849"/>
      <c r="E25" s="850"/>
      <c r="F25" s="851"/>
      <c r="G25" s="1007">
        <v>28270564</v>
      </c>
      <c r="H25" s="1007">
        <f>10000+50200+340079+11435+14050+129940</f>
        <v>555704</v>
      </c>
      <c r="I25" s="1008">
        <f t="shared" si="3"/>
        <v>1.9656629418500458E-2</v>
      </c>
      <c r="J25" s="850"/>
      <c r="K25" s="850"/>
      <c r="L25" s="852"/>
      <c r="M25" s="850"/>
      <c r="N25" s="850"/>
      <c r="O25" s="850"/>
      <c r="P25" s="996" t="s">
        <v>585</v>
      </c>
    </row>
    <row r="26" spans="1:16" s="574" customFormat="1" ht="30" hidden="1" x14ac:dyDescent="0.25">
      <c r="A26" s="734"/>
      <c r="B26" s="740" t="s">
        <v>486</v>
      </c>
      <c r="C26" s="181" t="s">
        <v>190</v>
      </c>
      <c r="D26" s="182"/>
      <c r="E26" s="184"/>
      <c r="F26" s="183"/>
      <c r="G26" s="1005"/>
      <c r="H26" s="1005"/>
      <c r="I26" s="1006" t="e">
        <f>H26/G26</f>
        <v>#DIV/0!</v>
      </c>
      <c r="J26" s="184"/>
      <c r="K26" s="184"/>
      <c r="L26" s="451"/>
      <c r="M26" s="184"/>
      <c r="N26" s="184"/>
      <c r="O26" s="184"/>
      <c r="P26" s="815"/>
    </row>
    <row r="27" spans="1:16" hidden="1" x14ac:dyDescent="0.25">
      <c r="A27" s="734"/>
      <c r="B27" s="740" t="s">
        <v>457</v>
      </c>
      <c r="C27" s="181" t="s">
        <v>190</v>
      </c>
      <c r="D27" s="182"/>
      <c r="E27" s="184"/>
      <c r="F27" s="183"/>
      <c r="G27" s="1005"/>
      <c r="H27" s="1005"/>
      <c r="I27" s="1006">
        <v>1</v>
      </c>
      <c r="J27" s="184"/>
      <c r="K27" s="184"/>
      <c r="L27" s="451"/>
      <c r="M27" s="184"/>
      <c r="N27" s="184"/>
      <c r="O27" s="184"/>
      <c r="P27" s="133"/>
    </row>
    <row r="28" spans="1:16" hidden="1" x14ac:dyDescent="0.25">
      <c r="A28" s="734"/>
      <c r="B28" s="740" t="s">
        <v>201</v>
      </c>
      <c r="C28" s="741" t="s">
        <v>190</v>
      </c>
      <c r="D28" s="182"/>
      <c r="E28" s="184"/>
      <c r="F28" s="183"/>
      <c r="G28" s="1005"/>
      <c r="H28" s="1005"/>
      <c r="I28" s="1006">
        <v>1</v>
      </c>
      <c r="J28" s="184"/>
      <c r="K28" s="184"/>
      <c r="L28" s="451"/>
      <c r="M28" s="184"/>
      <c r="N28" s="184"/>
      <c r="O28" s="184"/>
      <c r="P28" s="133"/>
    </row>
    <row r="29" spans="1:16" hidden="1" x14ac:dyDescent="0.25">
      <c r="A29" s="734"/>
      <c r="B29" s="261"/>
      <c r="C29" s="181"/>
      <c r="D29" s="182"/>
      <c r="E29" s="184"/>
      <c r="F29" s="183"/>
      <c r="G29" s="1009"/>
      <c r="H29" s="1005"/>
      <c r="I29" s="1010"/>
      <c r="J29" s="184"/>
      <c r="K29" s="184"/>
      <c r="L29" s="183"/>
      <c r="M29" s="184"/>
      <c r="N29" s="184"/>
      <c r="O29" s="184"/>
      <c r="P29" s="133"/>
    </row>
    <row r="30" spans="1:16" hidden="1" x14ac:dyDescent="0.25">
      <c r="A30" s="734"/>
      <c r="B30" s="261"/>
      <c r="C30" s="181"/>
      <c r="D30" s="182"/>
      <c r="E30" s="184"/>
      <c r="F30" s="183"/>
      <c r="G30" s="1009"/>
      <c r="H30" s="1005"/>
      <c r="I30" s="1010"/>
      <c r="J30" s="184"/>
      <c r="K30" s="184"/>
      <c r="L30" s="183"/>
      <c r="M30" s="184"/>
      <c r="N30" s="184"/>
      <c r="O30" s="184"/>
      <c r="P30" s="133"/>
    </row>
    <row r="31" spans="1:16" s="113" customFormat="1" ht="43.5" x14ac:dyDescent="0.25">
      <c r="A31" s="945" t="s">
        <v>148</v>
      </c>
      <c r="B31" s="939" t="s">
        <v>107</v>
      </c>
      <c r="C31" s="930"/>
      <c r="D31" s="931" t="s">
        <v>30</v>
      </c>
      <c r="E31" s="932">
        <f>E32+E48+E51</f>
        <v>2081090</v>
      </c>
      <c r="F31" s="933" t="s">
        <v>30</v>
      </c>
      <c r="G31" s="931" t="s">
        <v>30</v>
      </c>
      <c r="H31" s="932">
        <f>H32+H48+H51</f>
        <v>-17850170.280000001</v>
      </c>
      <c r="I31" s="933" t="s">
        <v>30</v>
      </c>
      <c r="J31" s="932" t="s">
        <v>30</v>
      </c>
      <c r="K31" s="932">
        <f>K32+K48+K51</f>
        <v>-326480.44</v>
      </c>
      <c r="L31" s="933" t="s">
        <v>30</v>
      </c>
      <c r="M31" s="932">
        <f>E31+H31+K31</f>
        <v>-16095560.720000001</v>
      </c>
      <c r="N31" s="932">
        <f>N32+N48+N51</f>
        <v>0</v>
      </c>
      <c r="O31" s="932">
        <f>O32+O48+O51</f>
        <v>0</v>
      </c>
      <c r="P31" s="934"/>
    </row>
    <row r="32" spans="1:16" s="958" customFormat="1" ht="45" x14ac:dyDescent="0.25">
      <c r="A32" s="951" t="s">
        <v>150</v>
      </c>
      <c r="B32" s="952" t="s">
        <v>113</v>
      </c>
      <c r="C32" s="953"/>
      <c r="D32" s="954" t="s">
        <v>30</v>
      </c>
      <c r="E32" s="955">
        <f>SUM(E33:E47)</f>
        <v>2081090</v>
      </c>
      <c r="F32" s="956" t="s">
        <v>30</v>
      </c>
      <c r="G32" s="954" t="s">
        <v>30</v>
      </c>
      <c r="H32" s="955">
        <f>SUM(H33:H47)</f>
        <v>-17398875.359999999</v>
      </c>
      <c r="I32" s="956" t="s">
        <v>30</v>
      </c>
      <c r="J32" s="955" t="s">
        <v>30</v>
      </c>
      <c r="K32" s="955">
        <f>SUM(K33:K47)</f>
        <v>0</v>
      </c>
      <c r="L32" s="956" t="s">
        <v>30</v>
      </c>
      <c r="M32" s="955">
        <f>E32+H32+K32</f>
        <v>-15317785.359999999</v>
      </c>
      <c r="N32" s="955">
        <f>SUM(N33:N47)</f>
        <v>0</v>
      </c>
      <c r="O32" s="955">
        <f>SUM(O33:O47)</f>
        <v>0</v>
      </c>
      <c r="P32" s="957"/>
    </row>
    <row r="33" spans="1:16" s="113" customFormat="1" x14ac:dyDescent="0.25">
      <c r="A33" s="959"/>
      <c r="B33" s="941" t="s">
        <v>227</v>
      </c>
      <c r="C33" s="935" t="s">
        <v>191</v>
      </c>
      <c r="D33" s="928">
        <f>367383085</f>
        <v>367383085</v>
      </c>
      <c r="E33" s="928">
        <f>4874449-413577</f>
        <v>4460872</v>
      </c>
      <c r="F33" s="937">
        <v>1</v>
      </c>
      <c r="G33" s="1011">
        <v>87263368</v>
      </c>
      <c r="H33" s="1011">
        <v>-293434.34000000003</v>
      </c>
      <c r="I33" s="1012">
        <f t="shared" ref="I33:I34" si="4">H33/G33</f>
        <v>-3.3626290931149942E-3</v>
      </c>
      <c r="J33" s="928"/>
      <c r="K33" s="928"/>
      <c r="L33" s="937"/>
      <c r="M33" s="928"/>
      <c r="N33" s="928"/>
      <c r="O33" s="928"/>
      <c r="P33" s="934"/>
    </row>
    <row r="34" spans="1:16" s="574" customFormat="1" x14ac:dyDescent="0.25">
      <c r="A34" s="979"/>
      <c r="B34" s="986" t="s">
        <v>280</v>
      </c>
      <c r="C34" s="848" t="s">
        <v>191</v>
      </c>
      <c r="D34" s="850">
        <f>22639496+233523095</f>
        <v>256162591</v>
      </c>
      <c r="E34" s="850">
        <f>-167336+10210</f>
        <v>-157126</v>
      </c>
      <c r="F34" s="852">
        <f>E34/D34</f>
        <v>-6.133838644691098E-4</v>
      </c>
      <c r="G34" s="1007">
        <v>168133457</v>
      </c>
      <c r="H34" s="1007">
        <f>50-17699643.84</f>
        <v>-17699593.84</v>
      </c>
      <c r="I34" s="1012">
        <f t="shared" si="4"/>
        <v>-0.10527109925539686</v>
      </c>
      <c r="J34" s="850"/>
      <c r="K34" s="850"/>
      <c r="L34" s="851"/>
      <c r="M34" s="850"/>
      <c r="N34" s="850"/>
      <c r="O34" s="850"/>
      <c r="P34" s="733"/>
    </row>
    <row r="35" spans="1:16" s="574" customFormat="1" x14ac:dyDescent="0.25">
      <c r="A35" s="979"/>
      <c r="B35" s="986" t="s">
        <v>255</v>
      </c>
      <c r="C35" s="848" t="s">
        <v>191</v>
      </c>
      <c r="D35" s="850">
        <v>58478076</v>
      </c>
      <c r="E35" s="850">
        <v>228746</v>
      </c>
      <c r="F35" s="852">
        <f>E35/D35</f>
        <v>3.9116540017493052E-3</v>
      </c>
      <c r="G35" s="1007">
        <v>58478076</v>
      </c>
      <c r="H35" s="1007">
        <v>-614733.28</v>
      </c>
      <c r="I35" s="1008">
        <f>H35/G35</f>
        <v>-1.0512200846005947E-2</v>
      </c>
      <c r="J35" s="850"/>
      <c r="K35" s="850"/>
      <c r="L35" s="851"/>
      <c r="M35" s="850"/>
      <c r="N35" s="850"/>
      <c r="O35" s="850"/>
      <c r="P35" s="733"/>
    </row>
    <row r="36" spans="1:16" s="574" customFormat="1" x14ac:dyDescent="0.25">
      <c r="A36" s="979"/>
      <c r="B36" s="986" t="s">
        <v>581</v>
      </c>
      <c r="C36" s="848" t="s">
        <v>191</v>
      </c>
      <c r="D36" s="850"/>
      <c r="E36" s="850"/>
      <c r="F36" s="852"/>
      <c r="G36" s="1007">
        <v>20432739</v>
      </c>
      <c r="H36" s="1007">
        <f>-35730-15000+1267685.1+100</f>
        <v>1217055.1000000001</v>
      </c>
      <c r="I36" s="1008">
        <f>H36/G36</f>
        <v>5.9563972309341399E-2</v>
      </c>
      <c r="J36" s="850"/>
      <c r="K36" s="850"/>
      <c r="L36" s="851"/>
      <c r="M36" s="850"/>
      <c r="N36" s="850"/>
      <c r="O36" s="850"/>
      <c r="P36" s="733" t="s">
        <v>585</v>
      </c>
    </row>
    <row r="37" spans="1:16" s="574" customFormat="1" x14ac:dyDescent="0.25">
      <c r="A37" s="1020"/>
      <c r="B37" s="863" t="s">
        <v>184</v>
      </c>
      <c r="C37" s="848" t="s">
        <v>191</v>
      </c>
      <c r="D37" s="850">
        <f>25506837+2723135</f>
        <v>28229972</v>
      </c>
      <c r="E37" s="850">
        <f>-91792-221377</f>
        <v>-313169</v>
      </c>
      <c r="F37" s="852">
        <f>E37/D37</f>
        <v>-1.109349311433961E-2</v>
      </c>
      <c r="G37" s="1007"/>
      <c r="H37" s="1007"/>
      <c r="I37" s="1012"/>
      <c r="J37" s="850"/>
      <c r="K37" s="850"/>
      <c r="L37" s="851"/>
      <c r="M37" s="850"/>
      <c r="N37" s="850"/>
      <c r="O37" s="850"/>
      <c r="P37" s="733"/>
    </row>
    <row r="38" spans="1:16" s="574" customFormat="1" ht="45" hidden="1" x14ac:dyDescent="0.25">
      <c r="A38" s="734"/>
      <c r="B38" s="261" t="s">
        <v>253</v>
      </c>
      <c r="C38" s="181" t="s">
        <v>191</v>
      </c>
      <c r="D38" s="184"/>
      <c r="E38" s="184"/>
      <c r="F38" s="451" t="e">
        <f>E38/D38</f>
        <v>#DIV/0!</v>
      </c>
      <c r="G38" s="1005"/>
      <c r="H38" s="1005"/>
      <c r="I38" s="1010"/>
      <c r="J38" s="184"/>
      <c r="K38" s="184"/>
      <c r="L38" s="183"/>
      <c r="M38" s="184"/>
      <c r="N38" s="184"/>
      <c r="O38" s="184"/>
      <c r="P38" s="133"/>
    </row>
    <row r="39" spans="1:16" s="574" customFormat="1" x14ac:dyDescent="0.25">
      <c r="A39" s="1020"/>
      <c r="B39" s="863" t="s">
        <v>254</v>
      </c>
      <c r="C39" s="848" t="s">
        <v>191</v>
      </c>
      <c r="D39" s="850">
        <f>13626393+19711263</f>
        <v>33337656</v>
      </c>
      <c r="E39" s="850">
        <f>-2344473+2373754</f>
        <v>29281</v>
      </c>
      <c r="F39" s="852">
        <f>E39/D39</f>
        <v>8.7831609996815612E-4</v>
      </c>
      <c r="G39" s="1007"/>
      <c r="H39" s="1007"/>
      <c r="I39" s="1012"/>
      <c r="J39" s="850"/>
      <c r="K39" s="850"/>
      <c r="L39" s="851"/>
      <c r="M39" s="850"/>
      <c r="N39" s="850"/>
      <c r="O39" s="850"/>
      <c r="P39" s="733"/>
    </row>
    <row r="40" spans="1:16" ht="42" hidden="1" customHeight="1" x14ac:dyDescent="0.25">
      <c r="A40" s="734"/>
      <c r="B40" s="261" t="s">
        <v>296</v>
      </c>
      <c r="C40" s="181" t="s">
        <v>191</v>
      </c>
      <c r="D40" s="184"/>
      <c r="E40" s="184"/>
      <c r="F40" s="183">
        <v>1</v>
      </c>
      <c r="G40" s="1005"/>
      <c r="H40" s="1005"/>
      <c r="I40" s="1010" t="e">
        <f t="shared" ref="I40:I41" si="5">H40/G40</f>
        <v>#DIV/0!</v>
      </c>
      <c r="J40" s="184"/>
      <c r="K40" s="184"/>
      <c r="L40" s="183"/>
      <c r="M40" s="184"/>
      <c r="N40" s="184"/>
      <c r="O40" s="184"/>
      <c r="P40" s="133"/>
    </row>
    <row r="41" spans="1:16" hidden="1" x14ac:dyDescent="0.25">
      <c r="A41" s="734"/>
      <c r="B41" s="261" t="s">
        <v>326</v>
      </c>
      <c r="C41" s="181" t="s">
        <v>191</v>
      </c>
      <c r="D41" s="184"/>
      <c r="E41" s="184"/>
      <c r="F41" s="183"/>
      <c r="G41" s="1005"/>
      <c r="H41" s="1005"/>
      <c r="I41" s="1010" t="e">
        <f t="shared" si="5"/>
        <v>#DIV/0!</v>
      </c>
      <c r="J41" s="184"/>
      <c r="K41" s="184"/>
      <c r="L41" s="183"/>
      <c r="M41" s="184"/>
      <c r="N41" s="184"/>
      <c r="O41" s="184"/>
      <c r="P41" s="133"/>
    </row>
    <row r="42" spans="1:16" s="574" customFormat="1" hidden="1" x14ac:dyDescent="0.25">
      <c r="A42" s="734"/>
      <c r="B42" s="261" t="s">
        <v>402</v>
      </c>
      <c r="C42" s="181" t="s">
        <v>191</v>
      </c>
      <c r="D42" s="184"/>
      <c r="E42" s="184"/>
      <c r="F42" s="183"/>
      <c r="G42" s="1005"/>
      <c r="H42" s="1005"/>
      <c r="I42" s="1006"/>
      <c r="J42" s="184"/>
      <c r="K42" s="184"/>
      <c r="L42" s="183"/>
      <c r="M42" s="184"/>
      <c r="N42" s="184"/>
      <c r="O42" s="184"/>
      <c r="P42" s="133"/>
    </row>
    <row r="43" spans="1:16" s="574" customFormat="1" x14ac:dyDescent="0.25">
      <c r="A43" s="1020"/>
      <c r="B43" s="863" t="s">
        <v>597</v>
      </c>
      <c r="C43" s="848" t="s">
        <v>191</v>
      </c>
      <c r="D43" s="850">
        <v>7139352</v>
      </c>
      <c r="E43" s="850">
        <v>-2270898</v>
      </c>
      <c r="F43" s="851">
        <f t="shared" ref="F43:F44" si="6">E43/D43</f>
        <v>-0.31808180910536421</v>
      </c>
      <c r="G43" s="1007"/>
      <c r="H43" s="1007"/>
      <c r="I43" s="1008"/>
      <c r="J43" s="850"/>
      <c r="K43" s="850"/>
      <c r="L43" s="851"/>
      <c r="M43" s="850"/>
      <c r="N43" s="850"/>
      <c r="O43" s="850"/>
      <c r="P43" s="733"/>
    </row>
    <row r="44" spans="1:16" s="574" customFormat="1" x14ac:dyDescent="0.25">
      <c r="A44" s="979"/>
      <c r="B44" s="863" t="s">
        <v>213</v>
      </c>
      <c r="C44" s="848" t="s">
        <v>191</v>
      </c>
      <c r="D44" s="850">
        <v>3957219</v>
      </c>
      <c r="E44" s="850">
        <v>169473</v>
      </c>
      <c r="F44" s="851">
        <f t="shared" si="6"/>
        <v>4.2826287855183144E-2</v>
      </c>
      <c r="G44" s="1007">
        <v>6366839</v>
      </c>
      <c r="H44" s="1007">
        <v>-8169</v>
      </c>
      <c r="I44" s="1008">
        <f>H44/G44</f>
        <v>-1.2830542754418636E-3</v>
      </c>
      <c r="J44" s="850"/>
      <c r="K44" s="850"/>
      <c r="L44" s="851"/>
      <c r="M44" s="850"/>
      <c r="N44" s="850"/>
      <c r="O44" s="850"/>
      <c r="P44" s="733"/>
    </row>
    <row r="45" spans="1:16" ht="30" hidden="1" x14ac:dyDescent="0.25">
      <c r="A45" s="734"/>
      <c r="B45" s="261" t="s">
        <v>224</v>
      </c>
      <c r="C45" s="181" t="s">
        <v>191</v>
      </c>
      <c r="D45" s="184"/>
      <c r="E45" s="184"/>
      <c r="F45" s="851"/>
      <c r="G45" s="1005"/>
      <c r="H45" s="1005"/>
      <c r="I45" s="1006">
        <v>1</v>
      </c>
      <c r="J45" s="184"/>
      <c r="K45" s="184"/>
      <c r="L45" s="183"/>
      <c r="M45" s="184"/>
      <c r="N45" s="184"/>
      <c r="O45" s="184"/>
      <c r="P45" s="133"/>
    </row>
    <row r="46" spans="1:16" s="574" customFormat="1" x14ac:dyDescent="0.25">
      <c r="A46" s="1020"/>
      <c r="B46" s="863" t="s">
        <v>225</v>
      </c>
      <c r="C46" s="848" t="s">
        <v>191</v>
      </c>
      <c r="D46" s="850">
        <f>738720+1828288+49939+99735</f>
        <v>2716682</v>
      </c>
      <c r="E46" s="850">
        <f>-49939-16150</f>
        <v>-66089</v>
      </c>
      <c r="F46" s="851">
        <f>E46/D46</f>
        <v>-2.4327101957461343E-2</v>
      </c>
      <c r="G46" s="1007"/>
      <c r="H46" s="1007"/>
      <c r="I46" s="1008"/>
      <c r="J46" s="850"/>
      <c r="K46" s="850"/>
      <c r="L46" s="851"/>
      <c r="M46" s="850"/>
      <c r="N46" s="850"/>
      <c r="O46" s="850"/>
      <c r="P46" s="733"/>
    </row>
    <row r="47" spans="1:16" hidden="1" x14ac:dyDescent="0.25">
      <c r="A47" s="734"/>
      <c r="B47" s="261" t="s">
        <v>274</v>
      </c>
      <c r="C47" s="181" t="s">
        <v>191</v>
      </c>
      <c r="D47" s="184"/>
      <c r="E47" s="184"/>
      <c r="F47" s="183" t="e">
        <f>E47/D47</f>
        <v>#DIV/0!</v>
      </c>
      <c r="G47" s="1005"/>
      <c r="H47" s="1005"/>
      <c r="I47" s="1006"/>
      <c r="J47" s="184"/>
      <c r="K47" s="184"/>
      <c r="L47" s="183"/>
      <c r="M47" s="184"/>
      <c r="N47" s="184"/>
      <c r="O47" s="184"/>
      <c r="P47" s="133"/>
    </row>
    <row r="48" spans="1:16" ht="45" hidden="1" x14ac:dyDescent="0.25">
      <c r="A48" s="742" t="s">
        <v>151</v>
      </c>
      <c r="B48" s="783" t="s">
        <v>114</v>
      </c>
      <c r="C48" s="784"/>
      <c r="D48" s="785" t="s">
        <v>30</v>
      </c>
      <c r="E48" s="787">
        <f>SUM(E49:E50)</f>
        <v>0</v>
      </c>
      <c r="F48" s="786" t="s">
        <v>30</v>
      </c>
      <c r="G48" s="785" t="s">
        <v>30</v>
      </c>
      <c r="H48" s="787">
        <f>SUM(H49:H50)</f>
        <v>0</v>
      </c>
      <c r="I48" s="786" t="s">
        <v>30</v>
      </c>
      <c r="J48" s="787" t="s">
        <v>30</v>
      </c>
      <c r="K48" s="787">
        <f>SUM(K49:K50)</f>
        <v>0</v>
      </c>
      <c r="L48" s="786" t="s">
        <v>30</v>
      </c>
      <c r="M48" s="787"/>
      <c r="N48" s="787">
        <f t="shared" ref="N48:O48" si="7">SUM(N49:N50)</f>
        <v>0</v>
      </c>
      <c r="O48" s="787">
        <f t="shared" si="7"/>
        <v>0</v>
      </c>
      <c r="P48" s="133"/>
    </row>
    <row r="49" spans="1:16" hidden="1" x14ac:dyDescent="0.25">
      <c r="A49" s="734"/>
      <c r="B49" s="261"/>
      <c r="C49" s="181"/>
      <c r="D49" s="182"/>
      <c r="E49" s="184"/>
      <c r="F49" s="183"/>
      <c r="G49" s="1009"/>
      <c r="H49" s="1005"/>
      <c r="I49" s="1010"/>
      <c r="J49" s="184"/>
      <c r="K49" s="184"/>
      <c r="L49" s="183"/>
      <c r="M49" s="184"/>
      <c r="N49" s="184"/>
      <c r="O49" s="184"/>
      <c r="P49" s="133"/>
    </row>
    <row r="50" spans="1:16" hidden="1" x14ac:dyDescent="0.25">
      <c r="A50" s="734"/>
      <c r="B50" s="261"/>
      <c r="C50" s="181"/>
      <c r="D50" s="182"/>
      <c r="E50" s="184"/>
      <c r="F50" s="183"/>
      <c r="G50" s="1009"/>
      <c r="H50" s="1005"/>
      <c r="I50" s="1010"/>
      <c r="J50" s="184"/>
      <c r="K50" s="184"/>
      <c r="L50" s="183"/>
      <c r="M50" s="184"/>
      <c r="N50" s="184"/>
      <c r="O50" s="184"/>
      <c r="P50" s="133"/>
    </row>
    <row r="51" spans="1:16" s="608" customFormat="1" ht="45" x14ac:dyDescent="0.25">
      <c r="A51" s="987" t="s">
        <v>152</v>
      </c>
      <c r="B51" s="988" t="s">
        <v>115</v>
      </c>
      <c r="C51" s="843"/>
      <c r="D51" s="844" t="s">
        <v>30</v>
      </c>
      <c r="E51" s="845">
        <f>SUM(E52:E57)</f>
        <v>0</v>
      </c>
      <c r="F51" s="846" t="s">
        <v>30</v>
      </c>
      <c r="G51" s="844" t="s">
        <v>30</v>
      </c>
      <c r="H51" s="845">
        <f>SUM(H52:H57)</f>
        <v>-451294.92</v>
      </c>
      <c r="I51" s="846" t="s">
        <v>30</v>
      </c>
      <c r="J51" s="845" t="s">
        <v>30</v>
      </c>
      <c r="K51" s="845">
        <f>SUM(K52:K57)</f>
        <v>-326480.44</v>
      </c>
      <c r="L51" s="846" t="s">
        <v>30</v>
      </c>
      <c r="M51" s="845">
        <f>E51+H51+K51</f>
        <v>-777775.36</v>
      </c>
      <c r="N51" s="845">
        <f t="shared" ref="N51:O51" si="8">SUM(N52:N57)</f>
        <v>0</v>
      </c>
      <c r="O51" s="845">
        <f t="shared" si="8"/>
        <v>0</v>
      </c>
      <c r="P51" s="880"/>
    </row>
    <row r="52" spans="1:16" s="574" customFormat="1" hidden="1" x14ac:dyDescent="0.25">
      <c r="A52" s="734"/>
      <c r="B52" s="261" t="s">
        <v>298</v>
      </c>
      <c r="C52" s="181" t="s">
        <v>195</v>
      </c>
      <c r="D52" s="182"/>
      <c r="E52" s="184"/>
      <c r="F52" s="183"/>
      <c r="G52" s="1005"/>
      <c r="H52" s="1005"/>
      <c r="I52" s="1010" t="e">
        <f>H52/G52</f>
        <v>#DIV/0!</v>
      </c>
      <c r="J52" s="184"/>
      <c r="K52" s="184"/>
      <c r="L52" s="183"/>
      <c r="M52" s="184"/>
      <c r="N52" s="184"/>
      <c r="O52" s="184"/>
      <c r="P52" s="133"/>
    </row>
    <row r="53" spans="1:16" s="574" customFormat="1" x14ac:dyDescent="0.25">
      <c r="A53" s="979"/>
      <c r="B53" s="863" t="s">
        <v>580</v>
      </c>
      <c r="C53" s="848" t="s">
        <v>191</v>
      </c>
      <c r="D53" s="849"/>
      <c r="E53" s="850"/>
      <c r="F53" s="851"/>
      <c r="G53" s="1007">
        <v>41377612</v>
      </c>
      <c r="H53" s="1007">
        <v>-451294.92</v>
      </c>
      <c r="I53" s="1012">
        <v>1</v>
      </c>
      <c r="J53" s="850"/>
      <c r="K53" s="850"/>
      <c r="L53" s="851"/>
      <c r="M53" s="850"/>
      <c r="N53" s="850"/>
      <c r="O53" s="850"/>
      <c r="P53" s="733"/>
    </row>
    <row r="54" spans="1:16" s="574" customFormat="1" ht="30" hidden="1" x14ac:dyDescent="0.25">
      <c r="A54" s="734"/>
      <c r="B54" s="261" t="s">
        <v>224</v>
      </c>
      <c r="C54" s="848" t="s">
        <v>191</v>
      </c>
      <c r="D54" s="182">
        <v>0</v>
      </c>
      <c r="E54" s="184"/>
      <c r="F54" s="183"/>
      <c r="G54" s="1005"/>
      <c r="H54" s="1005"/>
      <c r="I54" s="1010">
        <v>1</v>
      </c>
      <c r="J54" s="184"/>
      <c r="K54" s="184"/>
      <c r="L54" s="183"/>
      <c r="M54" s="184"/>
      <c r="N54" s="184"/>
      <c r="O54" s="184"/>
      <c r="P54" s="133"/>
    </row>
    <row r="55" spans="1:16" s="574" customFormat="1" x14ac:dyDescent="0.25">
      <c r="A55" s="1020"/>
      <c r="B55" s="986" t="s">
        <v>305</v>
      </c>
      <c r="C55" s="848" t="s">
        <v>191</v>
      </c>
      <c r="D55" s="849"/>
      <c r="E55" s="850"/>
      <c r="F55" s="851"/>
      <c r="G55" s="1007"/>
      <c r="H55" s="1007"/>
      <c r="I55" s="1012"/>
      <c r="J55" s="850">
        <v>517000</v>
      </c>
      <c r="K55" s="850">
        <v>-326480.44</v>
      </c>
      <c r="L55" s="852">
        <f>K55/J55</f>
        <v>-0.6314902127659574</v>
      </c>
      <c r="M55" s="850"/>
      <c r="N55" s="850"/>
      <c r="O55" s="850"/>
      <c r="P55" s="733"/>
    </row>
    <row r="56" spans="1:16" s="574" customFormat="1" hidden="1" x14ac:dyDescent="0.25">
      <c r="A56" s="734"/>
      <c r="B56" s="261" t="s">
        <v>302</v>
      </c>
      <c r="C56" s="181" t="s">
        <v>191</v>
      </c>
      <c r="D56" s="184"/>
      <c r="E56" s="184"/>
      <c r="F56" s="183" t="e">
        <f>E56/D56</f>
        <v>#DIV/0!</v>
      </c>
      <c r="G56" s="1005"/>
      <c r="H56" s="1005"/>
      <c r="I56" s="1010" t="e">
        <f>H56/G56</f>
        <v>#DIV/0!</v>
      </c>
      <c r="J56" s="184"/>
      <c r="K56" s="184"/>
      <c r="L56" s="183"/>
      <c r="M56" s="184"/>
      <c r="N56" s="184"/>
      <c r="O56" s="184"/>
      <c r="P56" s="133"/>
    </row>
    <row r="57" spans="1:16" s="574" customFormat="1" hidden="1" x14ac:dyDescent="0.25">
      <c r="A57" s="734"/>
      <c r="B57" s="261" t="s">
        <v>304</v>
      </c>
      <c r="C57" s="181" t="s">
        <v>191</v>
      </c>
      <c r="D57" s="182"/>
      <c r="E57" s="184"/>
      <c r="F57" s="183"/>
      <c r="G57" s="1005"/>
      <c r="H57" s="1005"/>
      <c r="I57" s="1010">
        <v>1</v>
      </c>
      <c r="J57" s="184"/>
      <c r="K57" s="184"/>
      <c r="L57" s="183"/>
      <c r="M57" s="184"/>
      <c r="N57" s="184"/>
      <c r="O57" s="184"/>
      <c r="P57" s="133"/>
    </row>
    <row r="58" spans="1:16" s="574" customFormat="1" ht="43.5" x14ac:dyDescent="0.25">
      <c r="A58" s="743" t="s">
        <v>153</v>
      </c>
      <c r="B58" s="939" t="s">
        <v>116</v>
      </c>
      <c r="C58" s="930"/>
      <c r="D58" s="931" t="s">
        <v>30</v>
      </c>
      <c r="E58" s="932">
        <f>E59+E80</f>
        <v>49082525</v>
      </c>
      <c r="F58" s="933" t="s">
        <v>30</v>
      </c>
      <c r="G58" s="931" t="s">
        <v>30</v>
      </c>
      <c r="H58" s="932">
        <f>H59+H80</f>
        <v>-118111</v>
      </c>
      <c r="I58" s="933" t="s">
        <v>30</v>
      </c>
      <c r="J58" s="932" t="s">
        <v>30</v>
      </c>
      <c r="K58" s="932">
        <f>K59+K80</f>
        <v>20311</v>
      </c>
      <c r="L58" s="931" t="s">
        <v>30</v>
      </c>
      <c r="M58" s="932">
        <f>E58+H58+K58</f>
        <v>48984725</v>
      </c>
      <c r="N58" s="932">
        <f>N59+N80</f>
        <v>0</v>
      </c>
      <c r="O58" s="932">
        <f>O59+O80</f>
        <v>0</v>
      </c>
      <c r="P58" s="934"/>
    </row>
    <row r="59" spans="1:16" s="608" customFormat="1" ht="45" x14ac:dyDescent="0.25">
      <c r="A59" s="744" t="s">
        <v>154</v>
      </c>
      <c r="B59" s="952" t="s">
        <v>117</v>
      </c>
      <c r="C59" s="953"/>
      <c r="D59" s="954" t="s">
        <v>30</v>
      </c>
      <c r="E59" s="955">
        <f>SUM(E60:E79)</f>
        <v>49082525</v>
      </c>
      <c r="F59" s="956" t="s">
        <v>30</v>
      </c>
      <c r="G59" s="954" t="s">
        <v>30</v>
      </c>
      <c r="H59" s="955">
        <f>SUM(H60:H79)</f>
        <v>-32426</v>
      </c>
      <c r="I59" s="956" t="s">
        <v>30</v>
      </c>
      <c r="J59" s="955" t="s">
        <v>30</v>
      </c>
      <c r="K59" s="955">
        <f>SUM(K60:K79)</f>
        <v>20311</v>
      </c>
      <c r="L59" s="956" t="s">
        <v>30</v>
      </c>
      <c r="M59" s="955">
        <f>E59+H59+K59</f>
        <v>49070410</v>
      </c>
      <c r="N59" s="955">
        <f t="shared" ref="N59:O59" si="9">SUM(N60:N79)</f>
        <v>0</v>
      </c>
      <c r="O59" s="955">
        <f t="shared" si="9"/>
        <v>0</v>
      </c>
      <c r="P59" s="957"/>
    </row>
    <row r="60" spans="1:16" hidden="1" x14ac:dyDescent="0.25">
      <c r="A60" s="734"/>
      <c r="B60" s="261" t="s">
        <v>598</v>
      </c>
      <c r="C60" s="181" t="s">
        <v>197</v>
      </c>
      <c r="D60" s="182"/>
      <c r="E60" s="184"/>
      <c r="F60" s="451" t="e">
        <f t="shared" ref="F60" si="10">E60/D60</f>
        <v>#DIV/0!</v>
      </c>
      <c r="G60" s="1005"/>
      <c r="H60" s="1005"/>
      <c r="I60" s="1006"/>
      <c r="J60" s="184"/>
      <c r="K60" s="184"/>
      <c r="L60" s="451"/>
      <c r="M60" s="184"/>
      <c r="N60" s="184"/>
      <c r="O60" s="184"/>
      <c r="P60" s="133"/>
    </row>
    <row r="61" spans="1:16" s="574" customFormat="1" x14ac:dyDescent="0.25">
      <c r="A61" s="1020"/>
      <c r="B61" s="863" t="s">
        <v>569</v>
      </c>
      <c r="C61" s="848" t="s">
        <v>197</v>
      </c>
      <c r="D61" s="849"/>
      <c r="E61" s="850"/>
      <c r="F61" s="451"/>
      <c r="G61" s="1007">
        <v>4842140</v>
      </c>
      <c r="H61" s="1007">
        <v>-32426</v>
      </c>
      <c r="I61" s="1008">
        <f>H61/G61</f>
        <v>-6.6966258720317874E-3</v>
      </c>
      <c r="J61" s="850">
        <v>628060</v>
      </c>
      <c r="K61" s="850">
        <v>20311</v>
      </c>
      <c r="L61" s="1008">
        <f>K61/J61</f>
        <v>3.2339266949017613E-2</v>
      </c>
      <c r="M61" s="850"/>
      <c r="N61" s="850"/>
      <c r="O61" s="850"/>
      <c r="P61" s="733"/>
    </row>
    <row r="62" spans="1:16" s="574" customFormat="1" x14ac:dyDescent="0.25">
      <c r="A62" s="1020"/>
      <c r="B62" s="863" t="s">
        <v>275</v>
      </c>
      <c r="C62" s="848" t="s">
        <v>197</v>
      </c>
      <c r="D62" s="850">
        <v>1486243</v>
      </c>
      <c r="E62" s="850">
        <v>43071</v>
      </c>
      <c r="F62" s="852">
        <f>E62/D62</f>
        <v>2.8979783252133063E-2</v>
      </c>
      <c r="G62" s="1007"/>
      <c r="H62" s="1007"/>
      <c r="I62" s="1008"/>
      <c r="J62" s="850"/>
      <c r="K62" s="850"/>
      <c r="L62" s="852"/>
      <c r="M62" s="850"/>
      <c r="N62" s="850"/>
      <c r="O62" s="850"/>
      <c r="P62" s="733"/>
    </row>
    <row r="63" spans="1:16" ht="45" hidden="1" x14ac:dyDescent="0.25">
      <c r="A63" s="734"/>
      <c r="B63" s="261" t="s">
        <v>297</v>
      </c>
      <c r="C63" s="181" t="s">
        <v>197</v>
      </c>
      <c r="D63" s="184"/>
      <c r="E63" s="184"/>
      <c r="F63" s="451" t="e">
        <f>E63/D63</f>
        <v>#DIV/0!</v>
      </c>
      <c r="G63" s="1009"/>
      <c r="H63" s="1005"/>
      <c r="I63" s="1006"/>
      <c r="J63" s="184"/>
      <c r="K63" s="184"/>
      <c r="L63" s="451"/>
      <c r="M63" s="184"/>
      <c r="N63" s="184"/>
      <c r="O63" s="184"/>
      <c r="P63" s="133"/>
    </row>
    <row r="64" spans="1:16" s="574" customFormat="1" x14ac:dyDescent="0.25">
      <c r="A64" s="1020"/>
      <c r="B64" s="863" t="s">
        <v>258</v>
      </c>
      <c r="C64" s="848" t="s">
        <v>197</v>
      </c>
      <c r="D64" s="850">
        <v>1486243</v>
      </c>
      <c r="E64" s="850">
        <v>24498</v>
      </c>
      <c r="F64" s="852">
        <f t="shared" ref="F64:F79" si="11">E64/D64</f>
        <v>1.6483172670956229E-2</v>
      </c>
      <c r="G64" s="853"/>
      <c r="H64" s="1007"/>
      <c r="I64" s="1008"/>
      <c r="J64" s="850"/>
      <c r="K64" s="850"/>
      <c r="L64" s="852"/>
      <c r="M64" s="850"/>
      <c r="N64" s="850"/>
      <c r="O64" s="850"/>
      <c r="P64" s="733"/>
    </row>
    <row r="65" spans="1:16" s="574" customFormat="1" ht="30" x14ac:dyDescent="0.25">
      <c r="A65" s="1020"/>
      <c r="B65" s="863" t="s">
        <v>219</v>
      </c>
      <c r="C65" s="848" t="s">
        <v>220</v>
      </c>
      <c r="D65" s="849">
        <f>606000+74588976</f>
        <v>75194976</v>
      </c>
      <c r="E65" s="850">
        <f>-30000-36894476</f>
        <v>-36924476</v>
      </c>
      <c r="F65" s="852">
        <f t="shared" si="11"/>
        <v>-0.49104977438918257</v>
      </c>
      <c r="G65" s="853"/>
      <c r="H65" s="1007"/>
      <c r="I65" s="1008"/>
      <c r="J65" s="850"/>
      <c r="K65" s="850"/>
      <c r="L65" s="852"/>
      <c r="M65" s="850"/>
      <c r="N65" s="850"/>
      <c r="O65" s="850"/>
      <c r="P65" s="733"/>
    </row>
    <row r="66" spans="1:16" ht="30" hidden="1" x14ac:dyDescent="0.25">
      <c r="A66" s="734"/>
      <c r="B66" s="261" t="s">
        <v>257</v>
      </c>
      <c r="C66" s="181" t="s">
        <v>197</v>
      </c>
      <c r="D66" s="182"/>
      <c r="E66" s="184"/>
      <c r="F66" s="451" t="e">
        <f t="shared" si="11"/>
        <v>#DIV/0!</v>
      </c>
      <c r="G66" s="1009"/>
      <c r="H66" s="1005"/>
      <c r="I66" s="1006"/>
      <c r="J66" s="184"/>
      <c r="K66" s="184"/>
      <c r="L66" s="451"/>
      <c r="M66" s="184"/>
      <c r="N66" s="184"/>
      <c r="O66" s="184"/>
      <c r="P66" s="133"/>
    </row>
    <row r="67" spans="1:16" s="574" customFormat="1" ht="30" x14ac:dyDescent="0.25">
      <c r="A67" s="1020"/>
      <c r="B67" s="863" t="s">
        <v>259</v>
      </c>
      <c r="C67" s="848" t="s">
        <v>197</v>
      </c>
      <c r="D67" s="849">
        <f>82817118</f>
        <v>82817118</v>
      </c>
      <c r="E67" s="850">
        <f>235.54+1076043+491784.46</f>
        <v>1568063</v>
      </c>
      <c r="F67" s="852">
        <f t="shared" si="11"/>
        <v>1.8934044529296468E-2</v>
      </c>
      <c r="G67" s="853"/>
      <c r="H67" s="1007"/>
      <c r="I67" s="1008"/>
      <c r="J67" s="850"/>
      <c r="K67" s="850"/>
      <c r="L67" s="852"/>
      <c r="M67" s="850"/>
      <c r="N67" s="850"/>
      <c r="O67" s="850"/>
      <c r="P67" s="733"/>
    </row>
    <row r="68" spans="1:16" s="574" customFormat="1" ht="30" x14ac:dyDescent="0.25">
      <c r="A68" s="1020"/>
      <c r="B68" s="863" t="s">
        <v>260</v>
      </c>
      <c r="C68" s="848" t="s">
        <v>197</v>
      </c>
      <c r="D68" s="849">
        <f>26241000+65834649+1382940</f>
        <v>93458589</v>
      </c>
      <c r="E68" s="850">
        <f>-2205119+1552351+174247</f>
        <v>-478521</v>
      </c>
      <c r="F68" s="852">
        <f t="shared" si="11"/>
        <v>-5.1201393592621002E-3</v>
      </c>
      <c r="G68" s="853"/>
      <c r="H68" s="1007"/>
      <c r="I68" s="1008"/>
      <c r="J68" s="850"/>
      <c r="K68" s="850"/>
      <c r="L68" s="852"/>
      <c r="M68" s="850"/>
      <c r="N68" s="850"/>
      <c r="O68" s="850"/>
      <c r="P68" s="733"/>
    </row>
    <row r="69" spans="1:16" s="574" customFormat="1" ht="30" x14ac:dyDescent="0.25">
      <c r="A69" s="1020"/>
      <c r="B69" s="863" t="s">
        <v>261</v>
      </c>
      <c r="C69" s="848" t="s">
        <v>197</v>
      </c>
      <c r="D69" s="849">
        <v>38122000</v>
      </c>
      <c r="E69" s="850">
        <f>-80000</f>
        <v>-80000</v>
      </c>
      <c r="F69" s="852">
        <f t="shared" si="11"/>
        <v>-2.0985257856355908E-3</v>
      </c>
      <c r="G69" s="853"/>
      <c r="H69" s="1007"/>
      <c r="I69" s="1008"/>
      <c r="J69" s="850"/>
      <c r="K69" s="850"/>
      <c r="L69" s="852"/>
      <c r="M69" s="850"/>
      <c r="N69" s="850"/>
      <c r="O69" s="850"/>
      <c r="P69" s="733"/>
    </row>
    <row r="70" spans="1:16" s="574" customFormat="1" x14ac:dyDescent="0.25">
      <c r="A70" s="1020"/>
      <c r="B70" s="863" t="s">
        <v>262</v>
      </c>
      <c r="C70" s="848" t="s">
        <v>197</v>
      </c>
      <c r="D70" s="849">
        <f>23468+20000000</f>
        <v>20023468</v>
      </c>
      <c r="E70" s="850">
        <f>-63150+2782</f>
        <v>-60368</v>
      </c>
      <c r="F70" s="852">
        <f t="shared" si="11"/>
        <v>-3.0148623605061819E-3</v>
      </c>
      <c r="G70" s="853"/>
      <c r="H70" s="1007"/>
      <c r="I70" s="1008"/>
      <c r="J70" s="850"/>
      <c r="K70" s="850"/>
      <c r="L70" s="852"/>
      <c r="M70" s="850"/>
      <c r="N70" s="850"/>
      <c r="O70" s="850"/>
      <c r="P70" s="733"/>
    </row>
    <row r="71" spans="1:16" s="574" customFormat="1" ht="30" x14ac:dyDescent="0.25">
      <c r="A71" s="1020"/>
      <c r="B71" s="863" t="s">
        <v>405</v>
      </c>
      <c r="C71" s="848" t="s">
        <v>195</v>
      </c>
      <c r="D71" s="849">
        <f>165900+62860600</f>
        <v>63026500</v>
      </c>
      <c r="E71" s="850">
        <f>-147000+91122675</f>
        <v>90975675</v>
      </c>
      <c r="F71" s="852">
        <f t="shared" si="11"/>
        <v>1.4434511673661079</v>
      </c>
      <c r="G71" s="853"/>
      <c r="H71" s="1007"/>
      <c r="I71" s="1008"/>
      <c r="J71" s="850"/>
      <c r="K71" s="850"/>
      <c r="L71" s="852"/>
      <c r="M71" s="850"/>
      <c r="N71" s="850"/>
      <c r="O71" s="850"/>
      <c r="P71" s="733"/>
    </row>
    <row r="72" spans="1:16" ht="30" hidden="1" x14ac:dyDescent="0.25">
      <c r="A72" s="734"/>
      <c r="B72" s="261" t="s">
        <v>264</v>
      </c>
      <c r="C72" s="181" t="s">
        <v>221</v>
      </c>
      <c r="D72" s="182"/>
      <c r="E72" s="184"/>
      <c r="F72" s="451" t="e">
        <f t="shared" si="11"/>
        <v>#DIV/0!</v>
      </c>
      <c r="G72" s="1009"/>
      <c r="H72" s="1005"/>
      <c r="I72" s="1006"/>
      <c r="J72" s="184"/>
      <c r="K72" s="184"/>
      <c r="L72" s="451"/>
      <c r="M72" s="184"/>
      <c r="N72" s="184"/>
      <c r="O72" s="184"/>
      <c r="P72" s="133"/>
    </row>
    <row r="73" spans="1:16" s="574" customFormat="1" x14ac:dyDescent="0.25">
      <c r="A73" s="1020"/>
      <c r="B73" s="863" t="s">
        <v>271</v>
      </c>
      <c r="C73" s="848" t="s">
        <v>221</v>
      </c>
      <c r="D73" s="849">
        <v>295538</v>
      </c>
      <c r="E73" s="850">
        <v>-168000</v>
      </c>
      <c r="F73" s="852">
        <f t="shared" si="11"/>
        <v>-0.5684548179929485</v>
      </c>
      <c r="G73" s="853"/>
      <c r="H73" s="1007"/>
      <c r="I73" s="1008"/>
      <c r="J73" s="850"/>
      <c r="K73" s="850"/>
      <c r="L73" s="852"/>
      <c r="M73" s="850"/>
      <c r="N73" s="850"/>
      <c r="O73" s="850"/>
      <c r="P73" s="733"/>
    </row>
    <row r="74" spans="1:16" s="574" customFormat="1" ht="60" x14ac:dyDescent="0.25">
      <c r="A74" s="1020"/>
      <c r="B74" s="863" t="s">
        <v>312</v>
      </c>
      <c r="C74" s="848" t="s">
        <v>221</v>
      </c>
      <c r="D74" s="849">
        <f>2430720+20081000</f>
        <v>22511720</v>
      </c>
      <c r="E74" s="850">
        <f>-252983-2497100</f>
        <v>-2750083</v>
      </c>
      <c r="F74" s="852">
        <f t="shared" si="11"/>
        <v>-0.12216227813778778</v>
      </c>
      <c r="G74" s="853"/>
      <c r="H74" s="1007"/>
      <c r="I74" s="1008"/>
      <c r="J74" s="850"/>
      <c r="K74" s="850"/>
      <c r="L74" s="852"/>
      <c r="M74" s="850"/>
      <c r="N74" s="850"/>
      <c r="O74" s="850"/>
      <c r="P74" s="733"/>
    </row>
    <row r="75" spans="1:16" s="574" customFormat="1" x14ac:dyDescent="0.25">
      <c r="A75" s="1020"/>
      <c r="B75" s="863" t="s">
        <v>599</v>
      </c>
      <c r="C75" s="848" t="s">
        <v>220</v>
      </c>
      <c r="D75" s="849">
        <v>4415930</v>
      </c>
      <c r="E75" s="850">
        <v>-794850</v>
      </c>
      <c r="F75" s="852">
        <f t="shared" si="11"/>
        <v>-0.17999605972014954</v>
      </c>
      <c r="G75" s="853"/>
      <c r="H75" s="1007"/>
      <c r="I75" s="1008"/>
      <c r="J75" s="850"/>
      <c r="K75" s="850"/>
      <c r="L75" s="852"/>
      <c r="M75" s="850"/>
      <c r="N75" s="850"/>
      <c r="O75" s="850"/>
      <c r="P75" s="733"/>
    </row>
    <row r="76" spans="1:16" s="574" customFormat="1" ht="45" x14ac:dyDescent="0.25">
      <c r="A76" s="1020"/>
      <c r="B76" s="863" t="s">
        <v>266</v>
      </c>
      <c r="C76" s="848" t="s">
        <v>220</v>
      </c>
      <c r="D76" s="849">
        <v>47233646</v>
      </c>
      <c r="E76" s="850">
        <f>-2462484</f>
        <v>-2462484</v>
      </c>
      <c r="F76" s="852">
        <f t="shared" si="11"/>
        <v>-5.2134107961938826E-2</v>
      </c>
      <c r="G76" s="853"/>
      <c r="H76" s="1007"/>
      <c r="I76" s="1008"/>
      <c r="J76" s="850"/>
      <c r="K76" s="850"/>
      <c r="L76" s="852"/>
      <c r="M76" s="850"/>
      <c r="N76" s="850"/>
      <c r="O76" s="850"/>
      <c r="P76" s="733"/>
    </row>
    <row r="77" spans="1:16" s="574" customFormat="1" ht="30" hidden="1" x14ac:dyDescent="0.25">
      <c r="A77" s="734"/>
      <c r="B77" s="261" t="s">
        <v>586</v>
      </c>
      <c r="C77" s="181" t="s">
        <v>220</v>
      </c>
      <c r="D77" s="182"/>
      <c r="E77" s="184"/>
      <c r="F77" s="451" t="e">
        <f t="shared" si="11"/>
        <v>#DIV/0!</v>
      </c>
      <c r="G77" s="1009"/>
      <c r="H77" s="1005"/>
      <c r="I77" s="1006"/>
      <c r="J77" s="184"/>
      <c r="K77" s="184"/>
      <c r="L77" s="451"/>
      <c r="M77" s="184"/>
      <c r="N77" s="184"/>
      <c r="O77" s="184"/>
      <c r="P77" s="133"/>
    </row>
    <row r="78" spans="1:16" s="574" customFormat="1" x14ac:dyDescent="0.25">
      <c r="A78" s="1020"/>
      <c r="B78" s="863" t="s">
        <v>263</v>
      </c>
      <c r="C78" s="848" t="s">
        <v>220</v>
      </c>
      <c r="D78" s="849">
        <v>29531200</v>
      </c>
      <c r="E78" s="850">
        <v>-450000</v>
      </c>
      <c r="F78" s="852">
        <f t="shared" si="11"/>
        <v>-1.5238121038088531E-2</v>
      </c>
      <c r="G78" s="853"/>
      <c r="H78" s="1007"/>
      <c r="I78" s="1008"/>
      <c r="J78" s="850"/>
      <c r="K78" s="850"/>
      <c r="L78" s="852"/>
      <c r="M78" s="850"/>
      <c r="N78" s="850"/>
      <c r="O78" s="850"/>
      <c r="P78" s="733"/>
    </row>
    <row r="79" spans="1:16" s="574" customFormat="1" x14ac:dyDescent="0.25">
      <c r="A79" s="1020"/>
      <c r="B79" s="863" t="s">
        <v>483</v>
      </c>
      <c r="C79" s="848" t="s">
        <v>220</v>
      </c>
      <c r="D79" s="849">
        <v>1660000</v>
      </c>
      <c r="E79" s="850">
        <v>640000</v>
      </c>
      <c r="F79" s="852">
        <f t="shared" si="11"/>
        <v>0.38554216867469882</v>
      </c>
      <c r="G79" s="853"/>
      <c r="H79" s="1007"/>
      <c r="I79" s="1008"/>
      <c r="J79" s="850"/>
      <c r="K79" s="850"/>
      <c r="L79" s="852"/>
      <c r="M79" s="850"/>
      <c r="N79" s="850"/>
      <c r="O79" s="850"/>
      <c r="P79" s="733"/>
    </row>
    <row r="80" spans="1:16" s="574" customFormat="1" ht="45" x14ac:dyDescent="0.25">
      <c r="A80" s="997" t="s">
        <v>155</v>
      </c>
      <c r="B80" s="998" t="s">
        <v>118</v>
      </c>
      <c r="C80" s="999"/>
      <c r="D80" s="1000" t="s">
        <v>30</v>
      </c>
      <c r="E80" s="1001">
        <f>SUM(E81:E82)</f>
        <v>0</v>
      </c>
      <c r="F80" s="1002" t="s">
        <v>30</v>
      </c>
      <c r="G80" s="1000" t="s">
        <v>30</v>
      </c>
      <c r="H80" s="1001">
        <f>SUM(H81:H82)</f>
        <v>-85685</v>
      </c>
      <c r="I80" s="1002" t="s">
        <v>30</v>
      </c>
      <c r="J80" s="1001" t="s">
        <v>30</v>
      </c>
      <c r="K80" s="1001">
        <f>SUM(K81:K82)</f>
        <v>0</v>
      </c>
      <c r="L80" s="1002" t="s">
        <v>30</v>
      </c>
      <c r="M80" s="1001">
        <f>H80+K80+E80</f>
        <v>-85685</v>
      </c>
      <c r="N80" s="1001">
        <f t="shared" ref="N80:O80" si="12">SUM(N81:N82)</f>
        <v>0</v>
      </c>
      <c r="O80" s="1001">
        <f t="shared" si="12"/>
        <v>0</v>
      </c>
      <c r="P80" s="733"/>
    </row>
    <row r="81" spans="1:16" s="574" customFormat="1" x14ac:dyDescent="0.25">
      <c r="A81" s="979"/>
      <c r="B81" s="863" t="s">
        <v>186</v>
      </c>
      <c r="C81" s="848" t="s">
        <v>191</v>
      </c>
      <c r="D81" s="849"/>
      <c r="E81" s="850"/>
      <c r="F81" s="851"/>
      <c r="G81" s="1007"/>
      <c r="H81" s="1007">
        <f>-11435-14050-60200</f>
        <v>-85685</v>
      </c>
      <c r="I81" s="1008">
        <v>0</v>
      </c>
      <c r="J81" s="850"/>
      <c r="K81" s="850"/>
      <c r="L81" s="851"/>
      <c r="M81" s="850"/>
      <c r="N81" s="850"/>
      <c r="O81" s="850"/>
      <c r="P81" s="733"/>
    </row>
    <row r="82" spans="1:16" s="574" customFormat="1" hidden="1" x14ac:dyDescent="0.25">
      <c r="A82" s="979"/>
      <c r="B82" s="863"/>
      <c r="C82" s="848"/>
      <c r="D82" s="849"/>
      <c r="E82" s="850"/>
      <c r="F82" s="851"/>
      <c r="G82" s="853"/>
      <c r="H82" s="1007"/>
      <c r="I82" s="1012"/>
      <c r="J82" s="850"/>
      <c r="K82" s="850"/>
      <c r="L82" s="851"/>
      <c r="M82" s="850"/>
      <c r="N82" s="850"/>
      <c r="O82" s="850"/>
      <c r="P82" s="733"/>
    </row>
    <row r="83" spans="1:16" hidden="1" x14ac:dyDescent="0.25">
      <c r="A83" s="743" t="s">
        <v>156</v>
      </c>
      <c r="B83" s="745" t="s">
        <v>119</v>
      </c>
      <c r="C83" s="746"/>
      <c r="D83" s="301" t="s">
        <v>30</v>
      </c>
      <c r="E83" s="782">
        <f>E84</f>
        <v>0</v>
      </c>
      <c r="F83" s="303" t="s">
        <v>30</v>
      </c>
      <c r="G83" s="301" t="s">
        <v>30</v>
      </c>
      <c r="H83" s="782">
        <f>H84</f>
        <v>0</v>
      </c>
      <c r="I83" s="303" t="s">
        <v>30</v>
      </c>
      <c r="J83" s="782" t="s">
        <v>30</v>
      </c>
      <c r="K83" s="782">
        <f>K84</f>
        <v>0</v>
      </c>
      <c r="L83" s="301" t="s">
        <v>30</v>
      </c>
      <c r="M83" s="782"/>
      <c r="N83" s="782">
        <f t="shared" ref="N83:O83" si="13">N84</f>
        <v>0</v>
      </c>
      <c r="O83" s="782">
        <f t="shared" si="13"/>
        <v>0</v>
      </c>
      <c r="P83" s="133"/>
    </row>
    <row r="84" spans="1:16" ht="45" hidden="1" x14ac:dyDescent="0.25">
      <c r="A84" s="734"/>
      <c r="B84" s="133" t="s">
        <v>228</v>
      </c>
      <c r="C84" s="181" t="s">
        <v>197</v>
      </c>
      <c r="D84" s="182"/>
      <c r="E84" s="184"/>
      <c r="F84" s="183"/>
      <c r="G84" s="1009">
        <v>8500</v>
      </c>
      <c r="H84" s="1005"/>
      <c r="I84" s="1010">
        <f>H84/G84</f>
        <v>0</v>
      </c>
      <c r="J84" s="184"/>
      <c r="K84" s="184"/>
      <c r="L84" s="183"/>
      <c r="M84" s="184"/>
      <c r="N84" s="184"/>
      <c r="O84" s="184"/>
      <c r="P84" s="133"/>
    </row>
    <row r="85" spans="1:16" hidden="1" x14ac:dyDescent="0.25">
      <c r="A85" s="734"/>
      <c r="B85" s="133"/>
      <c r="C85" s="181"/>
      <c r="D85" s="182"/>
      <c r="E85" s="184"/>
      <c r="F85" s="183"/>
      <c r="G85" s="1009"/>
      <c r="H85" s="1005"/>
      <c r="I85" s="1010"/>
      <c r="J85" s="184"/>
      <c r="K85" s="184"/>
      <c r="L85" s="183"/>
      <c r="M85" s="184"/>
      <c r="N85" s="184"/>
      <c r="O85" s="184"/>
      <c r="P85" s="133"/>
    </row>
    <row r="86" spans="1:16" s="365" customFormat="1" ht="52.5" customHeight="1" x14ac:dyDescent="0.25">
      <c r="A86" s="747" t="s">
        <v>157</v>
      </c>
      <c r="B86" s="878" t="s">
        <v>120</v>
      </c>
      <c r="C86" s="870"/>
      <c r="D86" s="856" t="s">
        <v>30</v>
      </c>
      <c r="E86" s="857">
        <f>E87+E89+E91+E94</f>
        <v>0</v>
      </c>
      <c r="F86" s="871" t="s">
        <v>30</v>
      </c>
      <c r="G86" s="856" t="s">
        <v>30</v>
      </c>
      <c r="H86" s="857">
        <f>H87+H89+H91+H94</f>
        <v>-560826</v>
      </c>
      <c r="I86" s="871" t="s">
        <v>30</v>
      </c>
      <c r="J86" s="857" t="s">
        <v>30</v>
      </c>
      <c r="K86" s="857">
        <f>K87+K89+K91+K94</f>
        <v>-164778</v>
      </c>
      <c r="L86" s="856" t="s">
        <v>30</v>
      </c>
      <c r="M86" s="857">
        <f>E86+H86+K86</f>
        <v>-725604</v>
      </c>
      <c r="N86" s="857">
        <f>N87+N89+N91+N94</f>
        <v>0</v>
      </c>
      <c r="O86" s="857">
        <f>O87+O89+O91+O94</f>
        <v>0</v>
      </c>
      <c r="P86" s="879"/>
    </row>
    <row r="87" spans="1:16" s="365" customFormat="1" ht="75" hidden="1" x14ac:dyDescent="0.25">
      <c r="A87" s="747" t="s">
        <v>158</v>
      </c>
      <c r="B87" s="788" t="s">
        <v>121</v>
      </c>
      <c r="C87" s="789"/>
      <c r="D87" s="790" t="s">
        <v>30</v>
      </c>
      <c r="E87" s="792">
        <f>SUM(E88:E88)</f>
        <v>0</v>
      </c>
      <c r="F87" s="791" t="s">
        <v>30</v>
      </c>
      <c r="G87" s="790" t="s">
        <v>30</v>
      </c>
      <c r="H87" s="792">
        <f>SUM(H88:H88)</f>
        <v>0</v>
      </c>
      <c r="I87" s="791" t="s">
        <v>30</v>
      </c>
      <c r="J87" s="792" t="s">
        <v>30</v>
      </c>
      <c r="K87" s="792">
        <f>SUM(K88:K88)</f>
        <v>0</v>
      </c>
      <c r="L87" s="791" t="s">
        <v>30</v>
      </c>
      <c r="M87" s="793">
        <f>E87+H87+K87</f>
        <v>0</v>
      </c>
      <c r="N87" s="792">
        <f>SUM(N88:N88)</f>
        <v>0</v>
      </c>
      <c r="O87" s="792">
        <f>SUM(O88:O88)</f>
        <v>0</v>
      </c>
      <c r="P87" s="748"/>
    </row>
    <row r="88" spans="1:16" s="365" customFormat="1" ht="30" hidden="1" x14ac:dyDescent="0.25">
      <c r="A88" s="747"/>
      <c r="B88" s="749" t="s">
        <v>235</v>
      </c>
      <c r="C88" s="750"/>
      <c r="D88" s="751"/>
      <c r="E88" s="760"/>
      <c r="F88" s="752"/>
      <c r="G88" s="1009"/>
      <c r="H88" s="1005"/>
      <c r="I88" s="1010">
        <v>0</v>
      </c>
      <c r="J88" s="760"/>
      <c r="K88" s="760"/>
      <c r="L88" s="752"/>
      <c r="M88" s="760"/>
      <c r="N88" s="760"/>
      <c r="O88" s="760"/>
      <c r="P88" s="753"/>
    </row>
    <row r="89" spans="1:16" s="396" customFormat="1" ht="60" x14ac:dyDescent="0.25">
      <c r="A89" s="747" t="s">
        <v>159</v>
      </c>
      <c r="B89" s="873" t="s">
        <v>122</v>
      </c>
      <c r="C89" s="874"/>
      <c r="D89" s="875" t="s">
        <v>30</v>
      </c>
      <c r="E89" s="876">
        <f>SUM(E90:E90)</f>
        <v>0</v>
      </c>
      <c r="F89" s="877" t="s">
        <v>30</v>
      </c>
      <c r="G89" s="875" t="s">
        <v>30</v>
      </c>
      <c r="H89" s="876">
        <f>SUM(H90:H90)</f>
        <v>-560826</v>
      </c>
      <c r="I89" s="877" t="s">
        <v>30</v>
      </c>
      <c r="J89" s="876" t="s">
        <v>30</v>
      </c>
      <c r="K89" s="876">
        <f>SUM(K90:K90)</f>
        <v>0</v>
      </c>
      <c r="L89" s="877" t="s">
        <v>30</v>
      </c>
      <c r="M89" s="876">
        <f>E89+H89+K89</f>
        <v>-560826</v>
      </c>
      <c r="N89" s="876">
        <f>SUM(N90:N90)</f>
        <v>0</v>
      </c>
      <c r="O89" s="876">
        <f>SUM(O90:O90)</f>
        <v>0</v>
      </c>
      <c r="P89" s="866"/>
    </row>
    <row r="90" spans="1:16" ht="45" x14ac:dyDescent="0.25">
      <c r="A90" s="734"/>
      <c r="B90" s="847" t="s">
        <v>252</v>
      </c>
      <c r="C90" s="848" t="s">
        <v>195</v>
      </c>
      <c r="D90" s="849"/>
      <c r="E90" s="850"/>
      <c r="F90" s="851">
        <v>0</v>
      </c>
      <c r="G90" s="853">
        <v>900000</v>
      </c>
      <c r="H90" s="1007">
        <v>-560826</v>
      </c>
      <c r="I90" s="1008">
        <f>H90/G90</f>
        <v>-0.62314000000000003</v>
      </c>
      <c r="J90" s="850"/>
      <c r="K90" s="850"/>
      <c r="L90" s="851"/>
      <c r="M90" s="850"/>
      <c r="N90" s="850"/>
      <c r="O90" s="850"/>
      <c r="P90" s="733"/>
    </row>
    <row r="91" spans="1:16" s="213" customFormat="1" ht="60" x14ac:dyDescent="0.25">
      <c r="A91" s="744" t="s">
        <v>160</v>
      </c>
      <c r="B91" s="842" t="s">
        <v>123</v>
      </c>
      <c r="C91" s="843"/>
      <c r="D91" s="844">
        <f>SUM(D93:D93)</f>
        <v>0</v>
      </c>
      <c r="E91" s="845">
        <f>SUM(E93:E93)</f>
        <v>0</v>
      </c>
      <c r="F91" s="846" t="s">
        <v>30</v>
      </c>
      <c r="G91" s="844">
        <f>SUM(G93:G93)</f>
        <v>0</v>
      </c>
      <c r="H91" s="845">
        <f>SUM(H93:H93)</f>
        <v>0</v>
      </c>
      <c r="I91" s="846" t="s">
        <v>30</v>
      </c>
      <c r="J91" s="845" t="s">
        <v>30</v>
      </c>
      <c r="K91" s="845">
        <f>SUM(K92:K93)</f>
        <v>-164778</v>
      </c>
      <c r="L91" s="846" t="s">
        <v>30</v>
      </c>
      <c r="M91" s="845">
        <f>E91+H91+K91</f>
        <v>-164778</v>
      </c>
      <c r="N91" s="844">
        <f>SUM(N93:N93)</f>
        <v>0</v>
      </c>
      <c r="O91" s="844">
        <f>SUM(O93:O93)</f>
        <v>0</v>
      </c>
      <c r="P91" s="748"/>
    </row>
    <row r="92" spans="1:16" s="213" customFormat="1" ht="30" x14ac:dyDescent="0.25">
      <c r="A92" s="744"/>
      <c r="B92" s="847" t="s">
        <v>528</v>
      </c>
      <c r="C92" s="848" t="s">
        <v>195</v>
      </c>
      <c r="D92" s="849"/>
      <c r="E92" s="850"/>
      <c r="F92" s="851"/>
      <c r="G92" s="1007"/>
      <c r="H92" s="1007"/>
      <c r="I92" s="1008"/>
      <c r="J92" s="849">
        <v>1764654</v>
      </c>
      <c r="K92" s="850">
        <v>222</v>
      </c>
      <c r="L92" s="851">
        <f>K92/J92</f>
        <v>1.2580369862873967E-4</v>
      </c>
      <c r="M92" s="850"/>
      <c r="N92" s="850"/>
      <c r="O92" s="850"/>
      <c r="P92" s="133"/>
    </row>
    <row r="93" spans="1:16" s="213" customFormat="1" ht="30" x14ac:dyDescent="0.25">
      <c r="A93" s="744"/>
      <c r="B93" s="847" t="s">
        <v>518</v>
      </c>
      <c r="C93" s="848" t="s">
        <v>195</v>
      </c>
      <c r="D93" s="849"/>
      <c r="E93" s="850"/>
      <c r="F93" s="851"/>
      <c r="G93" s="1007"/>
      <c r="H93" s="1007"/>
      <c r="I93" s="1008"/>
      <c r="J93" s="853">
        <v>742618</v>
      </c>
      <c r="K93" s="850">
        <v>-165000</v>
      </c>
      <c r="L93" s="851">
        <f>K93/J93</f>
        <v>-0.22218691170965421</v>
      </c>
      <c r="M93" s="850"/>
      <c r="N93" s="850"/>
      <c r="O93" s="850"/>
      <c r="P93" s="133"/>
    </row>
    <row r="94" spans="1:16" s="213" customFormat="1" ht="60" hidden="1" customHeight="1" x14ac:dyDescent="0.25">
      <c r="A94" s="744" t="s">
        <v>161</v>
      </c>
      <c r="B94" s="402" t="s">
        <v>124</v>
      </c>
      <c r="C94" s="403"/>
      <c r="D94" s="404" t="s">
        <v>30</v>
      </c>
      <c r="E94" s="759">
        <f>SUM(E95:E95)</f>
        <v>0</v>
      </c>
      <c r="F94" s="405" t="s">
        <v>30</v>
      </c>
      <c r="G94" s="404" t="s">
        <v>30</v>
      </c>
      <c r="H94" s="759">
        <f>SUM(H95:H95)</f>
        <v>0</v>
      </c>
      <c r="I94" s="405" t="s">
        <v>30</v>
      </c>
      <c r="J94" s="759" t="s">
        <v>30</v>
      </c>
      <c r="K94" s="759">
        <f>SUM(K95:K95)</f>
        <v>0</v>
      </c>
      <c r="L94" s="405" t="s">
        <v>30</v>
      </c>
      <c r="M94" s="759">
        <f>E94+H94+K94</f>
        <v>0</v>
      </c>
      <c r="N94" s="759">
        <f>SUM(N95:N95)</f>
        <v>0</v>
      </c>
      <c r="O94" s="759">
        <f>SUM(O95:O95)</f>
        <v>0</v>
      </c>
      <c r="P94" s="748"/>
    </row>
    <row r="95" spans="1:16" ht="15" hidden="1" customHeight="1" x14ac:dyDescent="0.25">
      <c r="A95" s="734"/>
      <c r="B95" s="749" t="s">
        <v>482</v>
      </c>
      <c r="C95" s="181"/>
      <c r="D95" s="182"/>
      <c r="E95" s="184"/>
      <c r="F95" s="183"/>
      <c r="G95" s="1005">
        <v>0</v>
      </c>
      <c r="H95" s="1005"/>
      <c r="I95" s="1006">
        <v>1</v>
      </c>
      <c r="J95" s="184"/>
      <c r="K95" s="184"/>
      <c r="L95" s="183"/>
      <c r="M95" s="184"/>
      <c r="N95" s="184"/>
      <c r="O95" s="184"/>
      <c r="P95" s="133"/>
    </row>
    <row r="96" spans="1:16" ht="72" hidden="1" x14ac:dyDescent="0.25">
      <c r="A96" s="743" t="s">
        <v>162</v>
      </c>
      <c r="B96" s="443" t="s">
        <v>125</v>
      </c>
      <c r="C96" s="746"/>
      <c r="D96" s="301" t="s">
        <v>30</v>
      </c>
      <c r="E96" s="782">
        <f>E97+E99+E101+E105</f>
        <v>0</v>
      </c>
      <c r="F96" s="303" t="s">
        <v>30</v>
      </c>
      <c r="G96" s="301" t="s">
        <v>30</v>
      </c>
      <c r="H96" s="782">
        <f>H97+H99+H101+H105</f>
        <v>0</v>
      </c>
      <c r="I96" s="303" t="s">
        <v>30</v>
      </c>
      <c r="J96" s="782" t="s">
        <v>30</v>
      </c>
      <c r="K96" s="782">
        <f>K97+K99+K101+K105</f>
        <v>0</v>
      </c>
      <c r="L96" s="303" t="s">
        <v>30</v>
      </c>
      <c r="M96" s="782">
        <f>E96+H96+K96</f>
        <v>0</v>
      </c>
      <c r="N96" s="782">
        <f>N97+N99+N101</f>
        <v>0</v>
      </c>
      <c r="O96" s="782">
        <f>O97+O99+O101</f>
        <v>0</v>
      </c>
      <c r="P96" s="133"/>
    </row>
    <row r="97" spans="1:16" ht="60" hidden="1" x14ac:dyDescent="0.25">
      <c r="A97" s="742" t="s">
        <v>163</v>
      </c>
      <c r="B97" s="796" t="s">
        <v>126</v>
      </c>
      <c r="C97" s="784"/>
      <c r="D97" s="785" t="s">
        <v>30</v>
      </c>
      <c r="E97" s="787">
        <f>SUM(E98:E98)</f>
        <v>0</v>
      </c>
      <c r="F97" s="786" t="s">
        <v>30</v>
      </c>
      <c r="G97" s="785" t="s">
        <v>30</v>
      </c>
      <c r="H97" s="787">
        <f>SUM(H98:H98)</f>
        <v>0</v>
      </c>
      <c r="I97" s="786" t="s">
        <v>30</v>
      </c>
      <c r="J97" s="787" t="s">
        <v>30</v>
      </c>
      <c r="K97" s="787">
        <f>SUM(K98:K98)</f>
        <v>0</v>
      </c>
      <c r="L97" s="786" t="s">
        <v>30</v>
      </c>
      <c r="M97" s="787"/>
      <c r="N97" s="787">
        <f>SUM(N98:N98)</f>
        <v>0</v>
      </c>
      <c r="O97" s="787">
        <f>SUM(O98:O98)</f>
        <v>0</v>
      </c>
      <c r="P97" s="748"/>
    </row>
    <row r="98" spans="1:16" hidden="1" x14ac:dyDescent="0.25">
      <c r="A98" s="734"/>
      <c r="B98" s="754"/>
      <c r="C98" s="181"/>
      <c r="D98" s="182"/>
      <c r="E98" s="184"/>
      <c r="F98" s="183"/>
      <c r="G98" s="1009"/>
      <c r="H98" s="1005"/>
      <c r="I98" s="1010"/>
      <c r="J98" s="184"/>
      <c r="K98" s="184"/>
      <c r="L98" s="183"/>
      <c r="M98" s="184"/>
      <c r="N98" s="184"/>
      <c r="O98" s="184"/>
      <c r="P98" s="133"/>
    </row>
    <row r="99" spans="1:16" s="213" customFormat="1" ht="45" hidden="1" x14ac:dyDescent="0.25">
      <c r="A99" s="744" t="s">
        <v>164</v>
      </c>
      <c r="B99" s="788" t="s">
        <v>127</v>
      </c>
      <c r="C99" s="789"/>
      <c r="D99" s="794" t="s">
        <v>30</v>
      </c>
      <c r="E99" s="793">
        <f>SUM(E100:E100)</f>
        <v>0</v>
      </c>
      <c r="F99" s="795" t="s">
        <v>30</v>
      </c>
      <c r="G99" s="794" t="s">
        <v>30</v>
      </c>
      <c r="H99" s="793">
        <f>SUM(H100:H100)</f>
        <v>0</v>
      </c>
      <c r="I99" s="795" t="s">
        <v>30</v>
      </c>
      <c r="J99" s="793" t="s">
        <v>30</v>
      </c>
      <c r="K99" s="793">
        <f>SUM(K100:K100)</f>
        <v>0</v>
      </c>
      <c r="L99" s="795" t="s">
        <v>30</v>
      </c>
      <c r="M99" s="759">
        <f>E99+H99+K99</f>
        <v>0</v>
      </c>
      <c r="N99" s="793">
        <f>SUM(N100:N100)</f>
        <v>0</v>
      </c>
      <c r="O99" s="793">
        <f>SUM(O100:O100)</f>
        <v>0</v>
      </c>
      <c r="P99" s="748"/>
    </row>
    <row r="100" spans="1:16" ht="30" hidden="1" x14ac:dyDescent="0.25">
      <c r="A100" s="734"/>
      <c r="B100" s="749" t="s">
        <v>218</v>
      </c>
      <c r="C100" s="181" t="s">
        <v>195</v>
      </c>
      <c r="D100" s="182"/>
      <c r="E100" s="184"/>
      <c r="F100" s="183">
        <v>1</v>
      </c>
      <c r="G100" s="1009"/>
      <c r="H100" s="1005"/>
      <c r="I100" s="1010"/>
      <c r="J100" s="184"/>
      <c r="K100" s="184"/>
      <c r="L100" s="183"/>
      <c r="M100" s="184"/>
      <c r="N100" s="184"/>
      <c r="O100" s="184"/>
      <c r="P100" s="133"/>
    </row>
    <row r="101" spans="1:16" ht="55.5" hidden="1" customHeight="1" x14ac:dyDescent="0.25">
      <c r="A101" s="742" t="s">
        <v>165</v>
      </c>
      <c r="B101" s="788" t="s">
        <v>128</v>
      </c>
      <c r="C101" s="816"/>
      <c r="D101" s="785" t="s">
        <v>30</v>
      </c>
      <c r="E101" s="787">
        <f>SUM(E102:E104)</f>
        <v>0</v>
      </c>
      <c r="F101" s="786" t="s">
        <v>30</v>
      </c>
      <c r="G101" s="785" t="s">
        <v>30</v>
      </c>
      <c r="H101" s="787">
        <f>SUM(H102:H104)</f>
        <v>0</v>
      </c>
      <c r="I101" s="786" t="s">
        <v>30</v>
      </c>
      <c r="J101" s="787" t="s">
        <v>30</v>
      </c>
      <c r="K101" s="787">
        <f>SUM(K102:K104)</f>
        <v>0</v>
      </c>
      <c r="L101" s="786" t="s">
        <v>30</v>
      </c>
      <c r="M101" s="787"/>
      <c r="N101" s="787">
        <f t="shared" ref="N101:O101" si="14">SUM(N102:N104)</f>
        <v>0</v>
      </c>
      <c r="O101" s="787">
        <f t="shared" si="14"/>
        <v>0</v>
      </c>
      <c r="P101" s="748"/>
    </row>
    <row r="102" spans="1:16" ht="20.25" hidden="1" customHeight="1" x14ac:dyDescent="0.25">
      <c r="A102" s="734"/>
      <c r="B102" s="749" t="s">
        <v>413</v>
      </c>
      <c r="C102" s="181" t="s">
        <v>195</v>
      </c>
      <c r="D102" s="182"/>
      <c r="E102" s="184"/>
      <c r="F102" s="183"/>
      <c r="G102" s="1009"/>
      <c r="H102" s="1005"/>
      <c r="I102" s="1010"/>
      <c r="J102" s="184"/>
      <c r="K102" s="184"/>
      <c r="L102" s="183"/>
      <c r="M102" s="184"/>
      <c r="N102" s="184"/>
      <c r="O102" s="184"/>
      <c r="P102" s="133"/>
    </row>
    <row r="103" spans="1:16" ht="20.25" hidden="1" customHeight="1" x14ac:dyDescent="0.25">
      <c r="A103" s="734"/>
      <c r="B103" s="749" t="s">
        <v>417</v>
      </c>
      <c r="C103" s="181" t="s">
        <v>195</v>
      </c>
      <c r="D103" s="182"/>
      <c r="E103" s="184"/>
      <c r="F103" s="183"/>
      <c r="G103" s="1009"/>
      <c r="H103" s="1005"/>
      <c r="I103" s="1010" t="e">
        <f>H103/G103</f>
        <v>#DIV/0!</v>
      </c>
      <c r="J103" s="184"/>
      <c r="K103" s="184"/>
      <c r="L103" s="183"/>
      <c r="M103" s="184"/>
      <c r="N103" s="184"/>
      <c r="O103" s="184"/>
      <c r="P103" s="133"/>
    </row>
    <row r="104" spans="1:16" ht="16.5" hidden="1" customHeight="1" x14ac:dyDescent="0.25">
      <c r="A104" s="734"/>
      <c r="B104" s="749" t="s">
        <v>416</v>
      </c>
      <c r="C104" s="181" t="s">
        <v>195</v>
      </c>
      <c r="D104" s="182"/>
      <c r="E104" s="184"/>
      <c r="F104" s="183"/>
      <c r="G104" s="1009"/>
      <c r="H104" s="1005"/>
      <c r="I104" s="1010" t="e">
        <f>H104/G104</f>
        <v>#DIV/0!</v>
      </c>
      <c r="J104" s="184"/>
      <c r="K104" s="184"/>
      <c r="L104" s="183"/>
      <c r="M104" s="184"/>
      <c r="N104" s="184"/>
      <c r="O104" s="184"/>
      <c r="P104" s="133"/>
    </row>
    <row r="105" spans="1:16" ht="60" hidden="1" x14ac:dyDescent="0.25">
      <c r="A105" s="734"/>
      <c r="B105" s="788" t="s">
        <v>291</v>
      </c>
      <c r="C105" s="789"/>
      <c r="D105" s="794" t="s">
        <v>30</v>
      </c>
      <c r="E105" s="793">
        <f>SUM(E106:E106)</f>
        <v>0</v>
      </c>
      <c r="F105" s="795" t="s">
        <v>30</v>
      </c>
      <c r="G105" s="794" t="s">
        <v>30</v>
      </c>
      <c r="H105" s="793">
        <f>SUM(H106:H106)</f>
        <v>0</v>
      </c>
      <c r="I105" s="795" t="s">
        <v>30</v>
      </c>
      <c r="J105" s="793" t="s">
        <v>30</v>
      </c>
      <c r="K105" s="793">
        <f>SUM(K106:K106)</f>
        <v>0</v>
      </c>
      <c r="L105" s="795" t="s">
        <v>30</v>
      </c>
      <c r="M105" s="793">
        <f>E105+H105+K105</f>
        <v>0</v>
      </c>
      <c r="N105" s="787"/>
      <c r="O105" s="787"/>
      <c r="P105" s="133"/>
    </row>
    <row r="106" spans="1:16" ht="30" hidden="1" x14ac:dyDescent="0.25">
      <c r="A106" s="734"/>
      <c r="B106" s="749" t="s">
        <v>300</v>
      </c>
      <c r="C106" s="181" t="s">
        <v>195</v>
      </c>
      <c r="D106" s="182"/>
      <c r="E106" s="184"/>
      <c r="F106" s="183"/>
      <c r="G106" s="1009"/>
      <c r="H106" s="1005"/>
      <c r="I106" s="1010"/>
      <c r="J106" s="184"/>
      <c r="K106" s="184"/>
      <c r="L106" s="183">
        <v>1</v>
      </c>
      <c r="M106" s="184"/>
      <c r="N106" s="184"/>
      <c r="O106" s="184"/>
      <c r="P106" s="133"/>
    </row>
    <row r="107" spans="1:16" s="113" customFormat="1" ht="72" x14ac:dyDescent="0.25">
      <c r="A107" s="743" t="s">
        <v>166</v>
      </c>
      <c r="B107" s="929" t="s">
        <v>411</v>
      </c>
      <c r="C107" s="930"/>
      <c r="D107" s="931" t="s">
        <v>30</v>
      </c>
      <c r="E107" s="932">
        <f>E108+E109</f>
        <v>0</v>
      </c>
      <c r="F107" s="933" t="s">
        <v>30</v>
      </c>
      <c r="G107" s="931" t="s">
        <v>30</v>
      </c>
      <c r="H107" s="932">
        <f>H108+H109</f>
        <v>-145538.41999999998</v>
      </c>
      <c r="I107" s="933" t="s">
        <v>30</v>
      </c>
      <c r="J107" s="932" t="s">
        <v>30</v>
      </c>
      <c r="K107" s="932">
        <f t="shared" ref="K107" si="15">K108+K109</f>
        <v>0</v>
      </c>
      <c r="L107" s="931" t="s">
        <v>30</v>
      </c>
      <c r="M107" s="932">
        <f>E107+H107+K107</f>
        <v>-145538.41999999998</v>
      </c>
      <c r="N107" s="932">
        <f t="shared" ref="N107:O107" si="16">N108+N109</f>
        <v>0</v>
      </c>
      <c r="O107" s="932">
        <f t="shared" si="16"/>
        <v>0</v>
      </c>
      <c r="P107" s="934"/>
    </row>
    <row r="108" spans="1:16" s="113" customFormat="1" ht="30" x14ac:dyDescent="0.25">
      <c r="A108" s="734"/>
      <c r="B108" s="934" t="s">
        <v>565</v>
      </c>
      <c r="C108" s="935" t="s">
        <v>250</v>
      </c>
      <c r="D108" s="936"/>
      <c r="E108" s="928"/>
      <c r="F108" s="937"/>
      <c r="G108" s="1014">
        <v>135255</v>
      </c>
      <c r="H108" s="1011">
        <f>-39000-15300+16025+8000</f>
        <v>-30275</v>
      </c>
      <c r="I108" s="1013">
        <f>H108/G108</f>
        <v>-0.22383645706258548</v>
      </c>
      <c r="J108" s="928"/>
      <c r="K108" s="928"/>
      <c r="L108" s="937"/>
      <c r="M108" s="928"/>
      <c r="N108" s="928"/>
      <c r="O108" s="928"/>
      <c r="P108" s="934"/>
    </row>
    <row r="109" spans="1:16" s="113" customFormat="1" ht="45" x14ac:dyDescent="0.25">
      <c r="A109" s="734"/>
      <c r="B109" s="934" t="s">
        <v>487</v>
      </c>
      <c r="C109" s="935" t="s">
        <v>340</v>
      </c>
      <c r="D109" s="936"/>
      <c r="E109" s="928"/>
      <c r="F109" s="937"/>
      <c r="G109" s="1014">
        <v>2486047</v>
      </c>
      <c r="H109" s="1011">
        <f>8169+9368-129940-2860.42</f>
        <v>-115263.42</v>
      </c>
      <c r="I109" s="1013">
        <f>H109/G109</f>
        <v>-4.6364135513125855E-2</v>
      </c>
      <c r="J109" s="928"/>
      <c r="K109" s="928"/>
      <c r="L109" s="937"/>
      <c r="M109" s="928"/>
      <c r="N109" s="928"/>
      <c r="O109" s="928"/>
      <c r="P109" s="934"/>
    </row>
    <row r="110" spans="1:16" ht="43.5" x14ac:dyDescent="0.25">
      <c r="A110" s="743" t="s">
        <v>167</v>
      </c>
      <c r="B110" s="939" t="s">
        <v>131</v>
      </c>
      <c r="C110" s="930"/>
      <c r="D110" s="931" t="s">
        <v>30</v>
      </c>
      <c r="E110" s="932">
        <f>E111+E112</f>
        <v>0</v>
      </c>
      <c r="F110" s="933" t="s">
        <v>30</v>
      </c>
      <c r="G110" s="931" t="s">
        <v>30</v>
      </c>
      <c r="H110" s="932">
        <f>H111+H112</f>
        <v>713940</v>
      </c>
      <c r="I110" s="933" t="s">
        <v>30</v>
      </c>
      <c r="J110" s="932" t="s">
        <v>30</v>
      </c>
      <c r="K110" s="932">
        <f t="shared" ref="K110" si="17">K111+K112</f>
        <v>0</v>
      </c>
      <c r="L110" s="931" t="s">
        <v>30</v>
      </c>
      <c r="M110" s="932">
        <f>E110+H110+K110</f>
        <v>713940</v>
      </c>
      <c r="N110" s="932">
        <f t="shared" ref="N110:O110" si="18">N111+N112</f>
        <v>0</v>
      </c>
      <c r="O110" s="932">
        <f t="shared" si="18"/>
        <v>0</v>
      </c>
      <c r="P110" s="940"/>
    </row>
    <row r="111" spans="1:16" hidden="1" x14ac:dyDescent="0.25">
      <c r="A111" s="734"/>
      <c r="B111" s="941"/>
      <c r="C111" s="927"/>
      <c r="D111" s="936"/>
      <c r="E111" s="928"/>
      <c r="F111" s="937"/>
      <c r="G111" s="1011"/>
      <c r="H111" s="1011"/>
      <c r="I111" s="1013" t="e">
        <f>H111/G111</f>
        <v>#DIV/0!</v>
      </c>
      <c r="J111" s="928"/>
      <c r="K111" s="928"/>
      <c r="L111" s="937"/>
      <c r="M111" s="928"/>
      <c r="N111" s="928"/>
      <c r="O111" s="928"/>
      <c r="P111" s="934"/>
    </row>
    <row r="112" spans="1:16" x14ac:dyDescent="0.25">
      <c r="A112" s="734"/>
      <c r="B112" s="934" t="s">
        <v>577</v>
      </c>
      <c r="C112" s="935" t="s">
        <v>333</v>
      </c>
      <c r="D112" s="936"/>
      <c r="E112" s="928"/>
      <c r="F112" s="937"/>
      <c r="G112" s="1014">
        <v>3568439.58</v>
      </c>
      <c r="H112" s="1011">
        <f>-195448.72+229498.72-36961+36690.58+677300+11950-9089.58</f>
        <v>713940</v>
      </c>
      <c r="I112" s="1013">
        <f>H112/G112</f>
        <v>0.20007064264207045</v>
      </c>
      <c r="J112" s="928"/>
      <c r="K112" s="928"/>
      <c r="L112" s="937"/>
      <c r="M112" s="928"/>
      <c r="N112" s="928"/>
      <c r="O112" s="928"/>
      <c r="P112" s="934"/>
    </row>
    <row r="113" spans="1:16" ht="86.25" hidden="1" x14ac:dyDescent="0.25">
      <c r="A113" s="743" t="s">
        <v>168</v>
      </c>
      <c r="B113" s="745" t="s">
        <v>132</v>
      </c>
      <c r="C113" s="746"/>
      <c r="D113" s="301" t="s">
        <v>30</v>
      </c>
      <c r="E113" s="782">
        <f>E114+E115</f>
        <v>0</v>
      </c>
      <c r="F113" s="303" t="s">
        <v>30</v>
      </c>
      <c r="G113" s="301" t="s">
        <v>30</v>
      </c>
      <c r="H113" s="782">
        <f>H114+H115</f>
        <v>0</v>
      </c>
      <c r="I113" s="303" t="s">
        <v>30</v>
      </c>
      <c r="J113" s="782" t="s">
        <v>30</v>
      </c>
      <c r="K113" s="782">
        <f t="shared" ref="K113" si="19">K114+K115</f>
        <v>0</v>
      </c>
      <c r="L113" s="301" t="s">
        <v>30</v>
      </c>
      <c r="M113" s="782">
        <f>E113+H113+K113</f>
        <v>0</v>
      </c>
      <c r="N113" s="782">
        <f t="shared" ref="N113:O113" si="20">N114+N115</f>
        <v>0</v>
      </c>
      <c r="O113" s="782">
        <f t="shared" si="20"/>
        <v>0</v>
      </c>
      <c r="P113" s="133"/>
    </row>
    <row r="114" spans="1:16" hidden="1" x14ac:dyDescent="0.25">
      <c r="A114" s="734"/>
      <c r="B114" s="133"/>
      <c r="C114" s="181" t="s">
        <v>195</v>
      </c>
      <c r="D114" s="182">
        <v>0</v>
      </c>
      <c r="E114" s="184"/>
      <c r="F114" s="183">
        <v>1</v>
      </c>
      <c r="G114" s="1009"/>
      <c r="H114" s="1005"/>
      <c r="I114" s="1010" t="e">
        <f>H114/G114</f>
        <v>#DIV/0!</v>
      </c>
      <c r="J114" s="184"/>
      <c r="K114" s="184"/>
      <c r="L114" s="451"/>
      <c r="M114" s="184"/>
      <c r="N114" s="184"/>
      <c r="O114" s="184"/>
      <c r="P114" s="133"/>
    </row>
    <row r="115" spans="1:16" hidden="1" x14ac:dyDescent="0.25">
      <c r="A115" s="734"/>
      <c r="B115" s="133"/>
      <c r="C115" s="181"/>
      <c r="D115" s="182"/>
      <c r="E115" s="184"/>
      <c r="F115" s="183"/>
      <c r="G115" s="1009"/>
      <c r="H115" s="1005"/>
      <c r="I115" s="1010"/>
      <c r="J115" s="184"/>
      <c r="K115" s="184"/>
      <c r="L115" s="183"/>
      <c r="M115" s="184"/>
      <c r="N115" s="184"/>
      <c r="O115" s="184"/>
      <c r="P115" s="133"/>
    </row>
    <row r="116" spans="1:16" s="113" customFormat="1" ht="57.75" x14ac:dyDescent="0.25">
      <c r="A116" s="945" t="s">
        <v>169</v>
      </c>
      <c r="B116" s="939" t="s">
        <v>133</v>
      </c>
      <c r="C116" s="930"/>
      <c r="D116" s="931" t="s">
        <v>30</v>
      </c>
      <c r="E116" s="932">
        <f>E117+E118</f>
        <v>0</v>
      </c>
      <c r="F116" s="933" t="s">
        <v>30</v>
      </c>
      <c r="G116" s="931" t="s">
        <v>30</v>
      </c>
      <c r="H116" s="932">
        <f>H117+H118</f>
        <v>-4100</v>
      </c>
      <c r="I116" s="933" t="s">
        <v>30</v>
      </c>
      <c r="J116" s="932" t="s">
        <v>30</v>
      </c>
      <c r="K116" s="932">
        <f t="shared" ref="K116" si="21">K117+K118</f>
        <v>0</v>
      </c>
      <c r="L116" s="931" t="s">
        <v>30</v>
      </c>
      <c r="M116" s="932">
        <f>H116+K116+E116</f>
        <v>-4100</v>
      </c>
      <c r="N116" s="932">
        <f t="shared" ref="N116:O116" si="22">N117+N118</f>
        <v>0</v>
      </c>
      <c r="O116" s="932">
        <f t="shared" si="22"/>
        <v>0</v>
      </c>
      <c r="P116" s="940"/>
    </row>
    <row r="117" spans="1:16" s="113" customFormat="1" ht="30" x14ac:dyDescent="0.25">
      <c r="A117" s="959"/>
      <c r="B117" s="934" t="s">
        <v>591</v>
      </c>
      <c r="C117" s="935" t="s">
        <v>276</v>
      </c>
      <c r="D117" s="936"/>
      <c r="E117" s="928"/>
      <c r="F117" s="937"/>
      <c r="G117" s="1014">
        <v>6000</v>
      </c>
      <c r="H117" s="1011">
        <v>-4100</v>
      </c>
      <c r="I117" s="1013">
        <f>H117/G117</f>
        <v>-0.68333333333333335</v>
      </c>
      <c r="J117" s="928"/>
      <c r="K117" s="928"/>
      <c r="L117" s="938"/>
      <c r="M117" s="928"/>
      <c r="N117" s="928"/>
      <c r="O117" s="928"/>
      <c r="P117" s="934"/>
    </row>
    <row r="118" spans="1:16" s="113" customFormat="1" hidden="1" x14ac:dyDescent="0.25">
      <c r="A118" s="959"/>
      <c r="B118" s="934"/>
      <c r="C118" s="935"/>
      <c r="D118" s="936"/>
      <c r="E118" s="928"/>
      <c r="F118" s="937"/>
      <c r="G118" s="1014"/>
      <c r="H118" s="1011"/>
      <c r="I118" s="1015"/>
      <c r="J118" s="928"/>
      <c r="K118" s="928"/>
      <c r="L118" s="937"/>
      <c r="M118" s="928"/>
      <c r="N118" s="928"/>
      <c r="O118" s="928"/>
      <c r="P118" s="934"/>
    </row>
    <row r="119" spans="1:16" ht="57.75" x14ac:dyDescent="0.25">
      <c r="A119" s="743" t="s">
        <v>170</v>
      </c>
      <c r="B119" s="878" t="s">
        <v>134</v>
      </c>
      <c r="C119" s="884"/>
      <c r="D119" s="856" t="s">
        <v>30</v>
      </c>
      <c r="E119" s="857">
        <f>SUM(E120:E121)</f>
        <v>0</v>
      </c>
      <c r="F119" s="871" t="s">
        <v>30</v>
      </c>
      <c r="G119" s="856" t="s">
        <v>30</v>
      </c>
      <c r="H119" s="857">
        <f>SUM(H120:H121)</f>
        <v>0</v>
      </c>
      <c r="I119" s="871" t="s">
        <v>30</v>
      </c>
      <c r="J119" s="857" t="s">
        <v>30</v>
      </c>
      <c r="K119" s="857">
        <f>SUM(K120:K121)</f>
        <v>0</v>
      </c>
      <c r="L119" s="856" t="s">
        <v>30</v>
      </c>
      <c r="M119" s="857">
        <f>E119+H119+K119</f>
        <v>0</v>
      </c>
      <c r="N119" s="857">
        <f>SUM(N120:N121)</f>
        <v>-4000000</v>
      </c>
      <c r="O119" s="857">
        <f>SUM(O120:O121)</f>
        <v>0</v>
      </c>
      <c r="P119" s="866"/>
    </row>
    <row r="120" spans="1:16" ht="30" x14ac:dyDescent="0.25">
      <c r="A120" s="734"/>
      <c r="B120" s="847" t="s">
        <v>273</v>
      </c>
      <c r="C120" s="848" t="s">
        <v>195</v>
      </c>
      <c r="D120" s="849"/>
      <c r="E120" s="850"/>
      <c r="F120" s="851"/>
      <c r="G120" s="853"/>
      <c r="H120" s="1007"/>
      <c r="I120" s="1012"/>
      <c r="J120" s="850"/>
      <c r="K120" s="850"/>
      <c r="L120" s="852"/>
      <c r="M120" s="850"/>
      <c r="N120" s="850">
        <v>-4000000</v>
      </c>
      <c r="O120" s="850"/>
      <c r="P120" s="733"/>
    </row>
    <row r="121" spans="1:16" ht="30" hidden="1" x14ac:dyDescent="0.25">
      <c r="A121" s="734"/>
      <c r="B121" s="847" t="s">
        <v>393</v>
      </c>
      <c r="C121" s="848" t="s">
        <v>195</v>
      </c>
      <c r="D121" s="849"/>
      <c r="E121" s="850"/>
      <c r="F121" s="851"/>
      <c r="G121" s="853"/>
      <c r="H121" s="1007"/>
      <c r="I121" s="1012"/>
      <c r="J121" s="850"/>
      <c r="K121" s="850"/>
      <c r="L121" s="852" t="e">
        <f>K121/J121</f>
        <v>#DIV/0!</v>
      </c>
      <c r="M121" s="850"/>
      <c r="N121" s="850"/>
      <c r="O121" s="850"/>
      <c r="P121" s="733"/>
    </row>
    <row r="122" spans="1:16" ht="43.5" x14ac:dyDescent="0.25">
      <c r="A122" s="743" t="s">
        <v>171</v>
      </c>
      <c r="B122" s="878" t="s">
        <v>135</v>
      </c>
      <c r="C122" s="870"/>
      <c r="D122" s="856" t="s">
        <v>30</v>
      </c>
      <c r="E122" s="857">
        <f>E123+E125</f>
        <v>0</v>
      </c>
      <c r="F122" s="871" t="s">
        <v>30</v>
      </c>
      <c r="G122" s="856" t="s">
        <v>30</v>
      </c>
      <c r="H122" s="857">
        <f>H123+H125</f>
        <v>0</v>
      </c>
      <c r="I122" s="871" t="s">
        <v>30</v>
      </c>
      <c r="J122" s="857" t="s">
        <v>30</v>
      </c>
      <c r="K122" s="857">
        <f>K125+K129+K131+K123</f>
        <v>-3590530</v>
      </c>
      <c r="L122" s="856" t="s">
        <v>30</v>
      </c>
      <c r="M122" s="857">
        <f>E122+H122+K122</f>
        <v>-3590530</v>
      </c>
      <c r="N122" s="857">
        <f>N123+N125</f>
        <v>4629088</v>
      </c>
      <c r="O122" s="857">
        <f>O123+O125</f>
        <v>0</v>
      </c>
      <c r="P122" s="733"/>
    </row>
    <row r="123" spans="1:16" s="213" customFormat="1" ht="60" x14ac:dyDescent="0.25">
      <c r="A123" s="744" t="s">
        <v>172</v>
      </c>
      <c r="B123" s="864" t="s">
        <v>136</v>
      </c>
      <c r="C123" s="865"/>
      <c r="D123" s="844" t="s">
        <v>30</v>
      </c>
      <c r="E123" s="845">
        <f>SUM(E124:E124)</f>
        <v>0</v>
      </c>
      <c r="F123" s="846" t="s">
        <v>30</v>
      </c>
      <c r="G123" s="844" t="s">
        <v>30</v>
      </c>
      <c r="H123" s="845">
        <f>SUM(H124:H124)</f>
        <v>0</v>
      </c>
      <c r="I123" s="846" t="s">
        <v>30</v>
      </c>
      <c r="J123" s="845" t="s">
        <v>30</v>
      </c>
      <c r="K123" s="845">
        <f>SUM(K124:K124)</f>
        <v>-78000</v>
      </c>
      <c r="L123" s="846" t="s">
        <v>30</v>
      </c>
      <c r="M123" s="845">
        <f>E123+H123+K123</f>
        <v>-78000</v>
      </c>
      <c r="N123" s="845">
        <f>SUM(N124:N124)</f>
        <v>0</v>
      </c>
      <c r="O123" s="845">
        <f>SUM(O124:O124)</f>
        <v>0</v>
      </c>
      <c r="P123" s="880"/>
    </row>
    <row r="124" spans="1:16" ht="30" x14ac:dyDescent="0.25">
      <c r="A124" s="734"/>
      <c r="B124" s="867" t="s">
        <v>587</v>
      </c>
      <c r="C124" s="848" t="s">
        <v>195</v>
      </c>
      <c r="D124" s="849">
        <v>0</v>
      </c>
      <c r="E124" s="850"/>
      <c r="F124" s="851">
        <v>1</v>
      </c>
      <c r="G124" s="853"/>
      <c r="H124" s="1007"/>
      <c r="I124" s="1012"/>
      <c r="J124" s="850">
        <v>931400</v>
      </c>
      <c r="K124" s="850">
        <v>-78000</v>
      </c>
      <c r="L124" s="852">
        <f>K124/J124</f>
        <v>-8.3744900150311358E-2</v>
      </c>
      <c r="M124" s="850"/>
      <c r="N124" s="850">
        <v>0</v>
      </c>
      <c r="O124" s="850"/>
      <c r="P124" s="868" t="s">
        <v>522</v>
      </c>
    </row>
    <row r="125" spans="1:16" s="213" customFormat="1" ht="45" x14ac:dyDescent="0.25">
      <c r="A125" s="744" t="s">
        <v>173</v>
      </c>
      <c r="B125" s="864" t="s">
        <v>137</v>
      </c>
      <c r="C125" s="865"/>
      <c r="D125" s="844" t="s">
        <v>30</v>
      </c>
      <c r="E125" s="845">
        <f>SUM(E126:E128)</f>
        <v>0</v>
      </c>
      <c r="F125" s="846" t="s">
        <v>30</v>
      </c>
      <c r="G125" s="844" t="s">
        <v>30</v>
      </c>
      <c r="H125" s="845">
        <f>SUM(H126:H128)</f>
        <v>0</v>
      </c>
      <c r="I125" s="846" t="s">
        <v>30</v>
      </c>
      <c r="J125" s="845" t="s">
        <v>30</v>
      </c>
      <c r="K125" s="845">
        <f>SUM(K126:K128)</f>
        <v>-4624763</v>
      </c>
      <c r="L125" s="846" t="s">
        <v>30</v>
      </c>
      <c r="M125" s="845">
        <f>E125+H125+K125</f>
        <v>-4624763</v>
      </c>
      <c r="N125" s="845">
        <f>SUM(N126:N140)</f>
        <v>4629088</v>
      </c>
      <c r="O125" s="845">
        <f>SUM(O126:O128)</f>
        <v>0</v>
      </c>
      <c r="P125" s="866"/>
    </row>
    <row r="126" spans="1:16" ht="30" x14ac:dyDescent="0.25">
      <c r="A126" s="734"/>
      <c r="B126" s="867" t="s">
        <v>238</v>
      </c>
      <c r="C126" s="848" t="s">
        <v>195</v>
      </c>
      <c r="D126" s="849"/>
      <c r="E126" s="850"/>
      <c r="F126" s="851"/>
      <c r="G126" s="853"/>
      <c r="H126" s="1007"/>
      <c r="I126" s="1012"/>
      <c r="J126" s="850">
        <v>25407978</v>
      </c>
      <c r="K126" s="850">
        <f>-500000-4840763</f>
        <v>-5340763</v>
      </c>
      <c r="L126" s="852">
        <f>K126/J126</f>
        <v>-0.21020023710662847</v>
      </c>
      <c r="M126" s="850"/>
      <c r="N126" s="850">
        <v>-1970912</v>
      </c>
      <c r="O126" s="850"/>
      <c r="P126" s="868" t="s">
        <v>588</v>
      </c>
    </row>
    <row r="127" spans="1:16" ht="24" customHeight="1" x14ac:dyDescent="0.25">
      <c r="A127" s="734"/>
      <c r="B127" s="867" t="s">
        <v>525</v>
      </c>
      <c r="C127" s="859" t="s">
        <v>195</v>
      </c>
      <c r="D127" s="849"/>
      <c r="E127" s="850"/>
      <c r="F127" s="851"/>
      <c r="G127" s="853"/>
      <c r="H127" s="1007"/>
      <c r="I127" s="1012"/>
      <c r="J127" s="850">
        <v>5390841</v>
      </c>
      <c r="K127" s="850">
        <v>716000</v>
      </c>
      <c r="L127" s="851">
        <v>0</v>
      </c>
      <c r="M127" s="850"/>
      <c r="N127" s="850">
        <v>8000000</v>
      </c>
      <c r="O127" s="850"/>
      <c r="P127" s="733" t="s">
        <v>526</v>
      </c>
    </row>
    <row r="128" spans="1:16" ht="33" customHeight="1" x14ac:dyDescent="0.25">
      <c r="A128" s="734"/>
      <c r="B128" s="867" t="s">
        <v>525</v>
      </c>
      <c r="C128" s="848" t="s">
        <v>195</v>
      </c>
      <c r="D128" s="849">
        <v>0</v>
      </c>
      <c r="E128" s="850"/>
      <c r="F128" s="851">
        <v>1</v>
      </c>
      <c r="G128" s="853"/>
      <c r="H128" s="1007"/>
      <c r="I128" s="1012"/>
      <c r="J128" s="850">
        <v>0</v>
      </c>
      <c r="K128" s="850">
        <v>0</v>
      </c>
      <c r="L128" s="852">
        <v>0</v>
      </c>
      <c r="M128" s="850"/>
      <c r="N128" s="850">
        <v>-1400000</v>
      </c>
      <c r="O128" s="850"/>
      <c r="P128" s="733" t="s">
        <v>589</v>
      </c>
    </row>
    <row r="129" spans="1:16" ht="44.25" customHeight="1" x14ac:dyDescent="0.25">
      <c r="A129" s="734"/>
      <c r="B129" s="864" t="s">
        <v>287</v>
      </c>
      <c r="C129" s="865"/>
      <c r="D129" s="844" t="s">
        <v>30</v>
      </c>
      <c r="E129" s="845">
        <f>SUM(E130:E130)</f>
        <v>0</v>
      </c>
      <c r="F129" s="846" t="s">
        <v>30</v>
      </c>
      <c r="G129" s="844" t="s">
        <v>30</v>
      </c>
      <c r="H129" s="845">
        <f>SUM(H130:H130)</f>
        <v>0</v>
      </c>
      <c r="I129" s="846" t="s">
        <v>30</v>
      </c>
      <c r="J129" s="845" t="s">
        <v>30</v>
      </c>
      <c r="K129" s="845">
        <f>SUM(K130:K130)</f>
        <v>1112233</v>
      </c>
      <c r="L129" s="846" t="s">
        <v>30</v>
      </c>
      <c r="M129" s="845">
        <f>E129+H129+K129</f>
        <v>1112233</v>
      </c>
      <c r="N129" s="845">
        <f>SUM(N130:N130)</f>
        <v>0</v>
      </c>
      <c r="O129" s="845">
        <f>SUM(O130:O130)</f>
        <v>0</v>
      </c>
      <c r="P129" s="868"/>
    </row>
    <row r="130" spans="1:16" ht="30.75" customHeight="1" x14ac:dyDescent="0.25">
      <c r="A130" s="734"/>
      <c r="B130" s="867" t="s">
        <v>62</v>
      </c>
      <c r="C130" s="848" t="s">
        <v>195</v>
      </c>
      <c r="D130" s="885"/>
      <c r="E130" s="886"/>
      <c r="F130" s="887"/>
      <c r="G130" s="1016"/>
      <c r="H130" s="1017"/>
      <c r="I130" s="1018"/>
      <c r="J130" s="886">
        <v>14251107</v>
      </c>
      <c r="K130" s="886">
        <v>1112233</v>
      </c>
      <c r="L130" s="888">
        <f>K130/J130</f>
        <v>7.8045375703094499E-2</v>
      </c>
      <c r="M130" s="886"/>
      <c r="N130" s="886"/>
      <c r="O130" s="886"/>
      <c r="P130" s="868"/>
    </row>
    <row r="131" spans="1:16" ht="47.25" hidden="1" customHeight="1" x14ac:dyDescent="0.25">
      <c r="A131" s="734"/>
      <c r="B131" s="447" t="s">
        <v>288</v>
      </c>
      <c r="C131" s="448"/>
      <c r="D131" s="404" t="s">
        <v>30</v>
      </c>
      <c r="E131" s="759">
        <f>SUM(E132:E132)</f>
        <v>0</v>
      </c>
      <c r="F131" s="405" t="s">
        <v>30</v>
      </c>
      <c r="G131" s="404" t="s">
        <v>30</v>
      </c>
      <c r="H131" s="759">
        <f>SUM(H132:H132)</f>
        <v>0</v>
      </c>
      <c r="I131" s="405" t="s">
        <v>30</v>
      </c>
      <c r="J131" s="759" t="s">
        <v>30</v>
      </c>
      <c r="K131" s="759">
        <f>SUM(K132:K132)</f>
        <v>0</v>
      </c>
      <c r="L131" s="405" t="s">
        <v>30</v>
      </c>
      <c r="M131" s="759">
        <f>E131+H131+K131</f>
        <v>0</v>
      </c>
      <c r="N131" s="184"/>
      <c r="O131" s="184"/>
      <c r="P131" s="761"/>
    </row>
    <row r="132" spans="1:16" ht="27" hidden="1" customHeight="1" x14ac:dyDescent="0.25">
      <c r="A132" s="734"/>
      <c r="B132" s="450"/>
      <c r="C132" s="181" t="s">
        <v>195</v>
      </c>
      <c r="D132" s="182"/>
      <c r="E132" s="184"/>
      <c r="F132" s="183"/>
      <c r="G132" s="1009"/>
      <c r="H132" s="1005"/>
      <c r="I132" s="1010"/>
      <c r="J132" s="184"/>
      <c r="K132" s="184"/>
      <c r="L132" s="451" t="e">
        <f>K132/J132</f>
        <v>#DIV/0!</v>
      </c>
      <c r="M132" s="184"/>
      <c r="N132" s="184"/>
      <c r="O132" s="184"/>
      <c r="P132" s="761"/>
    </row>
    <row r="133" spans="1:16" s="113" customFormat="1" ht="45" customHeight="1" x14ac:dyDescent="0.25">
      <c r="A133" s="945" t="s">
        <v>174</v>
      </c>
      <c r="B133" s="946" t="s">
        <v>138</v>
      </c>
      <c r="C133" s="947"/>
      <c r="D133" s="931" t="s">
        <v>30</v>
      </c>
      <c r="E133" s="932">
        <f>E134</f>
        <v>0</v>
      </c>
      <c r="F133" s="933" t="s">
        <v>30</v>
      </c>
      <c r="G133" s="931" t="s">
        <v>30</v>
      </c>
      <c r="H133" s="932">
        <f>H134</f>
        <v>-253204.8</v>
      </c>
      <c r="I133" s="933" t="s">
        <v>30</v>
      </c>
      <c r="J133" s="932" t="s">
        <v>30</v>
      </c>
      <c r="K133" s="932">
        <f>K134</f>
        <v>0</v>
      </c>
      <c r="L133" s="931" t="s">
        <v>30</v>
      </c>
      <c r="M133" s="932">
        <f>E133+H133+K133</f>
        <v>-253204.8</v>
      </c>
      <c r="N133" s="932">
        <f>N134</f>
        <v>0</v>
      </c>
      <c r="O133" s="932">
        <f>O134</f>
        <v>0</v>
      </c>
      <c r="P133" s="940"/>
    </row>
    <row r="134" spans="1:16" s="317" customFormat="1" ht="26.25" customHeight="1" x14ac:dyDescent="0.25">
      <c r="A134" s="942"/>
      <c r="B134" s="948" t="s">
        <v>566</v>
      </c>
      <c r="C134" s="949" t="s">
        <v>195</v>
      </c>
      <c r="D134" s="936"/>
      <c r="E134" s="928"/>
      <c r="F134" s="937">
        <v>0</v>
      </c>
      <c r="G134" s="1011">
        <v>450000</v>
      </c>
      <c r="H134" s="1011">
        <f>-60204.8-193000</f>
        <v>-253204.8</v>
      </c>
      <c r="I134" s="1015">
        <f>H134/G134</f>
        <v>-0.56267733333333336</v>
      </c>
      <c r="J134" s="928"/>
      <c r="K134" s="928"/>
      <c r="L134" s="937"/>
      <c r="M134" s="928"/>
      <c r="N134" s="928"/>
      <c r="O134" s="928"/>
      <c r="P134" s="950"/>
    </row>
    <row r="135" spans="1:16" ht="51" hidden="1" customHeight="1" x14ac:dyDescent="0.25">
      <c r="A135" s="743" t="s">
        <v>175</v>
      </c>
      <c r="B135" s="443" t="s">
        <v>139</v>
      </c>
      <c r="C135" s="300"/>
      <c r="D135" s="301" t="s">
        <v>30</v>
      </c>
      <c r="E135" s="782">
        <f>E136</f>
        <v>0</v>
      </c>
      <c r="F135" s="303" t="s">
        <v>30</v>
      </c>
      <c r="G135" s="301" t="s">
        <v>30</v>
      </c>
      <c r="H135" s="782">
        <f>H136</f>
        <v>0</v>
      </c>
      <c r="I135" s="303" t="s">
        <v>30</v>
      </c>
      <c r="J135" s="782" t="s">
        <v>30</v>
      </c>
      <c r="K135" s="782">
        <f>K136</f>
        <v>0</v>
      </c>
      <c r="L135" s="301" t="s">
        <v>30</v>
      </c>
      <c r="M135" s="782"/>
      <c r="N135" s="782">
        <f>N136</f>
        <v>0</v>
      </c>
      <c r="O135" s="782">
        <f>O136</f>
        <v>0</v>
      </c>
      <c r="P135" s="133"/>
    </row>
    <row r="136" spans="1:16" ht="41.25" hidden="1" customHeight="1" x14ac:dyDescent="0.25">
      <c r="A136" s="734"/>
      <c r="B136" s="749" t="s">
        <v>185</v>
      </c>
      <c r="C136" s="181" t="s">
        <v>195</v>
      </c>
      <c r="D136" s="182"/>
      <c r="E136" s="184"/>
      <c r="F136" s="183"/>
      <c r="G136" s="1009"/>
      <c r="H136" s="1005"/>
      <c r="I136" s="1010"/>
      <c r="J136" s="184"/>
      <c r="K136" s="184"/>
      <c r="L136" s="183">
        <v>-1</v>
      </c>
      <c r="M136" s="184"/>
      <c r="N136" s="184"/>
      <c r="O136" s="184"/>
      <c r="P136" s="133"/>
    </row>
    <row r="137" spans="1:16" ht="44.25" hidden="1" customHeight="1" x14ac:dyDescent="0.25">
      <c r="A137" s="743" t="s">
        <v>176</v>
      </c>
      <c r="B137" s="443" t="s">
        <v>129</v>
      </c>
      <c r="C137" s="300"/>
      <c r="D137" s="301" t="s">
        <v>30</v>
      </c>
      <c r="E137" s="782">
        <f>E138</f>
        <v>0</v>
      </c>
      <c r="F137" s="303" t="s">
        <v>30</v>
      </c>
      <c r="G137" s="301" t="s">
        <v>30</v>
      </c>
      <c r="H137" s="782">
        <f>H138</f>
        <v>0</v>
      </c>
      <c r="I137" s="303" t="s">
        <v>30</v>
      </c>
      <c r="J137" s="782" t="s">
        <v>30</v>
      </c>
      <c r="K137" s="782">
        <f>K138</f>
        <v>0</v>
      </c>
      <c r="L137" s="301" t="s">
        <v>30</v>
      </c>
      <c r="M137" s="782"/>
      <c r="N137" s="782">
        <f>N138</f>
        <v>0</v>
      </c>
      <c r="O137" s="782">
        <f>O138</f>
        <v>0</v>
      </c>
      <c r="P137" s="133"/>
    </row>
    <row r="138" spans="1:16" ht="23.25" hidden="1" customHeight="1" x14ac:dyDescent="0.25">
      <c r="A138" s="734"/>
      <c r="B138" s="756"/>
      <c r="C138" s="306"/>
      <c r="D138" s="182"/>
      <c r="E138" s="184"/>
      <c r="F138" s="183"/>
      <c r="G138" s="1009"/>
      <c r="H138" s="1005"/>
      <c r="I138" s="1010"/>
      <c r="J138" s="184"/>
      <c r="K138" s="184"/>
      <c r="L138" s="183"/>
      <c r="M138" s="184"/>
      <c r="N138" s="184"/>
      <c r="O138" s="184"/>
      <c r="P138" s="133"/>
    </row>
    <row r="139" spans="1:16" ht="23.25" hidden="1" customHeight="1" x14ac:dyDescent="0.25">
      <c r="A139" s="734"/>
      <c r="B139" s="867"/>
      <c r="C139" s="859"/>
      <c r="D139" s="849"/>
      <c r="E139" s="850"/>
      <c r="F139" s="851"/>
      <c r="G139" s="853"/>
      <c r="H139" s="1007"/>
      <c r="I139" s="1012"/>
      <c r="J139" s="850"/>
      <c r="K139" s="850"/>
      <c r="L139" s="851"/>
      <c r="M139" s="850"/>
      <c r="N139" s="850"/>
      <c r="O139" s="850"/>
      <c r="P139" s="733"/>
    </row>
    <row r="140" spans="1:16" ht="33.75" hidden="1" customHeight="1" x14ac:dyDescent="0.25">
      <c r="A140" s="734"/>
      <c r="B140" s="867"/>
      <c r="C140" s="848"/>
      <c r="D140" s="849"/>
      <c r="E140" s="850"/>
      <c r="F140" s="851"/>
      <c r="G140" s="853"/>
      <c r="H140" s="1007"/>
      <c r="I140" s="1012"/>
      <c r="J140" s="850"/>
      <c r="K140" s="850"/>
      <c r="L140" s="852"/>
      <c r="M140" s="850"/>
      <c r="N140" s="850"/>
      <c r="O140" s="850"/>
      <c r="P140" s="733"/>
    </row>
    <row r="141" spans="1:16" ht="46.5" customHeight="1" x14ac:dyDescent="0.25">
      <c r="A141" s="743" t="s">
        <v>177</v>
      </c>
      <c r="B141" s="869" t="s">
        <v>140</v>
      </c>
      <c r="C141" s="870"/>
      <c r="D141" s="856" t="s">
        <v>30</v>
      </c>
      <c r="E141" s="857">
        <f>SUM(E142:E144)</f>
        <v>0</v>
      </c>
      <c r="F141" s="871" t="s">
        <v>30</v>
      </c>
      <c r="G141" s="856" t="s">
        <v>30</v>
      </c>
      <c r="H141" s="857">
        <f>SUM(H142:H144)</f>
        <v>0</v>
      </c>
      <c r="I141" s="871" t="s">
        <v>30</v>
      </c>
      <c r="J141" s="857" t="s">
        <v>30</v>
      </c>
      <c r="K141" s="857">
        <f>SUM(K142:K153)</f>
        <v>-690731.25</v>
      </c>
      <c r="L141" s="856" t="s">
        <v>30</v>
      </c>
      <c r="M141" s="857">
        <f>E141+H141+K141</f>
        <v>-690731.25</v>
      </c>
      <c r="N141" s="857">
        <f>SUM(N142:N153)</f>
        <v>19703143</v>
      </c>
      <c r="O141" s="857">
        <f>SUM(O142:O153)</f>
        <v>0</v>
      </c>
      <c r="P141" s="866"/>
    </row>
    <row r="142" spans="1:16" ht="29.25" customHeight="1" x14ac:dyDescent="0.25">
      <c r="A142" s="734"/>
      <c r="B142" s="872" t="s">
        <v>236</v>
      </c>
      <c r="C142" s="848" t="s">
        <v>195</v>
      </c>
      <c r="D142" s="849"/>
      <c r="E142" s="850"/>
      <c r="F142" s="852"/>
      <c r="G142" s="853"/>
      <c r="H142" s="1007"/>
      <c r="I142" s="1012"/>
      <c r="J142" s="850"/>
      <c r="K142" s="850">
        <v>0</v>
      </c>
      <c r="L142" s="852">
        <v>0</v>
      </c>
      <c r="M142" s="850"/>
      <c r="N142" s="850">
        <v>11105725</v>
      </c>
      <c r="O142" s="850"/>
      <c r="P142" s="733"/>
    </row>
    <row r="143" spans="1:16" ht="29.25" customHeight="1" x14ac:dyDescent="0.25">
      <c r="A143" s="734"/>
      <c r="B143" s="872" t="s">
        <v>523</v>
      </c>
      <c r="C143" s="848" t="s">
        <v>195</v>
      </c>
      <c r="D143" s="849"/>
      <c r="E143" s="850"/>
      <c r="F143" s="852"/>
      <c r="G143" s="853"/>
      <c r="H143" s="1007"/>
      <c r="I143" s="1012"/>
      <c r="J143" s="850"/>
      <c r="K143" s="850">
        <v>-709890</v>
      </c>
      <c r="L143" s="852">
        <v>0</v>
      </c>
      <c r="M143" s="850"/>
      <c r="N143" s="850">
        <v>989858</v>
      </c>
      <c r="O143" s="850"/>
      <c r="P143" s="733"/>
    </row>
    <row r="144" spans="1:16" ht="31.5" customHeight="1" x14ac:dyDescent="0.25">
      <c r="A144" s="734"/>
      <c r="B144" s="872" t="s">
        <v>237</v>
      </c>
      <c r="C144" s="848" t="s">
        <v>195</v>
      </c>
      <c r="D144" s="849"/>
      <c r="E144" s="850"/>
      <c r="F144" s="852"/>
      <c r="G144" s="853"/>
      <c r="H144" s="1007"/>
      <c r="I144" s="1012"/>
      <c r="J144" s="850"/>
      <c r="K144" s="850">
        <v>0</v>
      </c>
      <c r="L144" s="852">
        <v>0</v>
      </c>
      <c r="M144" s="850"/>
      <c r="N144" s="850">
        <v>4538067</v>
      </c>
      <c r="O144" s="850"/>
      <c r="P144" s="733"/>
    </row>
    <row r="145" spans="1:16" ht="31.5" customHeight="1" x14ac:dyDescent="0.25">
      <c r="A145" s="734"/>
      <c r="B145" s="872" t="s">
        <v>524</v>
      </c>
      <c r="C145" s="859" t="s">
        <v>195</v>
      </c>
      <c r="D145" s="849"/>
      <c r="E145" s="850"/>
      <c r="F145" s="851"/>
      <c r="G145" s="1007"/>
      <c r="H145" s="1007"/>
      <c r="I145" s="1012"/>
      <c r="J145" s="850"/>
      <c r="K145" s="850">
        <v>19158.75</v>
      </c>
      <c r="L145" s="851">
        <v>0</v>
      </c>
      <c r="M145" s="850"/>
      <c r="N145" s="850">
        <v>3069493</v>
      </c>
      <c r="O145" s="850"/>
      <c r="P145" s="733"/>
    </row>
    <row r="146" spans="1:16" ht="51" hidden="1" customHeight="1" x14ac:dyDescent="0.25">
      <c r="A146" s="743" t="s">
        <v>178</v>
      </c>
      <c r="B146" s="299" t="s">
        <v>141</v>
      </c>
      <c r="C146" s="300"/>
      <c r="D146" s="301" t="s">
        <v>30</v>
      </c>
      <c r="E146" s="782">
        <f t="shared" ref="E146" si="23">E147+E148</f>
        <v>0</v>
      </c>
      <c r="F146" s="303" t="s">
        <v>30</v>
      </c>
      <c r="G146" s="301" t="s">
        <v>30</v>
      </c>
      <c r="H146" s="782">
        <f t="shared" ref="H146" si="24">H147+H148</f>
        <v>0</v>
      </c>
      <c r="I146" s="303" t="s">
        <v>30</v>
      </c>
      <c r="J146" s="782" t="s">
        <v>30</v>
      </c>
      <c r="K146" s="782">
        <f t="shared" ref="K146" si="25">K147+K148</f>
        <v>0</v>
      </c>
      <c r="L146" s="301" t="s">
        <v>30</v>
      </c>
      <c r="M146" s="782">
        <f>E146+H146+K146</f>
        <v>0</v>
      </c>
      <c r="N146" s="782">
        <f t="shared" ref="N146:O146" si="26">N147+N148</f>
        <v>0</v>
      </c>
      <c r="O146" s="782">
        <f t="shared" si="26"/>
        <v>0</v>
      </c>
      <c r="P146" s="748"/>
    </row>
    <row r="147" spans="1:16" ht="35.25" hidden="1" customHeight="1" x14ac:dyDescent="0.25">
      <c r="A147" s="734"/>
      <c r="B147" s="749" t="s">
        <v>230</v>
      </c>
      <c r="C147" s="306" t="s">
        <v>195</v>
      </c>
      <c r="D147" s="182"/>
      <c r="E147" s="184"/>
      <c r="F147" s="183"/>
      <c r="G147" s="1009"/>
      <c r="H147" s="1005"/>
      <c r="I147" s="1010"/>
      <c r="J147" s="184"/>
      <c r="K147" s="184"/>
      <c r="L147" s="183">
        <v>0</v>
      </c>
      <c r="M147" s="184"/>
      <c r="N147" s="184"/>
      <c r="O147" s="184"/>
      <c r="P147" s="133"/>
    </row>
    <row r="148" spans="1:16" ht="23.25" hidden="1" customHeight="1" x14ac:dyDescent="0.25">
      <c r="A148" s="734"/>
      <c r="B148" s="749"/>
      <c r="C148" s="306"/>
      <c r="D148" s="182"/>
      <c r="E148" s="184"/>
      <c r="F148" s="183"/>
      <c r="G148" s="1009"/>
      <c r="H148" s="1005"/>
      <c r="I148" s="1010"/>
      <c r="J148" s="184"/>
      <c r="K148" s="184"/>
      <c r="L148" s="183"/>
      <c r="M148" s="184"/>
      <c r="N148" s="184"/>
      <c r="O148" s="184"/>
      <c r="P148" s="133"/>
    </row>
    <row r="149" spans="1:16" ht="63" hidden="1" customHeight="1" x14ac:dyDescent="0.25">
      <c r="A149" s="743" t="s">
        <v>179</v>
      </c>
      <c r="B149" s="299" t="s">
        <v>142</v>
      </c>
      <c r="C149" s="300"/>
      <c r="D149" s="301" t="s">
        <v>30</v>
      </c>
      <c r="E149" s="782">
        <f t="shared" ref="E149" si="27">E150+E151</f>
        <v>0</v>
      </c>
      <c r="F149" s="303" t="s">
        <v>30</v>
      </c>
      <c r="G149" s="301" t="s">
        <v>30</v>
      </c>
      <c r="H149" s="782">
        <f t="shared" ref="H149" si="28">H150+H151</f>
        <v>0</v>
      </c>
      <c r="I149" s="303" t="s">
        <v>30</v>
      </c>
      <c r="J149" s="782" t="s">
        <v>30</v>
      </c>
      <c r="K149" s="782">
        <f t="shared" ref="K149" si="29">K150+K151</f>
        <v>0</v>
      </c>
      <c r="L149" s="301" t="s">
        <v>30</v>
      </c>
      <c r="M149" s="782"/>
      <c r="N149" s="782">
        <f t="shared" ref="N149:O149" si="30">N150+N151</f>
        <v>0</v>
      </c>
      <c r="O149" s="782">
        <f t="shared" si="30"/>
        <v>0</v>
      </c>
      <c r="P149" s="748"/>
    </row>
    <row r="150" spans="1:16" ht="25.5" hidden="1" customHeight="1" x14ac:dyDescent="0.25">
      <c r="A150" s="734"/>
      <c r="B150" s="261" t="s">
        <v>206</v>
      </c>
      <c r="C150" s="306" t="s">
        <v>195</v>
      </c>
      <c r="D150" s="182"/>
      <c r="E150" s="184"/>
      <c r="F150" s="183"/>
      <c r="G150" s="1005"/>
      <c r="H150" s="1005"/>
      <c r="I150" s="1010">
        <v>-1</v>
      </c>
      <c r="J150" s="184"/>
      <c r="K150" s="184"/>
      <c r="L150" s="183"/>
      <c r="M150" s="184"/>
      <c r="N150" s="184"/>
      <c r="O150" s="184"/>
      <c r="P150" s="133"/>
    </row>
    <row r="151" spans="1:16" ht="24" hidden="1" customHeight="1" x14ac:dyDescent="0.25">
      <c r="A151" s="734"/>
      <c r="B151" s="261" t="s">
        <v>231</v>
      </c>
      <c r="C151" s="306" t="s">
        <v>195</v>
      </c>
      <c r="D151" s="182"/>
      <c r="E151" s="184"/>
      <c r="F151" s="183"/>
      <c r="G151" s="1005"/>
      <c r="H151" s="1005"/>
      <c r="I151" s="1010" t="e">
        <f>H151/G151</f>
        <v>#DIV/0!</v>
      </c>
      <c r="J151" s="184"/>
      <c r="K151" s="184"/>
      <c r="L151" s="183"/>
      <c r="M151" s="184"/>
      <c r="N151" s="184"/>
      <c r="O151" s="184"/>
      <c r="P151" s="133"/>
    </row>
    <row r="152" spans="1:16" ht="43.5" hidden="1" x14ac:dyDescent="0.25">
      <c r="A152" s="734"/>
      <c r="B152" s="299" t="s">
        <v>207</v>
      </c>
      <c r="C152" s="300"/>
      <c r="D152" s="301" t="s">
        <v>30</v>
      </c>
      <c r="E152" s="782">
        <f>E153</f>
        <v>0</v>
      </c>
      <c r="F152" s="303" t="s">
        <v>30</v>
      </c>
      <c r="G152" s="301" t="s">
        <v>30</v>
      </c>
      <c r="H152" s="782">
        <f>H153</f>
        <v>0</v>
      </c>
      <c r="I152" s="303" t="s">
        <v>30</v>
      </c>
      <c r="J152" s="782" t="s">
        <v>30</v>
      </c>
      <c r="K152" s="782">
        <f>K153</f>
        <v>0</v>
      </c>
      <c r="L152" s="301" t="s">
        <v>30</v>
      </c>
      <c r="M152" s="782">
        <f>E152+H152+K152</f>
        <v>0</v>
      </c>
      <c r="N152" s="782">
        <f>N153</f>
        <v>0</v>
      </c>
      <c r="O152" s="782">
        <f>O153</f>
        <v>0</v>
      </c>
      <c r="P152" s="133"/>
    </row>
    <row r="153" spans="1:16" ht="14.25" hidden="1" customHeight="1" x14ac:dyDescent="0.25">
      <c r="A153" s="734"/>
      <c r="B153" s="261" t="s">
        <v>415</v>
      </c>
      <c r="C153" s="306" t="s">
        <v>195</v>
      </c>
      <c r="D153" s="182">
        <v>0</v>
      </c>
      <c r="E153" s="184">
        <v>0</v>
      </c>
      <c r="F153" s="183">
        <v>0</v>
      </c>
      <c r="G153" s="1005">
        <v>0</v>
      </c>
      <c r="H153" s="1005">
        <v>0</v>
      </c>
      <c r="I153" s="1010" t="e">
        <f>H153/G153</f>
        <v>#DIV/0!</v>
      </c>
      <c r="J153" s="184"/>
      <c r="K153" s="184"/>
      <c r="L153" s="183"/>
      <c r="M153" s="184"/>
      <c r="N153" s="184"/>
      <c r="O153" s="184"/>
      <c r="P153" s="133"/>
    </row>
    <row r="154" spans="1:16" ht="42.75" x14ac:dyDescent="0.25">
      <c r="A154" s="734"/>
      <c r="B154" s="854" t="s">
        <v>283</v>
      </c>
      <c r="C154" s="855" t="s">
        <v>195</v>
      </c>
      <c r="D154" s="856" t="s">
        <v>30</v>
      </c>
      <c r="E154" s="857">
        <f>SUM(E155:E157)</f>
        <v>0</v>
      </c>
      <c r="F154" s="856" t="s">
        <v>30</v>
      </c>
      <c r="G154" s="856" t="s">
        <v>30</v>
      </c>
      <c r="H154" s="857">
        <f>SUM(H155:H157)</f>
        <v>0</v>
      </c>
      <c r="I154" s="856" t="s">
        <v>30</v>
      </c>
      <c r="J154" s="857" t="s">
        <v>30</v>
      </c>
      <c r="K154" s="857">
        <f>SUM(K155:K158)</f>
        <v>6550653</v>
      </c>
      <c r="L154" s="856" t="s">
        <v>30</v>
      </c>
      <c r="M154" s="857">
        <f>E154+H154+K154</f>
        <v>6550653</v>
      </c>
      <c r="N154" s="857">
        <f>SUM(N155:N158)</f>
        <v>-1849251</v>
      </c>
      <c r="O154" s="857">
        <f>SUM(O155:O157)</f>
        <v>0</v>
      </c>
      <c r="P154" s="733"/>
    </row>
    <row r="155" spans="1:16" ht="23.25" customHeight="1" x14ac:dyDescent="0.25">
      <c r="A155" s="734"/>
      <c r="B155" s="858" t="s">
        <v>519</v>
      </c>
      <c r="C155" s="859"/>
      <c r="D155" s="850"/>
      <c r="E155" s="860"/>
      <c r="F155" s="851"/>
      <c r="G155" s="1007">
        <v>1415855.2</v>
      </c>
      <c r="H155" s="1007">
        <v>-511134</v>
      </c>
      <c r="I155" s="1012">
        <f>H155/G155</f>
        <v>-0.36100725554421104</v>
      </c>
      <c r="J155" s="850">
        <v>4445000</v>
      </c>
      <c r="K155" s="890">
        <v>-701904</v>
      </c>
      <c r="L155" s="851">
        <f>K155/J155</f>
        <v>-0.15790866141732282</v>
      </c>
      <c r="M155" s="850"/>
      <c r="N155" s="850"/>
      <c r="O155" s="850"/>
      <c r="P155" s="733"/>
    </row>
    <row r="156" spans="1:16" ht="32.25" customHeight="1" x14ac:dyDescent="0.25">
      <c r="A156" s="734"/>
      <c r="B156" s="858" t="s">
        <v>414</v>
      </c>
      <c r="C156" s="859"/>
      <c r="D156" s="850"/>
      <c r="E156" s="850"/>
      <c r="F156" s="851"/>
      <c r="G156" s="1007">
        <v>2495076.14</v>
      </c>
      <c r="H156" s="1007">
        <v>511134</v>
      </c>
      <c r="I156" s="1012">
        <f>H156/G156</f>
        <v>0.20485707502296902</v>
      </c>
      <c r="J156" s="850">
        <v>15971880</v>
      </c>
      <c r="K156" s="890">
        <v>2411794</v>
      </c>
      <c r="L156" s="851">
        <f>K156/J156</f>
        <v>0.15100251191469008</v>
      </c>
      <c r="M156" s="850"/>
      <c r="N156" s="760"/>
      <c r="O156" s="850"/>
      <c r="P156" s="733"/>
    </row>
    <row r="157" spans="1:16" ht="22.5" customHeight="1" x14ac:dyDescent="0.25">
      <c r="A157" s="734"/>
      <c r="B157" s="867" t="s">
        <v>530</v>
      </c>
      <c r="C157" s="859"/>
      <c r="D157" s="850"/>
      <c r="E157" s="850"/>
      <c r="F157" s="851"/>
      <c r="G157" s="1007">
        <v>0</v>
      </c>
      <c r="H157" s="1007">
        <v>0</v>
      </c>
      <c r="I157" s="1012">
        <v>0</v>
      </c>
      <c r="J157" s="850">
        <v>13808816</v>
      </c>
      <c r="K157" s="890">
        <v>4840763</v>
      </c>
      <c r="L157" s="851">
        <f>K157/J157</f>
        <v>0.35055597815192846</v>
      </c>
      <c r="M157" s="850"/>
      <c r="N157" s="890">
        <v>-1549251</v>
      </c>
      <c r="O157" s="850"/>
      <c r="P157" s="733"/>
    </row>
    <row r="158" spans="1:16" ht="22.5" customHeight="1" x14ac:dyDescent="0.25">
      <c r="A158" s="734"/>
      <c r="B158" s="867" t="s">
        <v>602</v>
      </c>
      <c r="C158" s="859"/>
      <c r="D158" s="850"/>
      <c r="E158" s="850"/>
      <c r="F158" s="851"/>
      <c r="G158" s="1007"/>
      <c r="H158" s="1007"/>
      <c r="I158" s="1012"/>
      <c r="J158" s="850"/>
      <c r="K158" s="890"/>
      <c r="L158" s="851"/>
      <c r="M158" s="850"/>
      <c r="N158" s="890">
        <v>-300000</v>
      </c>
      <c r="O158" s="850"/>
      <c r="P158" s="733"/>
    </row>
    <row r="159" spans="1:16" ht="42.75" x14ac:dyDescent="0.25">
      <c r="A159" s="734"/>
      <c r="B159" s="854" t="s">
        <v>284</v>
      </c>
      <c r="C159" s="855" t="s">
        <v>195</v>
      </c>
      <c r="D159" s="856" t="s">
        <v>30</v>
      </c>
      <c r="E159" s="857">
        <f>SUM(E160:E160)</f>
        <v>0</v>
      </c>
      <c r="F159" s="856" t="s">
        <v>30</v>
      </c>
      <c r="G159" s="856" t="s">
        <v>30</v>
      </c>
      <c r="H159" s="857">
        <f>SUM(H160:H160)</f>
        <v>0</v>
      </c>
      <c r="I159" s="856" t="s">
        <v>30</v>
      </c>
      <c r="J159" s="857" t="s">
        <v>30</v>
      </c>
      <c r="K159" s="857">
        <f>SUM(K160:K160)</f>
        <v>-104167</v>
      </c>
      <c r="L159" s="856" t="s">
        <v>30</v>
      </c>
      <c r="M159" s="857">
        <f>E159+H159+K159</f>
        <v>-104167</v>
      </c>
      <c r="N159" s="857">
        <f>N160</f>
        <v>0</v>
      </c>
      <c r="O159" s="857">
        <f>O160</f>
        <v>0</v>
      </c>
      <c r="P159" s="733"/>
    </row>
    <row r="160" spans="1:16" x14ac:dyDescent="0.25">
      <c r="A160" s="734"/>
      <c r="B160" s="863" t="s">
        <v>521</v>
      </c>
      <c r="C160" s="859"/>
      <c r="D160" s="849"/>
      <c r="E160" s="850"/>
      <c r="F160" s="851"/>
      <c r="G160" s="1007"/>
      <c r="H160" s="1007"/>
      <c r="I160" s="1012"/>
      <c r="J160" s="850">
        <v>3600000</v>
      </c>
      <c r="K160" s="850">
        <v>-104167</v>
      </c>
      <c r="L160" s="851">
        <f>K160/J160</f>
        <v>-2.8935277777777779E-2</v>
      </c>
      <c r="M160" s="850"/>
      <c r="N160" s="850"/>
      <c r="O160" s="850"/>
      <c r="P160" s="733"/>
    </row>
    <row r="161" spans="1:16" s="113" customFormat="1" x14ac:dyDescent="0.25">
      <c r="A161" s="960"/>
      <c r="B161" s="961" t="s">
        <v>189</v>
      </c>
      <c r="C161" s="962"/>
      <c r="D161" s="963" t="s">
        <v>30</v>
      </c>
      <c r="E161" s="964">
        <f>E7+E31+E58+E83+E86+E96+E107+E110+E113+E116+E119+E122+E133+E135+E137+E141+E146+E149+E152+E154+E159</f>
        <v>51163615</v>
      </c>
      <c r="F161" s="965" t="s">
        <v>30</v>
      </c>
      <c r="G161" s="963" t="s">
        <v>30</v>
      </c>
      <c r="H161" s="964">
        <f>H7+H31+H58+H83+H86+H96+H107+H110+H113+H116+H119+H122+H133+H135+H137+H141+H146+H149+H152+H154+H159</f>
        <v>-18002385.500000004</v>
      </c>
      <c r="I161" s="965" t="s">
        <v>30</v>
      </c>
      <c r="J161" s="964" t="s">
        <v>30</v>
      </c>
      <c r="K161" s="964">
        <f>K7+K31+K58+K83+K86+K96+K107+K110+K113+K116+K119+K122+K133+K135+K137+K141+K146+K149+K152+K154+K159</f>
        <v>684246.33000000007</v>
      </c>
      <c r="L161" s="965" t="s">
        <v>30</v>
      </c>
      <c r="M161" s="964">
        <f>M7+M31+M58+M83+M86+M96+M107+M110+M113+M116+M119+M122+M133+M135+M137+M141+M146+M149+M152+M154+M159</f>
        <v>33845475.829999998</v>
      </c>
      <c r="N161" s="964">
        <f>N7+N31+N58+N83+N86+N96+N107+N110+N113+N119+N116+N122+N133+N135+N137+N141+N146+N149+N154</f>
        <v>17477306.300000001</v>
      </c>
      <c r="O161" s="964">
        <f>O7+O31+O58+O83+O86+O96+O107+O110+O113+O119+O116+O122+O133+O135+O137+O141+O146+O149+O154</f>
        <v>0</v>
      </c>
      <c r="P161" s="934"/>
    </row>
    <row r="162" spans="1:16" s="113" customFormat="1" x14ac:dyDescent="0.25">
      <c r="A162" s="966"/>
      <c r="B162" s="967" t="s">
        <v>103</v>
      </c>
      <c r="C162" s="1110">
        <f>E161+H161+K161</f>
        <v>33845475.829999998</v>
      </c>
      <c r="D162" s="1110"/>
      <c r="E162" s="1110"/>
      <c r="F162" s="1110"/>
      <c r="G162" s="1110"/>
      <c r="H162" s="1110"/>
      <c r="I162" s="1110"/>
      <c r="J162" s="1110"/>
      <c r="K162" s="1110"/>
      <c r="L162" s="1110"/>
      <c r="M162" s="968"/>
      <c r="N162" s="968">
        <f>N161</f>
        <v>17477306.300000001</v>
      </c>
      <c r="O162" s="968">
        <f>O161</f>
        <v>0</v>
      </c>
      <c r="P162" s="934"/>
    </row>
    <row r="163" spans="1:16" s="113" customFormat="1" x14ac:dyDescent="0.25">
      <c r="A163" s="960"/>
      <c r="B163" s="961" t="s">
        <v>104</v>
      </c>
      <c r="C163" s="962" t="s">
        <v>180</v>
      </c>
      <c r="D163" s="963" t="s">
        <v>30</v>
      </c>
      <c r="E163" s="964">
        <f>SUM(E164:E184)</f>
        <v>-284459</v>
      </c>
      <c r="F163" s="963" t="s">
        <v>30</v>
      </c>
      <c r="G163" s="963" t="s">
        <v>30</v>
      </c>
      <c r="H163" s="964">
        <f>SUM(H164:H184)</f>
        <v>-3876451.4999999995</v>
      </c>
      <c r="I163" s="963" t="s">
        <v>30</v>
      </c>
      <c r="J163" s="964" t="s">
        <v>30</v>
      </c>
      <c r="K163" s="964">
        <f>SUM(K164:K184)</f>
        <v>2256211</v>
      </c>
      <c r="L163" s="963" t="s">
        <v>30</v>
      </c>
      <c r="M163" s="964">
        <f>E163+H163+K163</f>
        <v>-1904699.4999999995</v>
      </c>
      <c r="N163" s="964">
        <f>SUM(N164:N184)</f>
        <v>-1000000</v>
      </c>
      <c r="O163" s="964">
        <f>SUM(O164:O184)</f>
        <v>0</v>
      </c>
      <c r="P163" s="934"/>
    </row>
    <row r="164" spans="1:16" x14ac:dyDescent="0.25">
      <c r="A164" s="755"/>
      <c r="B164" s="861" t="s">
        <v>330</v>
      </c>
      <c r="C164" s="848" t="s">
        <v>196</v>
      </c>
      <c r="D164" s="850"/>
      <c r="E164" s="850"/>
      <c r="F164" s="852"/>
      <c r="G164" s="1007">
        <v>300000</v>
      </c>
      <c r="H164" s="1007">
        <v>-130000</v>
      </c>
      <c r="I164" s="1008">
        <f>H164/G164</f>
        <v>-0.43333333333333335</v>
      </c>
      <c r="J164" s="850">
        <v>300000</v>
      </c>
      <c r="K164" s="850">
        <v>-160000</v>
      </c>
      <c r="L164" s="852">
        <f>K164/J164</f>
        <v>-0.53333333333333333</v>
      </c>
      <c r="M164" s="862"/>
      <c r="N164" s="850"/>
      <c r="O164" s="850"/>
      <c r="P164" s="733"/>
    </row>
    <row r="165" spans="1:16" x14ac:dyDescent="0.25">
      <c r="A165" s="755"/>
      <c r="B165" s="861" t="s">
        <v>590</v>
      </c>
      <c r="C165" s="848" t="s">
        <v>196</v>
      </c>
      <c r="D165" s="850"/>
      <c r="E165" s="850"/>
      <c r="F165" s="852"/>
      <c r="G165" s="1007"/>
      <c r="H165" s="1007"/>
      <c r="I165" s="1008"/>
      <c r="J165" s="850">
        <v>60000</v>
      </c>
      <c r="K165" s="850">
        <v>-44000</v>
      </c>
      <c r="L165" s="852">
        <f>K165/J165</f>
        <v>-0.73333333333333328</v>
      </c>
      <c r="M165" s="862"/>
      <c r="N165" s="850"/>
      <c r="O165" s="850"/>
      <c r="P165" s="733"/>
    </row>
    <row r="166" spans="1:16" x14ac:dyDescent="0.25">
      <c r="A166" s="755"/>
      <c r="B166" s="861" t="s">
        <v>520</v>
      </c>
      <c r="C166" s="848" t="s">
        <v>196</v>
      </c>
      <c r="D166" s="850"/>
      <c r="E166" s="850"/>
      <c r="F166" s="852"/>
      <c r="G166" s="1007"/>
      <c r="H166" s="1007"/>
      <c r="I166" s="1008"/>
      <c r="J166" s="850">
        <v>350000</v>
      </c>
      <c r="K166" s="850">
        <v>-56000</v>
      </c>
      <c r="L166" s="852">
        <f>K166/J166</f>
        <v>-0.16</v>
      </c>
      <c r="M166" s="862"/>
      <c r="N166" s="850"/>
      <c r="O166" s="850"/>
      <c r="P166" s="733"/>
    </row>
    <row r="167" spans="1:16" x14ac:dyDescent="0.25">
      <c r="A167" s="755"/>
      <c r="B167" s="861" t="s">
        <v>529</v>
      </c>
      <c r="C167" s="848" t="s">
        <v>196</v>
      </c>
      <c r="D167" s="850"/>
      <c r="E167" s="850"/>
      <c r="F167" s="852"/>
      <c r="G167" s="1007"/>
      <c r="H167" s="1007"/>
      <c r="I167" s="1008"/>
      <c r="J167" s="850">
        <v>1500000</v>
      </c>
      <c r="K167" s="850">
        <v>2454997</v>
      </c>
      <c r="L167" s="852">
        <f>K167/J167</f>
        <v>1.6366646666666667</v>
      </c>
      <c r="M167" s="862"/>
      <c r="N167" s="850"/>
      <c r="O167" s="850"/>
      <c r="P167" s="733"/>
    </row>
    <row r="168" spans="1:16" x14ac:dyDescent="0.25">
      <c r="A168" s="755"/>
      <c r="B168" s="861" t="s">
        <v>568</v>
      </c>
      <c r="C168" s="848"/>
      <c r="D168" s="850"/>
      <c r="E168" s="850"/>
      <c r="F168" s="852"/>
      <c r="G168" s="1007">
        <v>300000</v>
      </c>
      <c r="H168" s="1007">
        <v>-60000</v>
      </c>
      <c r="I168" s="1008">
        <f t="shared" ref="I168:I171" si="31">H168/G168</f>
        <v>-0.2</v>
      </c>
      <c r="J168" s="850">
        <v>340000</v>
      </c>
      <c r="K168" s="850">
        <v>-50000</v>
      </c>
      <c r="L168" s="852">
        <f>K168/J168</f>
        <v>-0.14705882352941177</v>
      </c>
      <c r="M168" s="862"/>
      <c r="N168" s="850"/>
      <c r="O168" s="850"/>
      <c r="P168" s="733"/>
    </row>
    <row r="169" spans="1:16" x14ac:dyDescent="0.25">
      <c r="A169" s="755"/>
      <c r="B169" s="861" t="s">
        <v>564</v>
      </c>
      <c r="C169" s="848" t="s">
        <v>220</v>
      </c>
      <c r="D169" s="850">
        <v>97000</v>
      </c>
      <c r="E169" s="850">
        <v>36832</v>
      </c>
      <c r="F169" s="938">
        <f t="shared" ref="F169" si="32">E169/D169</f>
        <v>0.37971134020618558</v>
      </c>
      <c r="G169" s="1007">
        <v>3000000</v>
      </c>
      <c r="H169" s="1007">
        <f>-2307477+25000-66136.69+150053</f>
        <v>-2198560.69</v>
      </c>
      <c r="I169" s="1008">
        <f t="shared" si="31"/>
        <v>-0.73285356333333329</v>
      </c>
      <c r="J169" s="850"/>
      <c r="K169" s="850"/>
      <c r="L169" s="852"/>
      <c r="M169" s="862"/>
      <c r="N169" s="850"/>
      <c r="O169" s="850"/>
      <c r="P169" s="733"/>
    </row>
    <row r="170" spans="1:16" s="574" customFormat="1" x14ac:dyDescent="0.25">
      <c r="A170" s="755"/>
      <c r="B170" s="926" t="s">
        <v>215</v>
      </c>
      <c r="C170" s="927" t="s">
        <v>195</v>
      </c>
      <c r="D170" s="184"/>
      <c r="E170" s="184"/>
      <c r="F170" s="938"/>
      <c r="G170" s="1007">
        <v>58197626</v>
      </c>
      <c r="H170" s="1011">
        <f>-372024.32-59999.78-487576.46+13691.16+22800+49+3000</f>
        <v>-880060.4</v>
      </c>
      <c r="I170" s="1008">
        <f t="shared" si="31"/>
        <v>-1.5121929543998925E-2</v>
      </c>
      <c r="J170" s="184"/>
      <c r="K170" s="928"/>
      <c r="L170" s="852"/>
      <c r="M170" s="797"/>
      <c r="N170" s="184"/>
      <c r="O170" s="184"/>
      <c r="P170" s="758"/>
    </row>
    <row r="171" spans="1:16" s="113" customFormat="1" ht="30" x14ac:dyDescent="0.25">
      <c r="A171" s="942"/>
      <c r="B171" s="926" t="s">
        <v>567</v>
      </c>
      <c r="C171" s="927" t="s">
        <v>195</v>
      </c>
      <c r="D171" s="928"/>
      <c r="E171" s="928"/>
      <c r="F171" s="938"/>
      <c r="G171" s="1011">
        <v>44153999</v>
      </c>
      <c r="H171" s="1011">
        <f>465582.59+44881-878781.59-1668-6704+332289+26051+163293.72-26719</f>
        <v>118224.72000000006</v>
      </c>
      <c r="I171" s="1008">
        <f t="shared" si="31"/>
        <v>2.6775540761324939E-3</v>
      </c>
      <c r="J171" s="928">
        <v>2390000</v>
      </c>
      <c r="K171" s="928">
        <v>191214</v>
      </c>
      <c r="L171" s="852">
        <f t="shared" ref="L171" si="33">K171/J171</f>
        <v>8.0005857740585773E-2</v>
      </c>
      <c r="M171" s="944"/>
      <c r="N171" s="928">
        <v>-1000000</v>
      </c>
      <c r="O171" s="928"/>
      <c r="P171" s="950" t="s">
        <v>578</v>
      </c>
    </row>
    <row r="172" spans="1:16" s="113" customFormat="1" x14ac:dyDescent="0.25">
      <c r="A172" s="942"/>
      <c r="B172" s="926" t="s">
        <v>570</v>
      </c>
      <c r="C172" s="927" t="s">
        <v>195</v>
      </c>
      <c r="D172" s="928">
        <v>725067</v>
      </c>
      <c r="E172" s="928">
        <v>-530167</v>
      </c>
      <c r="F172" s="938">
        <f>E172/D172</f>
        <v>-0.73119725487437714</v>
      </c>
      <c r="G172" s="1011"/>
      <c r="H172" s="1011"/>
      <c r="I172" s="1013"/>
      <c r="J172" s="928"/>
      <c r="K172" s="928"/>
      <c r="L172" s="938"/>
      <c r="M172" s="944"/>
      <c r="N172" s="928"/>
      <c r="O172" s="928"/>
      <c r="P172" s="950"/>
    </row>
    <row r="173" spans="1:16" s="574" customFormat="1" hidden="1" x14ac:dyDescent="0.25">
      <c r="A173" s="755"/>
      <c r="B173" s="757" t="s">
        <v>222</v>
      </c>
      <c r="C173" s="181" t="s">
        <v>195</v>
      </c>
      <c r="D173" s="184"/>
      <c r="E173" s="184"/>
      <c r="F173" s="451"/>
      <c r="G173" s="1005"/>
      <c r="H173" s="1005"/>
      <c r="I173" s="1006" t="e">
        <f t="shared" ref="I173:I174" si="34">H173/G173</f>
        <v>#DIV/0!</v>
      </c>
      <c r="J173" s="184"/>
      <c r="K173" s="184"/>
      <c r="L173" s="451"/>
      <c r="M173" s="797"/>
      <c r="N173" s="184"/>
      <c r="O173" s="184"/>
      <c r="P173" s="133"/>
    </row>
    <row r="174" spans="1:16" hidden="1" x14ac:dyDescent="0.25">
      <c r="A174" s="755"/>
      <c r="B174" s="757" t="s">
        <v>327</v>
      </c>
      <c r="C174" s="181" t="s">
        <v>328</v>
      </c>
      <c r="D174" s="184"/>
      <c r="E174" s="184"/>
      <c r="F174" s="451"/>
      <c r="G174" s="1005"/>
      <c r="H174" s="1005"/>
      <c r="I174" s="1006" t="e">
        <f t="shared" si="34"/>
        <v>#DIV/0!</v>
      </c>
      <c r="J174" s="184"/>
      <c r="K174" s="184"/>
      <c r="L174" s="451"/>
      <c r="M174" s="797"/>
      <c r="N174" s="184"/>
      <c r="O174" s="184"/>
      <c r="P174" s="133"/>
    </row>
    <row r="175" spans="1:16" s="574" customFormat="1" hidden="1" x14ac:dyDescent="0.25">
      <c r="A175" s="755"/>
      <c r="B175" s="757" t="s">
        <v>461</v>
      </c>
      <c r="C175" s="181" t="s">
        <v>195</v>
      </c>
      <c r="D175" s="184"/>
      <c r="E175" s="184"/>
      <c r="F175" s="451"/>
      <c r="G175" s="1005"/>
      <c r="H175" s="1005"/>
      <c r="I175" s="1006">
        <v>1</v>
      </c>
      <c r="J175" s="184"/>
      <c r="K175" s="184"/>
      <c r="L175" s="451"/>
      <c r="M175" s="797"/>
      <c r="N175" s="184"/>
      <c r="O175" s="184"/>
      <c r="P175" s="133"/>
    </row>
    <row r="176" spans="1:16" s="574" customFormat="1" hidden="1" x14ac:dyDescent="0.25">
      <c r="A176" s="755"/>
      <c r="B176" s="757" t="s">
        <v>484</v>
      </c>
      <c r="C176" s="181" t="s">
        <v>195</v>
      </c>
      <c r="D176" s="184"/>
      <c r="E176" s="184"/>
      <c r="F176" s="451">
        <v>1</v>
      </c>
      <c r="G176" s="1005"/>
      <c r="H176" s="1005"/>
      <c r="I176" s="1006"/>
      <c r="J176" s="184"/>
      <c r="K176" s="184"/>
      <c r="L176" s="451"/>
      <c r="M176" s="797"/>
      <c r="N176" s="184"/>
      <c r="O176" s="184"/>
      <c r="P176" s="133"/>
    </row>
    <row r="177" spans="1:16" hidden="1" x14ac:dyDescent="0.25">
      <c r="A177" s="755"/>
      <c r="B177" s="261" t="s">
        <v>234</v>
      </c>
      <c r="C177" s="181" t="s">
        <v>195</v>
      </c>
      <c r="D177" s="184"/>
      <c r="E177" s="184"/>
      <c r="F177" s="451"/>
      <c r="G177" s="1005"/>
      <c r="H177" s="1005"/>
      <c r="I177" s="1006" t="e">
        <f t="shared" ref="I177:I179" si="35">H177/G177</f>
        <v>#DIV/0!</v>
      </c>
      <c r="J177" s="184"/>
      <c r="K177" s="184"/>
      <c r="L177" s="451"/>
      <c r="M177" s="797"/>
      <c r="N177" s="184"/>
      <c r="O177" s="184"/>
      <c r="P177" s="133"/>
    </row>
    <row r="178" spans="1:16" s="113" customFormat="1" x14ac:dyDescent="0.25">
      <c r="A178" s="942"/>
      <c r="B178" s="943" t="s">
        <v>458</v>
      </c>
      <c r="C178" s="935" t="s">
        <v>407</v>
      </c>
      <c r="D178" s="928"/>
      <c r="E178" s="928"/>
      <c r="F178" s="938"/>
      <c r="G178" s="1011">
        <v>2272601</v>
      </c>
      <c r="H178" s="1011">
        <v>-420000</v>
      </c>
      <c r="I178" s="1013">
        <v>1</v>
      </c>
      <c r="J178" s="928">
        <v>260000</v>
      </c>
      <c r="K178" s="928">
        <v>-80000</v>
      </c>
      <c r="L178" s="938">
        <f>K178/J178</f>
        <v>-0.30769230769230771</v>
      </c>
      <c r="M178" s="944"/>
      <c r="N178" s="928"/>
      <c r="O178" s="928"/>
      <c r="P178" s="934"/>
    </row>
    <row r="179" spans="1:16" s="113" customFormat="1" ht="14.25" customHeight="1" x14ac:dyDescent="0.25">
      <c r="A179" s="942"/>
      <c r="B179" s="943" t="s">
        <v>460</v>
      </c>
      <c r="C179" s="935" t="s">
        <v>195</v>
      </c>
      <c r="D179" s="928"/>
      <c r="E179" s="928"/>
      <c r="F179" s="938"/>
      <c r="G179" s="1011">
        <v>500000</v>
      </c>
      <c r="H179" s="1011">
        <f>20000-326055.13</f>
        <v>-306055.13</v>
      </c>
      <c r="I179" s="1013">
        <f t="shared" si="35"/>
        <v>-0.61211026000000002</v>
      </c>
      <c r="J179" s="928"/>
      <c r="K179" s="928"/>
      <c r="L179" s="938"/>
      <c r="M179" s="944"/>
      <c r="N179" s="928"/>
      <c r="O179" s="928"/>
      <c r="P179" s="934"/>
    </row>
    <row r="180" spans="1:16" s="574" customFormat="1" x14ac:dyDescent="0.25">
      <c r="A180" s="985"/>
      <c r="B180" s="861" t="s">
        <v>278</v>
      </c>
      <c r="C180" s="848" t="s">
        <v>195</v>
      </c>
      <c r="D180" s="850">
        <v>3804623</v>
      </c>
      <c r="E180" s="850">
        <f>-8515.73-2571.77+118635.5</f>
        <v>107548</v>
      </c>
      <c r="F180" s="852">
        <f>E180/D180</f>
        <v>2.8267715355765867E-2</v>
      </c>
      <c r="G180" s="1007"/>
      <c r="H180" s="1007"/>
      <c r="I180" s="1008"/>
      <c r="J180" s="850"/>
      <c r="K180" s="850"/>
      <c r="L180" s="852"/>
      <c r="M180" s="862"/>
      <c r="N180" s="850"/>
      <c r="O180" s="850"/>
      <c r="P180" s="733"/>
    </row>
    <row r="181" spans="1:16" s="574" customFormat="1" x14ac:dyDescent="0.25">
      <c r="A181" s="985"/>
      <c r="B181" s="861" t="s">
        <v>249</v>
      </c>
      <c r="C181" s="848" t="s">
        <v>195</v>
      </c>
      <c r="D181" s="850">
        <v>2326578</v>
      </c>
      <c r="E181" s="850">
        <f>71895.71+13376.08+162.21</f>
        <v>85434.000000000015</v>
      </c>
      <c r="F181" s="852">
        <f>E181/D181</f>
        <v>3.6720883632528123E-2</v>
      </c>
      <c r="G181" s="1007"/>
      <c r="H181" s="1007"/>
      <c r="I181" s="1008"/>
      <c r="J181" s="850"/>
      <c r="K181" s="850"/>
      <c r="L181" s="850"/>
      <c r="M181" s="862"/>
      <c r="N181" s="850"/>
      <c r="O181" s="850"/>
      <c r="P181" s="733"/>
    </row>
    <row r="182" spans="1:16" s="574" customFormat="1" x14ac:dyDescent="0.25">
      <c r="A182" s="985"/>
      <c r="B182" s="861" t="s">
        <v>596</v>
      </c>
      <c r="C182" s="848" t="s">
        <v>195</v>
      </c>
      <c r="D182" s="850">
        <v>448970</v>
      </c>
      <c r="E182" s="850">
        <f>69113+20871.38-74090.38</f>
        <v>15894</v>
      </c>
      <c r="F182" s="852">
        <f>E182/D182</f>
        <v>3.5401029021983652E-2</v>
      </c>
      <c r="G182" s="1007"/>
      <c r="H182" s="1007"/>
      <c r="I182" s="1008"/>
      <c r="J182" s="850"/>
      <c r="K182" s="850"/>
      <c r="L182" s="850"/>
      <c r="M182" s="862"/>
      <c r="N182" s="850"/>
      <c r="O182" s="850"/>
      <c r="P182" s="733"/>
    </row>
    <row r="183" spans="1:16" s="574" customFormat="1" hidden="1" x14ac:dyDescent="0.25">
      <c r="A183" s="755"/>
      <c r="B183" s="757" t="s">
        <v>459</v>
      </c>
      <c r="C183" s="181" t="s">
        <v>195</v>
      </c>
      <c r="D183" s="184"/>
      <c r="E183" s="184"/>
      <c r="F183" s="451"/>
      <c r="G183" s="1005"/>
      <c r="H183" s="1005"/>
      <c r="I183" s="1006"/>
      <c r="J183" s="184"/>
      <c r="K183" s="184"/>
      <c r="L183" s="184"/>
      <c r="M183" s="797"/>
      <c r="N183" s="184"/>
      <c r="O183" s="184"/>
      <c r="P183" s="133"/>
    </row>
    <row r="184" spans="1:16" ht="71.25" hidden="1" customHeight="1" x14ac:dyDescent="0.25">
      <c r="A184" s="755"/>
      <c r="B184" s="757" t="s">
        <v>488</v>
      </c>
      <c r="C184" s="181" t="s">
        <v>195</v>
      </c>
      <c r="D184" s="184"/>
      <c r="E184" s="184"/>
      <c r="F184" s="451"/>
      <c r="G184" s="1005"/>
      <c r="H184" s="1005"/>
      <c r="I184" s="1006"/>
      <c r="J184" s="184"/>
      <c r="K184" s="184"/>
      <c r="L184" s="184"/>
      <c r="M184" s="797"/>
      <c r="N184" s="184"/>
      <c r="O184" s="184"/>
      <c r="P184" s="133"/>
    </row>
    <row r="185" spans="1:16" s="574" customFormat="1" x14ac:dyDescent="0.25">
      <c r="A185" s="980"/>
      <c r="B185" s="981" t="s">
        <v>409</v>
      </c>
      <c r="C185" s="982" t="s">
        <v>310</v>
      </c>
      <c r="D185" s="983" t="s">
        <v>30</v>
      </c>
      <c r="E185" s="984">
        <f>SUM(E186:E187)</f>
        <v>0</v>
      </c>
      <c r="F185" s="983" t="s">
        <v>30</v>
      </c>
      <c r="G185" s="983" t="s">
        <v>30</v>
      </c>
      <c r="H185" s="984">
        <f>SUM(H186:H187)</f>
        <v>714600</v>
      </c>
      <c r="I185" s="983" t="s">
        <v>30</v>
      </c>
      <c r="J185" s="984" t="s">
        <v>30</v>
      </c>
      <c r="K185" s="984">
        <f>SUM(K186)</f>
        <v>0</v>
      </c>
      <c r="L185" s="983" t="s">
        <v>30</v>
      </c>
      <c r="M185" s="984">
        <f>K185+H185+E185</f>
        <v>714600</v>
      </c>
      <c r="N185" s="984">
        <f>SUM(N186)</f>
        <v>0</v>
      </c>
      <c r="O185" s="984">
        <f>SUM(O186)</f>
        <v>0</v>
      </c>
      <c r="P185" s="733"/>
    </row>
    <row r="186" spans="1:16" s="574" customFormat="1" ht="30" x14ac:dyDescent="0.25">
      <c r="A186" s="985"/>
      <c r="B186" s="861" t="s">
        <v>579</v>
      </c>
      <c r="C186" s="848"/>
      <c r="D186" s="850"/>
      <c r="E186" s="850"/>
      <c r="F186" s="852"/>
      <c r="G186" s="1007">
        <v>0</v>
      </c>
      <c r="H186" s="1007">
        <v>750000</v>
      </c>
      <c r="I186" s="1008">
        <v>1</v>
      </c>
      <c r="J186" s="850"/>
      <c r="K186" s="850"/>
      <c r="L186" s="862"/>
      <c r="M186" s="862"/>
      <c r="N186" s="850"/>
      <c r="O186" s="850"/>
      <c r="P186" s="733"/>
    </row>
    <row r="187" spans="1:16" s="574" customFormat="1" ht="24" customHeight="1" x14ac:dyDescent="0.25">
      <c r="A187" s="985"/>
      <c r="B187" s="861" t="s">
        <v>408</v>
      </c>
      <c r="C187" s="848" t="s">
        <v>195</v>
      </c>
      <c r="D187" s="850"/>
      <c r="E187" s="850"/>
      <c r="F187" s="852"/>
      <c r="G187" s="1007">
        <v>240000</v>
      </c>
      <c r="H187" s="1007">
        <v>-35400</v>
      </c>
      <c r="I187" s="1008">
        <f>H187/G187</f>
        <v>-0.14749999999999999</v>
      </c>
      <c r="J187" s="850"/>
      <c r="K187" s="850"/>
      <c r="L187" s="862"/>
      <c r="M187" s="862"/>
      <c r="N187" s="850"/>
      <c r="O187" s="850"/>
      <c r="P187" s="733" t="s">
        <v>527</v>
      </c>
    </row>
    <row r="188" spans="1:16" s="113" customFormat="1" ht="39.75" customHeight="1" x14ac:dyDescent="0.25">
      <c r="A188" s="969"/>
      <c r="B188" s="970" t="s">
        <v>105</v>
      </c>
      <c r="C188" s="971"/>
      <c r="D188" s="972" t="s">
        <v>102</v>
      </c>
      <c r="E188" s="972">
        <f>E163+E161+E185</f>
        <v>50879156</v>
      </c>
      <c r="F188" s="972" t="s">
        <v>102</v>
      </c>
      <c r="G188" s="972" t="s">
        <v>102</v>
      </c>
      <c r="H188" s="972">
        <f>H163+H161+H185</f>
        <v>-21164237.000000004</v>
      </c>
      <c r="I188" s="972" t="s">
        <v>102</v>
      </c>
      <c r="J188" s="972" t="s">
        <v>102</v>
      </c>
      <c r="K188" s="972">
        <f>K163+K161+K185</f>
        <v>2940457.33</v>
      </c>
      <c r="L188" s="972" t="s">
        <v>102</v>
      </c>
      <c r="M188" s="972">
        <f>M163+M161+M185</f>
        <v>32655376.329999998</v>
      </c>
      <c r="N188" s="972">
        <f>N163+N161+N185</f>
        <v>16477306.300000001</v>
      </c>
      <c r="O188" s="972">
        <f>O163+O161+O185</f>
        <v>0</v>
      </c>
      <c r="P188" s="934"/>
    </row>
    <row r="189" spans="1:16" s="113" customFormat="1" x14ac:dyDescent="0.25">
      <c r="A189" s="969"/>
      <c r="B189" s="970" t="s">
        <v>324</v>
      </c>
      <c r="C189" s="971"/>
      <c r="D189" s="972"/>
      <c r="E189" s="972"/>
      <c r="F189" s="972"/>
      <c r="G189" s="972"/>
      <c r="H189" s="972"/>
      <c r="I189" s="972"/>
      <c r="J189" s="972"/>
      <c r="K189" s="972"/>
      <c r="L189" s="972"/>
      <c r="M189" s="972"/>
      <c r="N189" s="972"/>
      <c r="O189" s="972"/>
      <c r="P189" s="934"/>
    </row>
    <row r="190" spans="1:16" s="978" customFormat="1" x14ac:dyDescent="0.25">
      <c r="A190" s="973"/>
      <c r="B190" s="974" t="s">
        <v>106</v>
      </c>
      <c r="C190" s="975"/>
      <c r="D190" s="1103">
        <f>E188+H188+K188</f>
        <v>32655376.329999998</v>
      </c>
      <c r="E190" s="1103"/>
      <c r="F190" s="1103"/>
      <c r="G190" s="1103"/>
      <c r="H190" s="1103"/>
      <c r="I190" s="1103"/>
      <c r="J190" s="1103"/>
      <c r="K190" s="1103"/>
      <c r="L190" s="1103"/>
      <c r="M190" s="976"/>
      <c r="N190" s="976">
        <f>N188+N189</f>
        <v>16477306.300000001</v>
      </c>
      <c r="O190" s="976">
        <f>O188+O189</f>
        <v>0</v>
      </c>
      <c r="P190" s="977"/>
    </row>
    <row r="211" spans="7:7" x14ac:dyDescent="0.25">
      <c r="G211" s="1019" t="s">
        <v>217</v>
      </c>
    </row>
  </sheetData>
  <mergeCells count="12">
    <mergeCell ref="A6:L6"/>
    <mergeCell ref="D190:L190"/>
    <mergeCell ref="A1:O1"/>
    <mergeCell ref="D2:J2"/>
    <mergeCell ref="A4:A5"/>
    <mergeCell ref="B4:B5"/>
    <mergeCell ref="C4:C5"/>
    <mergeCell ref="D4:F4"/>
    <mergeCell ref="J4:L4"/>
    <mergeCell ref="C162:L162"/>
    <mergeCell ref="G4:I4"/>
    <mergeCell ref="M4:M5"/>
  </mergeCells>
  <pageMargins left="0.31496062992125984" right="0.31496062992125984" top="0.35433070866141736" bottom="0.35433070866141736" header="0" footer="0"/>
  <pageSetup paperSize="9" scale="48" fitToHeight="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5"/>
  <sheetViews>
    <sheetView topLeftCell="B1" workbookViewId="0">
      <selection activeCell="U24" sqref="U24"/>
    </sheetView>
  </sheetViews>
  <sheetFormatPr defaultColWidth="9.140625" defaultRowHeight="15" x14ac:dyDescent="0.25"/>
  <cols>
    <col min="1" max="1" width="8.7109375" style="316" hidden="1" customWidth="1"/>
    <col min="2" max="2" width="53.140625" style="113" customWidth="1"/>
    <col min="3" max="3" width="14" style="317" customWidth="1"/>
    <col min="4" max="4" width="15.85546875" style="318" hidden="1" customWidth="1"/>
    <col min="5" max="5" width="16.42578125" style="318" hidden="1" customWidth="1"/>
    <col min="6" max="6" width="12.5703125" style="318" hidden="1" customWidth="1"/>
    <col min="7" max="7" width="15.85546875" style="318" customWidth="1"/>
    <col min="8" max="8" width="14.85546875" style="318" customWidth="1"/>
    <col min="9" max="9" width="14" style="318" customWidth="1"/>
    <col min="10" max="10" width="16.42578125" style="318" hidden="1" customWidth="1"/>
    <col min="11" max="11" width="18.7109375" style="318" hidden="1" customWidth="1"/>
    <col min="12" max="12" width="13.7109375" style="318" hidden="1" customWidth="1"/>
    <col min="13" max="13" width="18.42578125" style="318" hidden="1" customWidth="1"/>
    <col min="14" max="14" width="18.5703125" style="318" hidden="1" customWidth="1"/>
    <col min="15" max="15" width="27.42578125" style="113" customWidth="1"/>
    <col min="16" max="16" width="12" style="113" bestFit="1" customWidth="1"/>
    <col min="17" max="16384" width="9.140625" style="113"/>
  </cols>
  <sheetData>
    <row r="1" spans="1:15" x14ac:dyDescent="0.25">
      <c r="A1" s="1104" t="s">
        <v>281</v>
      </c>
      <c r="B1" s="1104"/>
      <c r="C1" s="1104"/>
      <c r="D1" s="1104"/>
      <c r="E1" s="1104"/>
      <c r="F1" s="1104"/>
      <c r="G1" s="1104"/>
      <c r="H1" s="1104"/>
      <c r="I1" s="1104"/>
      <c r="J1" s="1104"/>
      <c r="K1" s="1104"/>
      <c r="L1" s="1104"/>
      <c r="M1" s="1104"/>
      <c r="N1" s="1104"/>
    </row>
    <row r="2" spans="1:15" x14ac:dyDescent="0.25">
      <c r="A2" s="137"/>
      <c r="B2" s="730"/>
      <c r="C2" s="731"/>
      <c r="D2" s="1105"/>
      <c r="E2" s="1105"/>
      <c r="F2" s="1105"/>
      <c r="G2" s="1105"/>
      <c r="H2" s="1105"/>
      <c r="I2" s="1105"/>
      <c r="J2" s="1105"/>
      <c r="K2" s="731"/>
      <c r="L2" s="731"/>
      <c r="M2" s="731"/>
      <c r="N2" s="731"/>
    </row>
    <row r="3" spans="1:15" ht="15.75" thickBot="1" x14ac:dyDescent="0.3">
      <c r="A3" s="137"/>
      <c r="B3" s="730"/>
      <c r="C3" s="731"/>
      <c r="D3" s="731"/>
      <c r="E3" s="731"/>
      <c r="F3" s="731"/>
      <c r="G3" s="731"/>
      <c r="H3" s="731"/>
      <c r="I3" s="731"/>
      <c r="J3" s="731"/>
      <c r="K3" s="731"/>
      <c r="L3" s="731"/>
      <c r="M3" s="731"/>
      <c r="N3" s="731"/>
    </row>
    <row r="4" spans="1:15" x14ac:dyDescent="0.25">
      <c r="A4" s="1123" t="s">
        <v>95</v>
      </c>
      <c r="B4" s="1125" t="s">
        <v>96</v>
      </c>
      <c r="C4" s="1127" t="s">
        <v>149</v>
      </c>
      <c r="D4" s="1128" t="s">
        <v>97</v>
      </c>
      <c r="E4" s="1129"/>
      <c r="F4" s="1130"/>
      <c r="G4" s="1128" t="s">
        <v>188</v>
      </c>
      <c r="H4" s="1129"/>
      <c r="I4" s="1130"/>
      <c r="J4" s="1128" t="s">
        <v>98</v>
      </c>
      <c r="K4" s="1129"/>
      <c r="L4" s="1130"/>
      <c r="M4" s="138" t="s">
        <v>44</v>
      </c>
      <c r="N4" s="139" t="s">
        <v>293</v>
      </c>
      <c r="O4" s="114"/>
    </row>
    <row r="5" spans="1:15" ht="42.75" x14ac:dyDescent="0.25">
      <c r="A5" s="1124"/>
      <c r="B5" s="1126"/>
      <c r="C5" s="1113"/>
      <c r="D5" s="140" t="s">
        <v>99</v>
      </c>
      <c r="E5" s="140" t="s">
        <v>100</v>
      </c>
      <c r="F5" s="140" t="s">
        <v>101</v>
      </c>
      <c r="G5" s="140" t="s">
        <v>99</v>
      </c>
      <c r="H5" s="140" t="s">
        <v>100</v>
      </c>
      <c r="I5" s="140" t="s">
        <v>101</v>
      </c>
      <c r="J5" s="140" t="s">
        <v>99</v>
      </c>
      <c r="K5" s="140" t="s">
        <v>100</v>
      </c>
      <c r="L5" s="140" t="s">
        <v>101</v>
      </c>
      <c r="M5" s="140" t="s">
        <v>77</v>
      </c>
      <c r="N5" s="141" t="s">
        <v>77</v>
      </c>
      <c r="O5" s="115" t="s">
        <v>199</v>
      </c>
    </row>
    <row r="6" spans="1:15" ht="15.75" thickBot="1" x14ac:dyDescent="0.3">
      <c r="A6" s="1114"/>
      <c r="B6" s="1115"/>
      <c r="C6" s="1115"/>
      <c r="D6" s="1115"/>
      <c r="E6" s="1115"/>
      <c r="F6" s="1115"/>
      <c r="G6" s="1115"/>
      <c r="H6" s="1115"/>
      <c r="I6" s="1115"/>
      <c r="J6" s="1115"/>
      <c r="K6" s="1115"/>
      <c r="L6" s="1116"/>
      <c r="M6" s="142"/>
      <c r="N6" s="143"/>
      <c r="O6" s="114"/>
    </row>
    <row r="7" spans="1:15" s="574" customFormat="1" ht="44.25" thickBot="1" x14ac:dyDescent="0.3">
      <c r="A7" s="595">
        <v>1</v>
      </c>
      <c r="B7" s="544" t="s">
        <v>108</v>
      </c>
      <c r="C7" s="545"/>
      <c r="D7" s="546" t="s">
        <v>30</v>
      </c>
      <c r="E7" s="620">
        <f>E8+E13+E15+E18+E28</f>
        <v>773870</v>
      </c>
      <c r="F7" s="548" t="s">
        <v>30</v>
      </c>
      <c r="G7" s="546" t="s">
        <v>30</v>
      </c>
      <c r="H7" s="547">
        <f>H8+H13+H15+H18+H28</f>
        <v>-959940</v>
      </c>
      <c r="I7" s="548" t="s">
        <v>30</v>
      </c>
      <c r="J7" s="549" t="s">
        <v>30</v>
      </c>
      <c r="K7" s="547">
        <f>K8+K13+K15+K18+K28</f>
        <v>-1000000</v>
      </c>
      <c r="L7" s="621" t="s">
        <v>30</v>
      </c>
      <c r="M7" s="551">
        <f>M8+M13+M15+M18+M28</f>
        <v>0</v>
      </c>
      <c r="N7" s="552">
        <f>N8+N13+N15+N18+N28</f>
        <v>0</v>
      </c>
      <c r="O7" s="543"/>
    </row>
    <row r="8" spans="1:15" s="155" customFormat="1" hidden="1" x14ac:dyDescent="0.25">
      <c r="A8" s="345" t="s">
        <v>143</v>
      </c>
      <c r="B8" s="346" t="s">
        <v>109</v>
      </c>
      <c r="C8" s="347"/>
      <c r="D8" s="348" t="s">
        <v>182</v>
      </c>
      <c r="E8" s="349">
        <f>SUM(E9:E12)</f>
        <v>773870</v>
      </c>
      <c r="F8" s="350" t="s">
        <v>30</v>
      </c>
      <c r="G8" s="348" t="s">
        <v>182</v>
      </c>
      <c r="H8" s="513">
        <f>SUM(H9:H12)</f>
        <v>0</v>
      </c>
      <c r="I8" s="350" t="s">
        <v>30</v>
      </c>
      <c r="J8" s="351" t="s">
        <v>182</v>
      </c>
      <c r="K8" s="349">
        <f>SUM(K9:K12)</f>
        <v>0</v>
      </c>
      <c r="L8" s="352" t="s">
        <v>30</v>
      </c>
      <c r="M8" s="353">
        <f t="shared" ref="M8:N8" si="0">SUM(M9:M12)</f>
        <v>0</v>
      </c>
      <c r="N8" s="354">
        <f t="shared" si="0"/>
        <v>0</v>
      </c>
      <c r="O8" s="117"/>
    </row>
    <row r="9" spans="1:15" s="154" customFormat="1" ht="30" hidden="1" x14ac:dyDescent="0.25">
      <c r="A9" s="156"/>
      <c r="B9" s="157" t="s">
        <v>202</v>
      </c>
      <c r="C9" s="158" t="s">
        <v>190</v>
      </c>
      <c r="D9" s="159">
        <v>0</v>
      </c>
      <c r="E9" s="160">
        <f>270854+503016</f>
        <v>773870</v>
      </c>
      <c r="F9" s="161">
        <v>1</v>
      </c>
      <c r="G9" s="159"/>
      <c r="H9" s="514"/>
      <c r="I9" s="162"/>
      <c r="J9" s="163"/>
      <c r="K9" s="160"/>
      <c r="L9" s="164"/>
      <c r="M9" s="159"/>
      <c r="N9" s="165"/>
      <c r="O9" s="116"/>
    </row>
    <row r="10" spans="1:15" s="154" customFormat="1" hidden="1" x14ac:dyDescent="0.25">
      <c r="A10" s="156"/>
      <c r="B10" s="157" t="s">
        <v>226</v>
      </c>
      <c r="C10" s="158" t="s">
        <v>190</v>
      </c>
      <c r="D10" s="159"/>
      <c r="E10" s="160"/>
      <c r="F10" s="161">
        <v>1</v>
      </c>
      <c r="G10" s="159"/>
      <c r="H10" s="514"/>
      <c r="I10" s="162" t="e">
        <f>H10/G10</f>
        <v>#DIV/0!</v>
      </c>
      <c r="J10" s="163"/>
      <c r="K10" s="160"/>
      <c r="L10" s="164"/>
      <c r="M10" s="159"/>
      <c r="N10" s="165"/>
      <c r="O10" s="116"/>
    </row>
    <row r="11" spans="1:15" s="154" customFormat="1" ht="30" hidden="1" x14ac:dyDescent="0.25">
      <c r="A11" s="156"/>
      <c r="B11" s="157" t="s">
        <v>224</v>
      </c>
      <c r="C11" s="158" t="s">
        <v>190</v>
      </c>
      <c r="D11" s="159"/>
      <c r="E11" s="160"/>
      <c r="F11" s="161"/>
      <c r="G11" s="159"/>
      <c r="H11" s="514"/>
      <c r="I11" s="162">
        <v>1</v>
      </c>
      <c r="J11" s="163"/>
      <c r="K11" s="160"/>
      <c r="L11" s="164"/>
      <c r="M11" s="159"/>
      <c r="N11" s="165"/>
      <c r="O11" s="116"/>
    </row>
    <row r="12" spans="1:15" s="154" customFormat="1" hidden="1" x14ac:dyDescent="0.25">
      <c r="A12" s="156"/>
      <c r="B12" s="157" t="s">
        <v>204</v>
      </c>
      <c r="C12" s="158" t="s">
        <v>190</v>
      </c>
      <c r="D12" s="166"/>
      <c r="E12" s="160"/>
      <c r="F12" s="167">
        <v>1</v>
      </c>
      <c r="G12" s="166"/>
      <c r="H12" s="514"/>
      <c r="I12" s="167">
        <v>0</v>
      </c>
      <c r="J12" s="168"/>
      <c r="K12" s="160"/>
      <c r="L12" s="169"/>
      <c r="M12" s="159"/>
      <c r="N12" s="165"/>
      <c r="O12" s="116"/>
    </row>
    <row r="13" spans="1:15" s="155" customFormat="1" ht="75" hidden="1" x14ac:dyDescent="0.25">
      <c r="A13" s="170" t="s">
        <v>144</v>
      </c>
      <c r="B13" s="171" t="s">
        <v>110</v>
      </c>
      <c r="C13" s="172"/>
      <c r="D13" s="173" t="s">
        <v>30</v>
      </c>
      <c r="E13" s="174">
        <f>SUM(E14:E14)</f>
        <v>0</v>
      </c>
      <c r="F13" s="175" t="s">
        <v>30</v>
      </c>
      <c r="G13" s="173" t="s">
        <v>30</v>
      </c>
      <c r="H13" s="515">
        <f>SUM(H14:H14)</f>
        <v>0</v>
      </c>
      <c r="I13" s="175" t="s">
        <v>30</v>
      </c>
      <c r="J13" s="176" t="s">
        <v>30</v>
      </c>
      <c r="K13" s="174">
        <f>SUM(K14:K14)</f>
        <v>0</v>
      </c>
      <c r="L13" s="177" t="s">
        <v>30</v>
      </c>
      <c r="M13" s="178">
        <f>SUM(M14:M14)</f>
        <v>0</v>
      </c>
      <c r="N13" s="179">
        <f>SUM(N14:N14)</f>
        <v>0</v>
      </c>
      <c r="O13" s="117"/>
    </row>
    <row r="14" spans="1:15" s="154" customFormat="1" ht="30" hidden="1" x14ac:dyDescent="0.25">
      <c r="A14" s="156"/>
      <c r="B14" s="180" t="s">
        <v>279</v>
      </c>
      <c r="C14" s="181" t="s">
        <v>195</v>
      </c>
      <c r="D14" s="182"/>
      <c r="E14" s="160"/>
      <c r="F14" s="183"/>
      <c r="G14" s="182"/>
      <c r="H14" s="514"/>
      <c r="I14" s="183">
        <v>1</v>
      </c>
      <c r="J14" s="184"/>
      <c r="K14" s="160"/>
      <c r="L14" s="185" t="e">
        <f>K14/J14</f>
        <v>#DIV/0!</v>
      </c>
      <c r="M14" s="160"/>
      <c r="N14" s="165"/>
      <c r="O14" s="120"/>
    </row>
    <row r="15" spans="1:15" s="155" customFormat="1" ht="45" hidden="1" x14ac:dyDescent="0.25">
      <c r="A15" s="170" t="s">
        <v>145</v>
      </c>
      <c r="B15" s="171" t="s">
        <v>111</v>
      </c>
      <c r="C15" s="172"/>
      <c r="D15" s="173" t="s">
        <v>30</v>
      </c>
      <c r="E15" s="186">
        <f>SUM(E16:E17)</f>
        <v>0</v>
      </c>
      <c r="F15" s="175" t="s">
        <v>30</v>
      </c>
      <c r="G15" s="173" t="s">
        <v>30</v>
      </c>
      <c r="H15" s="515">
        <f>SUM(H16:H17)</f>
        <v>0</v>
      </c>
      <c r="I15" s="175" t="s">
        <v>30</v>
      </c>
      <c r="J15" s="176" t="s">
        <v>30</v>
      </c>
      <c r="K15" s="174">
        <f>SUM(K16:K17)</f>
        <v>0</v>
      </c>
      <c r="L15" s="177" t="s">
        <v>30</v>
      </c>
      <c r="M15" s="178">
        <f t="shared" ref="M15:N15" si="1">SUM(M16:M17)</f>
        <v>0</v>
      </c>
      <c r="N15" s="179">
        <f t="shared" si="1"/>
        <v>0</v>
      </c>
      <c r="O15" s="117"/>
    </row>
    <row r="16" spans="1:15" s="154" customFormat="1" hidden="1" x14ac:dyDescent="0.25">
      <c r="A16" s="156"/>
      <c r="B16" s="157" t="s">
        <v>193</v>
      </c>
      <c r="C16" s="158" t="s">
        <v>191</v>
      </c>
      <c r="D16" s="166"/>
      <c r="E16" s="160"/>
      <c r="F16" s="167"/>
      <c r="G16" s="166"/>
      <c r="H16" s="514"/>
      <c r="I16" s="187">
        <v>1</v>
      </c>
      <c r="J16" s="188"/>
      <c r="K16" s="160"/>
      <c r="L16" s="169"/>
      <c r="M16" s="159"/>
      <c r="N16" s="165"/>
      <c r="O16" s="116"/>
    </row>
    <row r="17" spans="1:15" s="154" customFormat="1" hidden="1" x14ac:dyDescent="0.25">
      <c r="A17" s="156"/>
      <c r="B17" s="157"/>
      <c r="C17" s="158"/>
      <c r="D17" s="166"/>
      <c r="E17" s="160"/>
      <c r="F17" s="167"/>
      <c r="G17" s="166"/>
      <c r="H17" s="514"/>
      <c r="I17" s="167"/>
      <c r="J17" s="188"/>
      <c r="K17" s="160"/>
      <c r="L17" s="169"/>
      <c r="M17" s="159"/>
      <c r="N17" s="165"/>
      <c r="O17" s="116"/>
    </row>
    <row r="18" spans="1:15" s="587" customFormat="1" ht="45" x14ac:dyDescent="0.25">
      <c r="A18" s="575" t="s">
        <v>146</v>
      </c>
      <c r="B18" s="576" t="s">
        <v>112</v>
      </c>
      <c r="C18" s="577"/>
      <c r="D18" s="578" t="s">
        <v>30</v>
      </c>
      <c r="E18" s="579">
        <f>SUM(E19:E27)</f>
        <v>0</v>
      </c>
      <c r="F18" s="580" t="s">
        <v>30</v>
      </c>
      <c r="G18" s="578" t="s">
        <v>30</v>
      </c>
      <c r="H18" s="581">
        <f>SUM(H19:H27)</f>
        <v>-959940</v>
      </c>
      <c r="I18" s="580" t="s">
        <v>30</v>
      </c>
      <c r="J18" s="582" t="s">
        <v>30</v>
      </c>
      <c r="K18" s="581">
        <f>SUM(K19:K27)</f>
        <v>-1000000</v>
      </c>
      <c r="L18" s="583" t="s">
        <v>30</v>
      </c>
      <c r="M18" s="584">
        <f>SUM(M19:M27)</f>
        <v>0</v>
      </c>
      <c r="N18" s="585">
        <f>SUM(N19:N27)</f>
        <v>0</v>
      </c>
      <c r="O18" s="586"/>
    </row>
    <row r="19" spans="1:15" s="574" customFormat="1" hidden="1" x14ac:dyDescent="0.25">
      <c r="A19" s="588"/>
      <c r="B19" s="589" t="s">
        <v>187</v>
      </c>
      <c r="C19" s="535" t="s">
        <v>190</v>
      </c>
      <c r="D19" s="590"/>
      <c r="E19" s="537"/>
      <c r="F19" s="591"/>
      <c r="G19" s="536"/>
      <c r="H19" s="537"/>
      <c r="I19" s="538" t="e">
        <f>H19/G19</f>
        <v>#DIV/0!</v>
      </c>
      <c r="J19" s="592">
        <v>2400000</v>
      </c>
      <c r="K19" s="537">
        <v>-1000000</v>
      </c>
      <c r="L19" s="593">
        <f>K19/J19</f>
        <v>-0.41666666666666669</v>
      </c>
      <c r="M19" s="536"/>
      <c r="N19" s="594"/>
      <c r="O19" s="543"/>
    </row>
    <row r="20" spans="1:15" s="154" customFormat="1" ht="30" hidden="1" x14ac:dyDescent="0.25">
      <c r="A20" s="156"/>
      <c r="B20" s="189" t="s">
        <v>224</v>
      </c>
      <c r="C20" s="158" t="s">
        <v>190</v>
      </c>
      <c r="D20" s="166"/>
      <c r="E20" s="160"/>
      <c r="F20" s="167"/>
      <c r="G20" s="159"/>
      <c r="H20" s="514"/>
      <c r="I20" s="162">
        <v>1</v>
      </c>
      <c r="J20" s="190"/>
      <c r="K20" s="160"/>
      <c r="L20" s="185">
        <v>1</v>
      </c>
      <c r="M20" s="159"/>
      <c r="N20" s="165"/>
      <c r="O20" s="116"/>
    </row>
    <row r="21" spans="1:15" s="154" customFormat="1" hidden="1" x14ac:dyDescent="0.25">
      <c r="A21" s="156"/>
      <c r="B21" s="189" t="s">
        <v>205</v>
      </c>
      <c r="C21" s="158" t="s">
        <v>190</v>
      </c>
      <c r="D21" s="166"/>
      <c r="E21" s="160"/>
      <c r="F21" s="167" t="e">
        <f>E21/D21</f>
        <v>#DIV/0!</v>
      </c>
      <c r="G21" s="159"/>
      <c r="H21" s="514"/>
      <c r="I21" s="162"/>
      <c r="J21" s="190"/>
      <c r="K21" s="160"/>
      <c r="L21" s="185"/>
      <c r="M21" s="159"/>
      <c r="N21" s="165"/>
      <c r="O21" s="116"/>
    </row>
    <row r="22" spans="1:15" s="154" customFormat="1" hidden="1" x14ac:dyDescent="0.25">
      <c r="A22" s="156"/>
      <c r="B22" s="189" t="s">
        <v>233</v>
      </c>
      <c r="C22" s="158" t="s">
        <v>190</v>
      </c>
      <c r="D22" s="166"/>
      <c r="E22" s="160"/>
      <c r="F22" s="167"/>
      <c r="G22" s="159"/>
      <c r="H22" s="514"/>
      <c r="I22" s="162">
        <v>1</v>
      </c>
      <c r="J22" s="190"/>
      <c r="K22" s="160"/>
      <c r="L22" s="185"/>
      <c r="M22" s="159"/>
      <c r="N22" s="165"/>
      <c r="O22" s="116"/>
    </row>
    <row r="23" spans="1:15" s="154" customFormat="1" ht="30" x14ac:dyDescent="0.25">
      <c r="A23" s="156"/>
      <c r="B23" s="697" t="s">
        <v>203</v>
      </c>
      <c r="C23" s="698" t="s">
        <v>190</v>
      </c>
      <c r="D23" s="699"/>
      <c r="E23" s="514"/>
      <c r="F23" s="700"/>
      <c r="G23" s="701">
        <v>78443730</v>
      </c>
      <c r="H23" s="514">
        <f>-500000</f>
        <v>-500000</v>
      </c>
      <c r="I23" s="702">
        <f>H23/G23</f>
        <v>-6.3739957291679018E-3</v>
      </c>
      <c r="J23" s="703"/>
      <c r="K23" s="514"/>
      <c r="L23" s="704"/>
      <c r="M23" s="701"/>
      <c r="N23" s="705"/>
      <c r="O23" s="706" t="s">
        <v>348</v>
      </c>
    </row>
    <row r="24" spans="1:15" s="154" customFormat="1" ht="30.75" thickBot="1" x14ac:dyDescent="0.3">
      <c r="A24" s="156"/>
      <c r="B24" s="697" t="s">
        <v>213</v>
      </c>
      <c r="C24" s="698" t="s">
        <v>190</v>
      </c>
      <c r="D24" s="699"/>
      <c r="E24" s="514"/>
      <c r="F24" s="700"/>
      <c r="G24" s="701">
        <v>4865940</v>
      </c>
      <c r="H24" s="514">
        <f>-330000-129940</f>
        <v>-459940</v>
      </c>
      <c r="I24" s="702">
        <f>H24/G24</f>
        <v>-9.4522332786676364E-2</v>
      </c>
      <c r="J24" s="707"/>
      <c r="K24" s="514"/>
      <c r="L24" s="704"/>
      <c r="M24" s="701"/>
      <c r="N24" s="705"/>
      <c r="O24" s="706" t="s">
        <v>335</v>
      </c>
    </row>
    <row r="25" spans="1:15" s="154" customFormat="1" ht="15.75" hidden="1" thickBot="1" x14ac:dyDescent="0.3">
      <c r="A25" s="156"/>
      <c r="B25" s="189" t="s">
        <v>214</v>
      </c>
      <c r="C25" s="158" t="s">
        <v>190</v>
      </c>
      <c r="D25" s="166"/>
      <c r="E25" s="160"/>
      <c r="F25" s="167"/>
      <c r="G25" s="159"/>
      <c r="H25" s="514"/>
      <c r="I25" s="162" t="e">
        <f>H25/G25</f>
        <v>#DIV/0!</v>
      </c>
      <c r="J25" s="190"/>
      <c r="K25" s="160"/>
      <c r="L25" s="185"/>
      <c r="M25" s="159"/>
      <c r="N25" s="165"/>
      <c r="O25" s="118"/>
    </row>
    <row r="26" spans="1:15" s="154" customFormat="1" ht="15.75" hidden="1" thickBot="1" x14ac:dyDescent="0.3">
      <c r="A26" s="156"/>
      <c r="B26" s="189"/>
      <c r="C26" s="158"/>
      <c r="D26" s="166"/>
      <c r="E26" s="160"/>
      <c r="F26" s="167"/>
      <c r="G26" s="191"/>
      <c r="H26" s="514"/>
      <c r="I26" s="187">
        <v>1</v>
      </c>
      <c r="J26" s="190"/>
      <c r="K26" s="160"/>
      <c r="L26" s="185"/>
      <c r="M26" s="159"/>
      <c r="N26" s="165"/>
      <c r="O26" s="116"/>
    </row>
    <row r="27" spans="1:15" s="154" customFormat="1" ht="15.75" hidden="1" thickBot="1" x14ac:dyDescent="0.3">
      <c r="A27" s="156"/>
      <c r="B27" s="189" t="s">
        <v>201</v>
      </c>
      <c r="C27" s="192" t="s">
        <v>190</v>
      </c>
      <c r="D27" s="166"/>
      <c r="E27" s="160"/>
      <c r="F27" s="167"/>
      <c r="G27" s="191">
        <v>0</v>
      </c>
      <c r="H27" s="514"/>
      <c r="I27" s="187">
        <v>1</v>
      </c>
      <c r="J27" s="190"/>
      <c r="K27" s="160"/>
      <c r="L27" s="185"/>
      <c r="M27" s="159"/>
      <c r="N27" s="165"/>
      <c r="O27" s="116"/>
    </row>
    <row r="28" spans="1:15" s="154" customFormat="1" ht="15.75" hidden="1" thickBot="1" x14ac:dyDescent="0.3">
      <c r="A28" s="193" t="s">
        <v>147</v>
      </c>
      <c r="B28" s="194"/>
      <c r="C28" s="195"/>
      <c r="D28" s="196" t="s">
        <v>30</v>
      </c>
      <c r="E28" s="197">
        <f>SUM(E29:E30)</f>
        <v>0</v>
      </c>
      <c r="F28" s="198" t="s">
        <v>30</v>
      </c>
      <c r="G28" s="196" t="s">
        <v>30</v>
      </c>
      <c r="H28" s="516">
        <f>SUM(H29:H30)</f>
        <v>0</v>
      </c>
      <c r="I28" s="198" t="s">
        <v>30</v>
      </c>
      <c r="J28" s="199" t="s">
        <v>30</v>
      </c>
      <c r="K28" s="197">
        <f>SUM(K29:K30)</f>
        <v>0</v>
      </c>
      <c r="L28" s="200" t="s">
        <v>30</v>
      </c>
      <c r="M28" s="201">
        <f t="shared" ref="M28:N28" si="2">SUM(M29:M30)</f>
        <v>0</v>
      </c>
      <c r="N28" s="202">
        <f t="shared" si="2"/>
        <v>0</v>
      </c>
      <c r="O28" s="116"/>
    </row>
    <row r="29" spans="1:15" s="154" customFormat="1" ht="15.75" hidden="1" thickBot="1" x14ac:dyDescent="0.3">
      <c r="A29" s="156"/>
      <c r="B29" s="157"/>
      <c r="C29" s="158"/>
      <c r="D29" s="166"/>
      <c r="E29" s="160"/>
      <c r="F29" s="167"/>
      <c r="G29" s="166"/>
      <c r="H29" s="514"/>
      <c r="I29" s="167"/>
      <c r="J29" s="168"/>
      <c r="K29" s="160"/>
      <c r="L29" s="169"/>
      <c r="M29" s="159"/>
      <c r="N29" s="165"/>
      <c r="O29" s="116"/>
    </row>
    <row r="30" spans="1:15" s="154" customFormat="1" ht="15.75" hidden="1" thickBot="1" x14ac:dyDescent="0.3">
      <c r="A30" s="203"/>
      <c r="B30" s="204"/>
      <c r="C30" s="205"/>
      <c r="D30" s="206"/>
      <c r="E30" s="207"/>
      <c r="F30" s="208"/>
      <c r="G30" s="206"/>
      <c r="H30" s="517"/>
      <c r="I30" s="208"/>
      <c r="J30" s="209"/>
      <c r="K30" s="207"/>
      <c r="L30" s="210"/>
      <c r="M30" s="211"/>
      <c r="N30" s="212"/>
      <c r="O30" s="116"/>
    </row>
    <row r="31" spans="1:15" s="154" customFormat="1" ht="44.25" thickBot="1" x14ac:dyDescent="0.3">
      <c r="A31" s="144" t="s">
        <v>148</v>
      </c>
      <c r="B31" s="544" t="s">
        <v>107</v>
      </c>
      <c r="C31" s="545"/>
      <c r="D31" s="546" t="s">
        <v>30</v>
      </c>
      <c r="E31" s="547">
        <f>E32+E47+E50</f>
        <v>2500000</v>
      </c>
      <c r="F31" s="548" t="s">
        <v>30</v>
      </c>
      <c r="G31" s="546" t="s">
        <v>30</v>
      </c>
      <c r="H31" s="547">
        <f>H32+H47+H50</f>
        <v>-1376715</v>
      </c>
      <c r="I31" s="548" t="s">
        <v>30</v>
      </c>
      <c r="J31" s="549" t="s">
        <v>30</v>
      </c>
      <c r="K31" s="547">
        <f>K32+K47+K50</f>
        <v>0</v>
      </c>
      <c r="L31" s="621" t="s">
        <v>30</v>
      </c>
      <c r="M31" s="551">
        <f>M32+M47+M50</f>
        <v>0</v>
      </c>
      <c r="N31" s="552">
        <f>N32+N47+N50</f>
        <v>0</v>
      </c>
      <c r="O31" s="543"/>
    </row>
    <row r="32" spans="1:15" s="213" customFormat="1" ht="45" x14ac:dyDescent="0.25">
      <c r="A32" s="356" t="s">
        <v>150</v>
      </c>
      <c r="B32" s="598" t="s">
        <v>113</v>
      </c>
      <c r="C32" s="599"/>
      <c r="D32" s="600" t="s">
        <v>30</v>
      </c>
      <c r="E32" s="601">
        <f>SUM(E33:E46)</f>
        <v>2500000</v>
      </c>
      <c r="F32" s="602" t="s">
        <v>30</v>
      </c>
      <c r="G32" s="600" t="s">
        <v>30</v>
      </c>
      <c r="H32" s="601">
        <f>SUM(H33:H46)</f>
        <v>-1376715</v>
      </c>
      <c r="I32" s="602" t="s">
        <v>30</v>
      </c>
      <c r="J32" s="603" t="s">
        <v>30</v>
      </c>
      <c r="K32" s="601">
        <f>SUM(K33:K46)</f>
        <v>0</v>
      </c>
      <c r="L32" s="604" t="s">
        <v>30</v>
      </c>
      <c r="M32" s="605">
        <f t="shared" ref="M32:N32" si="3">SUM(M33:M46)</f>
        <v>0</v>
      </c>
      <c r="N32" s="606">
        <f t="shared" si="3"/>
        <v>0</v>
      </c>
      <c r="O32" s="607"/>
    </row>
    <row r="33" spans="1:15" s="154" customFormat="1" ht="20.25" hidden="1" customHeight="1" x14ac:dyDescent="0.25">
      <c r="A33" s="156"/>
      <c r="B33" s="189" t="s">
        <v>227</v>
      </c>
      <c r="C33" s="158" t="s">
        <v>191</v>
      </c>
      <c r="D33" s="159"/>
      <c r="E33" s="160"/>
      <c r="F33" s="167"/>
      <c r="G33" s="159">
        <f>82941257+917352</f>
        <v>83858609</v>
      </c>
      <c r="H33" s="514"/>
      <c r="I33" s="167">
        <f t="shared" ref="I33:I34" si="4">H33/G33</f>
        <v>0</v>
      </c>
      <c r="J33" s="188"/>
      <c r="K33" s="160"/>
      <c r="L33" s="169"/>
      <c r="M33" s="159"/>
      <c r="N33" s="165"/>
      <c r="O33" s="116" t="s">
        <v>306</v>
      </c>
    </row>
    <row r="34" spans="1:15" s="154" customFormat="1" ht="30" hidden="1" customHeight="1" x14ac:dyDescent="0.25">
      <c r="A34" s="156"/>
      <c r="B34" s="189" t="s">
        <v>280</v>
      </c>
      <c r="C34" s="158" t="s">
        <v>191</v>
      </c>
      <c r="D34" s="214"/>
      <c r="E34" s="215"/>
      <c r="F34" s="162"/>
      <c r="G34" s="214">
        <f>171331990+829776.5</f>
        <v>172161766.5</v>
      </c>
      <c r="H34" s="518"/>
      <c r="I34" s="167">
        <f t="shared" si="4"/>
        <v>0</v>
      </c>
      <c r="J34" s="216"/>
      <c r="K34" s="215"/>
      <c r="L34" s="217"/>
      <c r="M34" s="214"/>
      <c r="N34" s="218"/>
      <c r="O34" s="116" t="s">
        <v>307</v>
      </c>
    </row>
    <row r="35" spans="1:15" s="154" customFormat="1" hidden="1" x14ac:dyDescent="0.25">
      <c r="A35" s="156"/>
      <c r="B35" s="189" t="s">
        <v>255</v>
      </c>
      <c r="C35" s="158" t="s">
        <v>191</v>
      </c>
      <c r="D35" s="214"/>
      <c r="E35" s="215"/>
      <c r="F35" s="162"/>
      <c r="G35" s="214"/>
      <c r="H35" s="518"/>
      <c r="I35" s="167"/>
      <c r="J35" s="216"/>
      <c r="K35" s="215"/>
      <c r="L35" s="217"/>
      <c r="M35" s="214"/>
      <c r="N35" s="218"/>
      <c r="O35" s="116"/>
    </row>
    <row r="36" spans="1:15" s="154" customFormat="1" hidden="1" x14ac:dyDescent="0.25">
      <c r="A36" s="156"/>
      <c r="B36" s="157" t="s">
        <v>184</v>
      </c>
      <c r="C36" s="219" t="s">
        <v>191</v>
      </c>
      <c r="D36" s="214"/>
      <c r="E36" s="215"/>
      <c r="F36" s="162"/>
      <c r="G36" s="214"/>
      <c r="H36" s="518"/>
      <c r="I36" s="167"/>
      <c r="J36" s="216"/>
      <c r="K36" s="215"/>
      <c r="L36" s="217"/>
      <c r="M36" s="214"/>
      <c r="N36" s="218"/>
      <c r="O36" s="116"/>
    </row>
    <row r="37" spans="1:15" s="154" customFormat="1" ht="30" hidden="1" x14ac:dyDescent="0.25">
      <c r="A37" s="156"/>
      <c r="B37" s="157" t="s">
        <v>253</v>
      </c>
      <c r="C37" s="219" t="s">
        <v>191</v>
      </c>
      <c r="D37" s="214"/>
      <c r="E37" s="215"/>
      <c r="F37" s="162"/>
      <c r="G37" s="214"/>
      <c r="H37" s="518"/>
      <c r="I37" s="167"/>
      <c r="J37" s="216"/>
      <c r="K37" s="215"/>
      <c r="L37" s="217"/>
      <c r="M37" s="214"/>
      <c r="N37" s="218"/>
      <c r="O37" s="116"/>
    </row>
    <row r="38" spans="1:15" s="154" customFormat="1" hidden="1" x14ac:dyDescent="0.25">
      <c r="A38" s="156"/>
      <c r="B38" s="157" t="s">
        <v>254</v>
      </c>
      <c r="C38" s="219" t="s">
        <v>191</v>
      </c>
      <c r="D38" s="214"/>
      <c r="E38" s="215"/>
      <c r="F38" s="162"/>
      <c r="G38" s="214"/>
      <c r="H38" s="518"/>
      <c r="I38" s="167"/>
      <c r="J38" s="216"/>
      <c r="K38" s="215"/>
      <c r="L38" s="217"/>
      <c r="M38" s="214"/>
      <c r="N38" s="218"/>
      <c r="O38" s="116"/>
    </row>
    <row r="39" spans="1:15" s="154" customFormat="1" ht="30" hidden="1" x14ac:dyDescent="0.25">
      <c r="A39" s="156"/>
      <c r="B39" s="157" t="s">
        <v>296</v>
      </c>
      <c r="C39" s="219" t="s">
        <v>191</v>
      </c>
      <c r="D39" s="214">
        <v>0</v>
      </c>
      <c r="E39" s="215">
        <v>2500000</v>
      </c>
      <c r="F39" s="221">
        <v>1</v>
      </c>
      <c r="G39" s="214">
        <f>500000+1714896.5</f>
        <v>2214896.5</v>
      </c>
      <c r="H39" s="518"/>
      <c r="I39" s="167">
        <f t="shared" ref="I39:I40" si="5">H39/G39</f>
        <v>0</v>
      </c>
      <c r="J39" s="216"/>
      <c r="K39" s="215"/>
      <c r="L39" s="217"/>
      <c r="M39" s="214"/>
      <c r="N39" s="218"/>
      <c r="O39" s="116"/>
    </row>
    <row r="40" spans="1:15" s="154" customFormat="1" x14ac:dyDescent="0.25">
      <c r="A40" s="156"/>
      <c r="B40" s="609" t="s">
        <v>326</v>
      </c>
      <c r="C40" s="562" t="s">
        <v>191</v>
      </c>
      <c r="D40" s="622"/>
      <c r="E40" s="623"/>
      <c r="F40" s="624"/>
      <c r="G40" s="622">
        <v>14237000</v>
      </c>
      <c r="H40" s="623">
        <v>-1200000</v>
      </c>
      <c r="I40" s="700">
        <f t="shared" si="5"/>
        <v>-8.4287420102549693E-2</v>
      </c>
      <c r="J40" s="626"/>
      <c r="K40" s="623"/>
      <c r="L40" s="627"/>
      <c r="M40" s="622"/>
      <c r="N40" s="628"/>
      <c r="O40" s="543"/>
    </row>
    <row r="41" spans="1:15" s="154" customFormat="1" hidden="1" x14ac:dyDescent="0.25">
      <c r="A41" s="156"/>
      <c r="B41" s="609"/>
      <c r="C41" s="562" t="s">
        <v>191</v>
      </c>
      <c r="D41" s="622"/>
      <c r="E41" s="623"/>
      <c r="F41" s="624"/>
      <c r="G41" s="622"/>
      <c r="H41" s="623"/>
      <c r="I41" s="625"/>
      <c r="J41" s="626"/>
      <c r="K41" s="623"/>
      <c r="L41" s="627"/>
      <c r="M41" s="622"/>
      <c r="N41" s="628"/>
      <c r="O41" s="543"/>
    </row>
    <row r="42" spans="1:15" s="154" customFormat="1" ht="30" hidden="1" x14ac:dyDescent="0.25">
      <c r="A42" s="156"/>
      <c r="B42" s="609" t="s">
        <v>194</v>
      </c>
      <c r="C42" s="562" t="s">
        <v>191</v>
      </c>
      <c r="D42" s="622"/>
      <c r="E42" s="623"/>
      <c r="F42" s="624"/>
      <c r="G42" s="622"/>
      <c r="H42" s="623"/>
      <c r="I42" s="625" t="e">
        <f>H42/G42</f>
        <v>#DIV/0!</v>
      </c>
      <c r="J42" s="626"/>
      <c r="K42" s="623"/>
      <c r="L42" s="627"/>
      <c r="M42" s="622"/>
      <c r="N42" s="628"/>
      <c r="O42" s="543"/>
    </row>
    <row r="43" spans="1:15" s="154" customFormat="1" ht="30.75" thickBot="1" x14ac:dyDescent="0.3">
      <c r="A43" s="156"/>
      <c r="B43" s="609" t="s">
        <v>213</v>
      </c>
      <c r="C43" s="562" t="s">
        <v>191</v>
      </c>
      <c r="D43" s="622"/>
      <c r="E43" s="623"/>
      <c r="F43" s="624"/>
      <c r="G43" s="622">
        <v>6543554</v>
      </c>
      <c r="H43" s="623">
        <v>-176715</v>
      </c>
      <c r="I43" s="625">
        <f>H43/G43</f>
        <v>-2.700596648243447E-2</v>
      </c>
      <c r="J43" s="626"/>
      <c r="K43" s="623"/>
      <c r="L43" s="627"/>
      <c r="M43" s="622"/>
      <c r="N43" s="628"/>
      <c r="O43" s="543" t="s">
        <v>336</v>
      </c>
    </row>
    <row r="44" spans="1:15" s="154" customFormat="1" ht="30" hidden="1" x14ac:dyDescent="0.25">
      <c r="A44" s="156"/>
      <c r="B44" s="609" t="s">
        <v>224</v>
      </c>
      <c r="C44" s="562" t="s">
        <v>191</v>
      </c>
      <c r="D44" s="622"/>
      <c r="E44" s="623"/>
      <c r="F44" s="624"/>
      <c r="G44" s="622"/>
      <c r="H44" s="623"/>
      <c r="I44" s="625">
        <v>1</v>
      </c>
      <c r="J44" s="626"/>
      <c r="K44" s="623"/>
      <c r="L44" s="627"/>
      <c r="M44" s="622"/>
      <c r="N44" s="628"/>
      <c r="O44" s="543"/>
    </row>
    <row r="45" spans="1:15" s="154" customFormat="1" hidden="1" x14ac:dyDescent="0.25">
      <c r="A45" s="156"/>
      <c r="B45" s="609" t="s">
        <v>225</v>
      </c>
      <c r="C45" s="562" t="s">
        <v>191</v>
      </c>
      <c r="D45" s="622"/>
      <c r="E45" s="623"/>
      <c r="F45" s="624" t="e">
        <f>E45/D45</f>
        <v>#DIV/0!</v>
      </c>
      <c r="G45" s="622"/>
      <c r="H45" s="623"/>
      <c r="I45" s="625"/>
      <c r="J45" s="626"/>
      <c r="K45" s="623"/>
      <c r="L45" s="627"/>
      <c r="M45" s="622"/>
      <c r="N45" s="628"/>
      <c r="O45" s="543"/>
    </row>
    <row r="46" spans="1:15" s="154" customFormat="1" ht="15.75" hidden="1" thickBot="1" x14ac:dyDescent="0.3">
      <c r="A46" s="156"/>
      <c r="B46" s="609" t="s">
        <v>274</v>
      </c>
      <c r="C46" s="629" t="s">
        <v>191</v>
      </c>
      <c r="D46" s="568"/>
      <c r="E46" s="564"/>
      <c r="F46" s="565" t="e">
        <f>E46/D46</f>
        <v>#DIV/0!</v>
      </c>
      <c r="G46" s="568"/>
      <c r="H46" s="564"/>
      <c r="I46" s="630"/>
      <c r="J46" s="631"/>
      <c r="K46" s="564"/>
      <c r="L46" s="567"/>
      <c r="M46" s="568"/>
      <c r="N46" s="569"/>
      <c r="O46" s="543"/>
    </row>
    <row r="47" spans="1:15" s="154" customFormat="1" ht="45" hidden="1" x14ac:dyDescent="0.25">
      <c r="A47" s="193" t="s">
        <v>151</v>
      </c>
      <c r="B47" s="632" t="s">
        <v>114</v>
      </c>
      <c r="C47" s="633"/>
      <c r="D47" s="634" t="s">
        <v>30</v>
      </c>
      <c r="E47" s="635">
        <f>SUM(E48:E49)</f>
        <v>0</v>
      </c>
      <c r="F47" s="636" t="s">
        <v>30</v>
      </c>
      <c r="G47" s="634" t="s">
        <v>30</v>
      </c>
      <c r="H47" s="635">
        <f>SUM(H48:H49)</f>
        <v>0</v>
      </c>
      <c r="I47" s="636" t="s">
        <v>30</v>
      </c>
      <c r="J47" s="637" t="s">
        <v>30</v>
      </c>
      <c r="K47" s="635">
        <f>SUM(K48:K49)</f>
        <v>0</v>
      </c>
      <c r="L47" s="638" t="s">
        <v>30</v>
      </c>
      <c r="M47" s="639">
        <f t="shared" ref="M47:N47" si="6">SUM(M48:M49)</f>
        <v>0</v>
      </c>
      <c r="N47" s="640">
        <f t="shared" si="6"/>
        <v>0</v>
      </c>
      <c r="O47" s="543"/>
    </row>
    <row r="48" spans="1:15" s="154" customFormat="1" hidden="1" x14ac:dyDescent="0.25">
      <c r="A48" s="156"/>
      <c r="B48" s="641"/>
      <c r="C48" s="535"/>
      <c r="D48" s="590"/>
      <c r="E48" s="537"/>
      <c r="F48" s="591"/>
      <c r="G48" s="590"/>
      <c r="H48" s="537"/>
      <c r="I48" s="591"/>
      <c r="J48" s="642"/>
      <c r="K48" s="537"/>
      <c r="L48" s="643"/>
      <c r="M48" s="536"/>
      <c r="N48" s="594"/>
      <c r="O48" s="543"/>
    </row>
    <row r="49" spans="1:15" s="154" customFormat="1" ht="15.75" hidden="1" thickBot="1" x14ac:dyDescent="0.3">
      <c r="A49" s="156"/>
      <c r="B49" s="641"/>
      <c r="C49" s="629"/>
      <c r="D49" s="563"/>
      <c r="E49" s="564"/>
      <c r="F49" s="565"/>
      <c r="G49" s="563"/>
      <c r="H49" s="564"/>
      <c r="I49" s="565"/>
      <c r="J49" s="631"/>
      <c r="K49" s="564"/>
      <c r="L49" s="567"/>
      <c r="M49" s="568"/>
      <c r="N49" s="569"/>
      <c r="O49" s="543"/>
    </row>
    <row r="50" spans="1:15" s="213" customFormat="1" ht="45" hidden="1" x14ac:dyDescent="0.25">
      <c r="A50" s="223" t="s">
        <v>152</v>
      </c>
      <c r="B50" s="644" t="s">
        <v>115</v>
      </c>
      <c r="C50" s="645"/>
      <c r="D50" s="646" t="s">
        <v>30</v>
      </c>
      <c r="E50" s="581">
        <f>SUM(E51:E56)</f>
        <v>0</v>
      </c>
      <c r="F50" s="647" t="s">
        <v>30</v>
      </c>
      <c r="G50" s="646" t="s">
        <v>30</v>
      </c>
      <c r="H50" s="581">
        <f>SUM(H51:H56)</f>
        <v>0</v>
      </c>
      <c r="I50" s="647" t="s">
        <v>30</v>
      </c>
      <c r="J50" s="648" t="s">
        <v>30</v>
      </c>
      <c r="K50" s="581">
        <f>SUM(K51:K56)</f>
        <v>0</v>
      </c>
      <c r="L50" s="649" t="s">
        <v>30</v>
      </c>
      <c r="M50" s="584">
        <f t="shared" ref="M50:N50" si="7">SUM(M51:M56)</f>
        <v>0</v>
      </c>
      <c r="N50" s="585">
        <f t="shared" si="7"/>
        <v>0</v>
      </c>
      <c r="O50" s="607"/>
    </row>
    <row r="51" spans="1:15" s="154" customFormat="1" hidden="1" x14ac:dyDescent="0.25">
      <c r="A51" s="156"/>
      <c r="B51" s="222" t="s">
        <v>298</v>
      </c>
      <c r="C51" s="158" t="s">
        <v>195</v>
      </c>
      <c r="D51" s="166"/>
      <c r="E51" s="160"/>
      <c r="F51" s="167"/>
      <c r="G51" s="191">
        <v>790572</v>
      </c>
      <c r="H51" s="514"/>
      <c r="I51" s="167">
        <f>H51/G51</f>
        <v>0</v>
      </c>
      <c r="J51" s="168"/>
      <c r="K51" s="160"/>
      <c r="L51" s="169"/>
      <c r="M51" s="159"/>
      <c r="N51" s="165"/>
      <c r="O51" s="116"/>
    </row>
    <row r="52" spans="1:15" s="154" customFormat="1" hidden="1" x14ac:dyDescent="0.25">
      <c r="A52" s="224"/>
      <c r="B52" s="222"/>
      <c r="C52" s="158"/>
      <c r="D52" s="225"/>
      <c r="E52" s="215"/>
      <c r="F52" s="221"/>
      <c r="G52" s="226"/>
      <c r="H52" s="518"/>
      <c r="I52" s="167"/>
      <c r="J52" s="227"/>
      <c r="K52" s="215"/>
      <c r="L52" s="217"/>
      <c r="M52" s="214"/>
      <c r="N52" s="218"/>
      <c r="O52" s="116"/>
    </row>
    <row r="53" spans="1:15" s="154" customFormat="1" ht="30" hidden="1" x14ac:dyDescent="0.25">
      <c r="A53" s="224"/>
      <c r="B53" s="222" t="s">
        <v>224</v>
      </c>
      <c r="C53" s="158" t="s">
        <v>191</v>
      </c>
      <c r="D53" s="225">
        <v>0</v>
      </c>
      <c r="E53" s="215"/>
      <c r="F53" s="221"/>
      <c r="G53" s="226"/>
      <c r="H53" s="518"/>
      <c r="I53" s="167">
        <v>1</v>
      </c>
      <c r="J53" s="227"/>
      <c r="K53" s="215"/>
      <c r="L53" s="217"/>
      <c r="M53" s="214"/>
      <c r="N53" s="218"/>
      <c r="O53" s="116"/>
    </row>
    <row r="54" spans="1:15" s="154" customFormat="1" hidden="1" x14ac:dyDescent="0.25">
      <c r="A54" s="224"/>
      <c r="B54" s="362" t="s">
        <v>305</v>
      </c>
      <c r="C54" s="158" t="s">
        <v>191</v>
      </c>
      <c r="D54" s="225"/>
      <c r="E54" s="215"/>
      <c r="F54" s="221"/>
      <c r="G54" s="215">
        <v>550000</v>
      </c>
      <c r="H54" s="518"/>
      <c r="I54" s="167">
        <v>1</v>
      </c>
      <c r="J54" s="228"/>
      <c r="K54" s="215"/>
      <c r="L54" s="217"/>
      <c r="M54" s="214"/>
      <c r="N54" s="218"/>
      <c r="O54" s="116"/>
    </row>
    <row r="55" spans="1:15" s="574" customFormat="1" ht="15.75" hidden="1" thickBot="1" x14ac:dyDescent="0.3">
      <c r="A55" s="650"/>
      <c r="B55" s="641" t="s">
        <v>302</v>
      </c>
      <c r="C55" s="535" t="s">
        <v>191</v>
      </c>
      <c r="D55" s="651">
        <v>0</v>
      </c>
      <c r="E55" s="623"/>
      <c r="F55" s="624">
        <v>1</v>
      </c>
      <c r="G55" s="652">
        <v>268778</v>
      </c>
      <c r="H55" s="652"/>
      <c r="I55" s="591">
        <v>1</v>
      </c>
      <c r="J55" s="653"/>
      <c r="K55" s="623"/>
      <c r="L55" s="627"/>
      <c r="M55" s="622"/>
      <c r="N55" s="628"/>
      <c r="O55" s="543" t="s">
        <v>303</v>
      </c>
    </row>
    <row r="56" spans="1:15" s="154" customFormat="1" ht="15.75" hidden="1" thickBot="1" x14ac:dyDescent="0.3">
      <c r="A56" s="203"/>
      <c r="B56" s="222" t="s">
        <v>304</v>
      </c>
      <c r="C56" s="158" t="s">
        <v>191</v>
      </c>
      <c r="D56" s="206"/>
      <c r="E56" s="207"/>
      <c r="F56" s="208"/>
      <c r="G56" s="207">
        <v>350000</v>
      </c>
      <c r="H56" s="517"/>
      <c r="I56" s="167">
        <v>1</v>
      </c>
      <c r="J56" s="209"/>
      <c r="K56" s="207"/>
      <c r="L56" s="210"/>
      <c r="M56" s="211"/>
      <c r="N56" s="212"/>
      <c r="O56" s="116"/>
    </row>
    <row r="57" spans="1:15" s="574" customFormat="1" ht="44.25" thickBot="1" x14ac:dyDescent="0.3">
      <c r="A57" s="595" t="s">
        <v>153</v>
      </c>
      <c r="B57" s="544" t="s">
        <v>116</v>
      </c>
      <c r="C57" s="545"/>
      <c r="D57" s="546" t="s">
        <v>30</v>
      </c>
      <c r="E57" s="547">
        <f>E58+E78</f>
        <v>32895518</v>
      </c>
      <c r="F57" s="548" t="s">
        <v>30</v>
      </c>
      <c r="G57" s="546" t="s">
        <v>30</v>
      </c>
      <c r="H57" s="547">
        <f>H58+H78</f>
        <v>-36040</v>
      </c>
      <c r="I57" s="548" t="s">
        <v>30</v>
      </c>
      <c r="J57" s="549" t="s">
        <v>30</v>
      </c>
      <c r="K57" s="547">
        <f>K58+K78</f>
        <v>0</v>
      </c>
      <c r="L57" s="596" t="s">
        <v>30</v>
      </c>
      <c r="M57" s="551">
        <f>M58+M78</f>
        <v>0</v>
      </c>
      <c r="N57" s="552">
        <f>N58+N78</f>
        <v>0</v>
      </c>
      <c r="O57" s="543"/>
    </row>
    <row r="58" spans="1:15" s="608" customFormat="1" ht="45" x14ac:dyDescent="0.25">
      <c r="A58" s="597" t="s">
        <v>154</v>
      </c>
      <c r="B58" s="598" t="s">
        <v>117</v>
      </c>
      <c r="C58" s="599"/>
      <c r="D58" s="600" t="s">
        <v>30</v>
      </c>
      <c r="E58" s="601">
        <f>SUM(E59:E77)</f>
        <v>32895518</v>
      </c>
      <c r="F58" s="602" t="s">
        <v>30</v>
      </c>
      <c r="G58" s="600" t="s">
        <v>30</v>
      </c>
      <c r="H58" s="601">
        <f>SUM(H59:H77)</f>
        <v>-36040</v>
      </c>
      <c r="I58" s="602" t="s">
        <v>30</v>
      </c>
      <c r="J58" s="603" t="s">
        <v>30</v>
      </c>
      <c r="K58" s="601">
        <f>SUM(K59:K77)</f>
        <v>0</v>
      </c>
      <c r="L58" s="604" t="s">
        <v>30</v>
      </c>
      <c r="M58" s="605">
        <f t="shared" ref="M58:N58" si="8">SUM(M59:M77)</f>
        <v>0</v>
      </c>
      <c r="N58" s="606">
        <f t="shared" si="8"/>
        <v>0</v>
      </c>
      <c r="O58" s="607"/>
    </row>
    <row r="59" spans="1:15" s="574" customFormat="1" ht="30.75" thickBot="1" x14ac:dyDescent="0.3">
      <c r="A59" s="588"/>
      <c r="B59" s="609" t="s">
        <v>213</v>
      </c>
      <c r="C59" s="535" t="s">
        <v>197</v>
      </c>
      <c r="D59" s="590"/>
      <c r="E59" s="537"/>
      <c r="F59" s="538"/>
      <c r="G59" s="536">
        <v>1067911</v>
      </c>
      <c r="H59" s="537">
        <f>-20000-16040</f>
        <v>-36040</v>
      </c>
      <c r="I59" s="610">
        <f>H59/G59</f>
        <v>-3.3748130696284614E-2</v>
      </c>
      <c r="J59" s="611"/>
      <c r="K59" s="537"/>
      <c r="L59" s="593"/>
      <c r="M59" s="536"/>
      <c r="N59" s="594"/>
      <c r="O59" s="543" t="s">
        <v>337</v>
      </c>
    </row>
    <row r="60" spans="1:15" s="154" customFormat="1" ht="15.75" hidden="1" thickBot="1" x14ac:dyDescent="0.3">
      <c r="A60" s="156"/>
      <c r="B60" s="157" t="s">
        <v>275</v>
      </c>
      <c r="C60" s="158" t="s">
        <v>197</v>
      </c>
      <c r="D60" s="159">
        <v>5962781</v>
      </c>
      <c r="E60" s="160">
        <v>-113408</v>
      </c>
      <c r="F60" s="187">
        <f>E60/D60</f>
        <v>-1.9019313303641372E-2</v>
      </c>
      <c r="G60" s="191"/>
      <c r="H60" s="514"/>
      <c r="I60" s="187"/>
      <c r="J60" s="230"/>
      <c r="K60" s="160"/>
      <c r="L60" s="185"/>
      <c r="M60" s="159"/>
      <c r="N60" s="165"/>
      <c r="O60" s="116"/>
    </row>
    <row r="61" spans="1:15" s="154" customFormat="1" ht="45.75" hidden="1" thickBot="1" x14ac:dyDescent="0.3">
      <c r="A61" s="156"/>
      <c r="B61" s="157" t="s">
        <v>297</v>
      </c>
      <c r="C61" s="158" t="s">
        <v>197</v>
      </c>
      <c r="D61" s="159">
        <v>1481783</v>
      </c>
      <c r="E61" s="160">
        <v>-98843</v>
      </c>
      <c r="F61" s="187">
        <f>E61/D61</f>
        <v>-6.6705448773538359E-2</v>
      </c>
      <c r="G61" s="166"/>
      <c r="H61" s="514"/>
      <c r="I61" s="187"/>
      <c r="J61" s="232"/>
      <c r="K61" s="160"/>
      <c r="L61" s="233"/>
      <c r="M61" s="159"/>
      <c r="N61" s="165"/>
      <c r="O61" s="116"/>
    </row>
    <row r="62" spans="1:15" s="154" customFormat="1" ht="15.75" hidden="1" thickBot="1" x14ac:dyDescent="0.3">
      <c r="A62" s="156"/>
      <c r="B62" s="157" t="s">
        <v>258</v>
      </c>
      <c r="C62" s="158" t="s">
        <v>197</v>
      </c>
      <c r="D62" s="159"/>
      <c r="E62" s="160"/>
      <c r="F62" s="162" t="e">
        <f t="shared" ref="F62:F76" si="9">E62/D62</f>
        <v>#DIV/0!</v>
      </c>
      <c r="G62" s="166"/>
      <c r="H62" s="514"/>
      <c r="I62" s="187"/>
      <c r="J62" s="232"/>
      <c r="K62" s="160"/>
      <c r="L62" s="233"/>
      <c r="M62" s="159"/>
      <c r="N62" s="165"/>
      <c r="O62" s="116"/>
    </row>
    <row r="63" spans="1:15" s="154" customFormat="1" ht="15.75" hidden="1" thickBot="1" x14ac:dyDescent="0.3">
      <c r="A63" s="156"/>
      <c r="B63" s="157" t="s">
        <v>219</v>
      </c>
      <c r="C63" s="158" t="s">
        <v>220</v>
      </c>
      <c r="D63" s="231"/>
      <c r="E63" s="160"/>
      <c r="F63" s="162" t="e">
        <f t="shared" si="9"/>
        <v>#DIV/0!</v>
      </c>
      <c r="G63" s="166"/>
      <c r="H63" s="514"/>
      <c r="I63" s="187"/>
      <c r="J63" s="232"/>
      <c r="K63" s="160"/>
      <c r="L63" s="233"/>
      <c r="M63" s="159"/>
      <c r="N63" s="165"/>
      <c r="O63" s="116"/>
    </row>
    <row r="64" spans="1:15" s="154" customFormat="1" ht="15.75" hidden="1" thickBot="1" x14ac:dyDescent="0.3">
      <c r="A64" s="156"/>
      <c r="B64" s="157" t="s">
        <v>257</v>
      </c>
      <c r="C64" s="158" t="s">
        <v>197</v>
      </c>
      <c r="D64" s="231"/>
      <c r="E64" s="160"/>
      <c r="F64" s="162" t="e">
        <f t="shared" si="9"/>
        <v>#DIV/0!</v>
      </c>
      <c r="G64" s="166"/>
      <c r="H64" s="514"/>
      <c r="I64" s="187"/>
      <c r="J64" s="232"/>
      <c r="K64" s="160"/>
      <c r="L64" s="233"/>
      <c r="M64" s="159"/>
      <c r="N64" s="165"/>
      <c r="O64" s="116"/>
    </row>
    <row r="65" spans="1:15" s="154" customFormat="1" ht="30.75" hidden="1" thickBot="1" x14ac:dyDescent="0.3">
      <c r="A65" s="156"/>
      <c r="B65" s="157" t="s">
        <v>259</v>
      </c>
      <c r="C65" s="158" t="s">
        <v>197</v>
      </c>
      <c r="D65" s="231"/>
      <c r="E65" s="160"/>
      <c r="F65" s="162" t="e">
        <f t="shared" si="9"/>
        <v>#DIV/0!</v>
      </c>
      <c r="G65" s="166"/>
      <c r="H65" s="514"/>
      <c r="I65" s="187"/>
      <c r="J65" s="232"/>
      <c r="K65" s="160"/>
      <c r="L65" s="233"/>
      <c r="M65" s="159"/>
      <c r="N65" s="165"/>
      <c r="O65" s="116"/>
    </row>
    <row r="66" spans="1:15" s="154" customFormat="1" ht="30.75" hidden="1" thickBot="1" x14ac:dyDescent="0.3">
      <c r="A66" s="156"/>
      <c r="B66" s="157" t="s">
        <v>260</v>
      </c>
      <c r="C66" s="158" t="s">
        <v>197</v>
      </c>
      <c r="D66" s="231"/>
      <c r="E66" s="160"/>
      <c r="F66" s="162" t="e">
        <f t="shared" si="9"/>
        <v>#DIV/0!</v>
      </c>
      <c r="G66" s="166"/>
      <c r="H66" s="514"/>
      <c r="I66" s="187"/>
      <c r="J66" s="232"/>
      <c r="K66" s="160"/>
      <c r="L66" s="233"/>
      <c r="M66" s="159"/>
      <c r="N66" s="165"/>
      <c r="O66" s="116"/>
    </row>
    <row r="67" spans="1:15" s="154" customFormat="1" ht="30.75" hidden="1" thickBot="1" x14ac:dyDescent="0.3">
      <c r="A67" s="156"/>
      <c r="B67" s="157" t="s">
        <v>261</v>
      </c>
      <c r="C67" s="158" t="s">
        <v>197</v>
      </c>
      <c r="D67" s="231"/>
      <c r="E67" s="160"/>
      <c r="F67" s="162" t="e">
        <f t="shared" si="9"/>
        <v>#DIV/0!</v>
      </c>
      <c r="G67" s="166"/>
      <c r="H67" s="514"/>
      <c r="I67" s="187"/>
      <c r="J67" s="232"/>
      <c r="K67" s="160"/>
      <c r="L67" s="233"/>
      <c r="M67" s="159"/>
      <c r="N67" s="165"/>
      <c r="O67" s="116"/>
    </row>
    <row r="68" spans="1:15" s="154" customFormat="1" ht="15.75" hidden="1" thickBot="1" x14ac:dyDescent="0.3">
      <c r="A68" s="156"/>
      <c r="B68" s="157" t="s">
        <v>262</v>
      </c>
      <c r="C68" s="158" t="s">
        <v>197</v>
      </c>
      <c r="D68" s="231"/>
      <c r="E68" s="160"/>
      <c r="F68" s="162" t="e">
        <f t="shared" si="9"/>
        <v>#DIV/0!</v>
      </c>
      <c r="G68" s="166"/>
      <c r="H68" s="514"/>
      <c r="I68" s="187"/>
      <c r="J68" s="232"/>
      <c r="K68" s="160"/>
      <c r="L68" s="233"/>
      <c r="M68" s="159"/>
      <c r="N68" s="165"/>
      <c r="O68" s="116"/>
    </row>
    <row r="69" spans="1:15" s="154" customFormat="1" ht="15.75" hidden="1" thickBot="1" x14ac:dyDescent="0.3">
      <c r="A69" s="156"/>
      <c r="B69" s="157" t="s">
        <v>263</v>
      </c>
      <c r="C69" s="158" t="s">
        <v>195</v>
      </c>
      <c r="D69" s="231"/>
      <c r="E69" s="160"/>
      <c r="F69" s="162" t="e">
        <f t="shared" si="9"/>
        <v>#DIV/0!</v>
      </c>
      <c r="G69" s="166"/>
      <c r="H69" s="514"/>
      <c r="I69" s="187"/>
      <c r="J69" s="232"/>
      <c r="K69" s="160"/>
      <c r="L69" s="233"/>
      <c r="M69" s="159"/>
      <c r="N69" s="165"/>
      <c r="O69" s="116"/>
    </row>
    <row r="70" spans="1:15" s="154" customFormat="1" ht="30.75" hidden="1" thickBot="1" x14ac:dyDescent="0.3">
      <c r="A70" s="156"/>
      <c r="B70" s="157" t="s">
        <v>264</v>
      </c>
      <c r="C70" s="158" t="s">
        <v>221</v>
      </c>
      <c r="D70" s="231"/>
      <c r="E70" s="160"/>
      <c r="F70" s="162" t="e">
        <f t="shared" si="9"/>
        <v>#DIV/0!</v>
      </c>
      <c r="G70" s="166"/>
      <c r="H70" s="514"/>
      <c r="I70" s="187"/>
      <c r="J70" s="232"/>
      <c r="K70" s="160"/>
      <c r="L70" s="233"/>
      <c r="M70" s="159"/>
      <c r="N70" s="165"/>
      <c r="O70" s="116"/>
    </row>
    <row r="71" spans="1:15" s="154" customFormat="1" ht="15.75" hidden="1" thickBot="1" x14ac:dyDescent="0.3">
      <c r="A71" s="156"/>
      <c r="B71" s="157" t="s">
        <v>271</v>
      </c>
      <c r="C71" s="158" t="s">
        <v>221</v>
      </c>
      <c r="D71" s="231"/>
      <c r="E71" s="160"/>
      <c r="F71" s="162" t="e">
        <f t="shared" si="9"/>
        <v>#DIV/0!</v>
      </c>
      <c r="G71" s="166"/>
      <c r="H71" s="514"/>
      <c r="I71" s="187"/>
      <c r="J71" s="232"/>
      <c r="K71" s="160"/>
      <c r="L71" s="233"/>
      <c r="M71" s="159"/>
      <c r="N71" s="165"/>
      <c r="O71" s="116"/>
    </row>
    <row r="72" spans="1:15" s="154" customFormat="1" ht="60.75" hidden="1" thickBot="1" x14ac:dyDescent="0.3">
      <c r="A72" s="156"/>
      <c r="B72" s="157" t="s">
        <v>312</v>
      </c>
      <c r="C72" s="158" t="s">
        <v>221</v>
      </c>
      <c r="D72" s="231"/>
      <c r="E72" s="160"/>
      <c r="F72" s="162" t="e">
        <f t="shared" si="9"/>
        <v>#DIV/0!</v>
      </c>
      <c r="G72" s="166"/>
      <c r="H72" s="514"/>
      <c r="I72" s="187"/>
      <c r="J72" s="232"/>
      <c r="K72" s="160"/>
      <c r="L72" s="233"/>
      <c r="M72" s="159"/>
      <c r="N72" s="165"/>
      <c r="O72" s="116"/>
    </row>
    <row r="73" spans="1:15" s="154" customFormat="1" ht="30.75" hidden="1" thickBot="1" x14ac:dyDescent="0.3">
      <c r="A73" s="156"/>
      <c r="B73" s="157" t="s">
        <v>265</v>
      </c>
      <c r="C73" s="158" t="s">
        <v>220</v>
      </c>
      <c r="D73" s="231"/>
      <c r="E73" s="160"/>
      <c r="F73" s="162" t="e">
        <f t="shared" si="9"/>
        <v>#DIV/0!</v>
      </c>
      <c r="G73" s="166"/>
      <c r="H73" s="514"/>
      <c r="I73" s="187"/>
      <c r="J73" s="232"/>
      <c r="K73" s="160"/>
      <c r="L73" s="233"/>
      <c r="M73" s="159"/>
      <c r="N73" s="165"/>
      <c r="O73" s="116"/>
    </row>
    <row r="74" spans="1:15" s="154" customFormat="1" ht="45.75" hidden="1" thickBot="1" x14ac:dyDescent="0.3">
      <c r="A74" s="156"/>
      <c r="B74" s="157" t="s">
        <v>266</v>
      </c>
      <c r="C74" s="158" t="s">
        <v>220</v>
      </c>
      <c r="D74" s="166">
        <v>0</v>
      </c>
      <c r="E74" s="160">
        <v>33107769</v>
      </c>
      <c r="F74" s="187">
        <v>1</v>
      </c>
      <c r="G74" s="166"/>
      <c r="H74" s="514"/>
      <c r="I74" s="187"/>
      <c r="J74" s="230"/>
      <c r="K74" s="160"/>
      <c r="L74" s="185"/>
      <c r="M74" s="159"/>
      <c r="N74" s="165"/>
      <c r="O74" s="116"/>
    </row>
    <row r="75" spans="1:15" s="154" customFormat="1" ht="15.75" hidden="1" thickBot="1" x14ac:dyDescent="0.3">
      <c r="A75" s="156"/>
      <c r="B75" s="157" t="s">
        <v>267</v>
      </c>
      <c r="C75" s="158" t="s">
        <v>220</v>
      </c>
      <c r="D75" s="166"/>
      <c r="E75" s="160"/>
      <c r="F75" s="187" t="e">
        <f t="shared" si="9"/>
        <v>#DIV/0!</v>
      </c>
      <c r="G75" s="166"/>
      <c r="H75" s="514"/>
      <c r="I75" s="187"/>
      <c r="J75" s="230"/>
      <c r="K75" s="160"/>
      <c r="L75" s="185"/>
      <c r="M75" s="159"/>
      <c r="N75" s="165"/>
      <c r="O75" s="116"/>
    </row>
    <row r="76" spans="1:15" s="154" customFormat="1" ht="30.75" hidden="1" thickBot="1" x14ac:dyDescent="0.3">
      <c r="A76" s="156"/>
      <c r="B76" s="157" t="s">
        <v>268</v>
      </c>
      <c r="C76" s="158" t="s">
        <v>220</v>
      </c>
      <c r="D76" s="166"/>
      <c r="E76" s="160"/>
      <c r="F76" s="187" t="e">
        <f t="shared" si="9"/>
        <v>#DIV/0!</v>
      </c>
      <c r="G76" s="166"/>
      <c r="H76" s="514"/>
      <c r="I76" s="187"/>
      <c r="J76" s="230"/>
      <c r="K76" s="160"/>
      <c r="L76" s="185"/>
      <c r="M76" s="159"/>
      <c r="N76" s="165"/>
      <c r="O76" s="116"/>
    </row>
    <row r="77" spans="1:15" s="154" customFormat="1" ht="15.75" hidden="1" thickBot="1" x14ac:dyDescent="0.3">
      <c r="A77" s="156"/>
      <c r="B77" s="157"/>
      <c r="C77" s="158"/>
      <c r="D77" s="166"/>
      <c r="E77" s="160"/>
      <c r="F77" s="187"/>
      <c r="G77" s="166"/>
      <c r="H77" s="514"/>
      <c r="I77" s="187"/>
      <c r="J77" s="230"/>
      <c r="K77" s="160"/>
      <c r="L77" s="185"/>
      <c r="M77" s="159"/>
      <c r="N77" s="165"/>
      <c r="O77" s="116"/>
    </row>
    <row r="78" spans="1:15" s="154" customFormat="1" ht="45.75" hidden="1" thickBot="1" x14ac:dyDescent="0.3">
      <c r="A78" s="193" t="s">
        <v>155</v>
      </c>
      <c r="B78" s="194" t="s">
        <v>118</v>
      </c>
      <c r="C78" s="195"/>
      <c r="D78" s="196" t="s">
        <v>30</v>
      </c>
      <c r="E78" s="197">
        <f>SUM(E79:E80)</f>
        <v>0</v>
      </c>
      <c r="F78" s="198" t="s">
        <v>30</v>
      </c>
      <c r="G78" s="196" t="s">
        <v>30</v>
      </c>
      <c r="H78" s="516">
        <f>SUM(H79:H80)</f>
        <v>0</v>
      </c>
      <c r="I78" s="198" t="s">
        <v>30</v>
      </c>
      <c r="J78" s="199" t="s">
        <v>30</v>
      </c>
      <c r="K78" s="197">
        <f>SUM(K79:K80)</f>
        <v>0</v>
      </c>
      <c r="L78" s="200" t="s">
        <v>30</v>
      </c>
      <c r="M78" s="201">
        <f t="shared" ref="M78:N78" si="10">SUM(M79:M80)</f>
        <v>0</v>
      </c>
      <c r="N78" s="202">
        <f t="shared" si="10"/>
        <v>0</v>
      </c>
      <c r="O78" s="116"/>
    </row>
    <row r="79" spans="1:15" s="154" customFormat="1" ht="15.75" hidden="1" thickBot="1" x14ac:dyDescent="0.3">
      <c r="A79" s="156"/>
      <c r="B79" s="222" t="s">
        <v>186</v>
      </c>
      <c r="C79" s="158" t="s">
        <v>191</v>
      </c>
      <c r="D79" s="166"/>
      <c r="E79" s="160"/>
      <c r="F79" s="167"/>
      <c r="G79" s="191"/>
      <c r="H79" s="514"/>
      <c r="I79" s="187" t="e">
        <f>H79/G79</f>
        <v>#DIV/0!</v>
      </c>
      <c r="J79" s="168"/>
      <c r="K79" s="160"/>
      <c r="L79" s="169"/>
      <c r="M79" s="159"/>
      <c r="N79" s="165"/>
      <c r="O79" s="116"/>
    </row>
    <row r="80" spans="1:15" s="154" customFormat="1" ht="15.75" hidden="1" thickBot="1" x14ac:dyDescent="0.3">
      <c r="A80" s="224"/>
      <c r="B80" s="222"/>
      <c r="C80" s="219"/>
      <c r="D80" s="225"/>
      <c r="E80" s="215"/>
      <c r="F80" s="221"/>
      <c r="G80" s="225"/>
      <c r="H80" s="518"/>
      <c r="I80" s="221"/>
      <c r="J80" s="227"/>
      <c r="K80" s="215"/>
      <c r="L80" s="217"/>
      <c r="M80" s="214"/>
      <c r="N80" s="218"/>
      <c r="O80" s="116"/>
    </row>
    <row r="81" spans="1:15" s="154" customFormat="1" ht="15.75" hidden="1" thickBot="1" x14ac:dyDescent="0.3">
      <c r="A81" s="144" t="s">
        <v>156</v>
      </c>
      <c r="B81" s="145" t="s">
        <v>119</v>
      </c>
      <c r="C81" s="146"/>
      <c r="D81" s="147" t="s">
        <v>30</v>
      </c>
      <c r="E81" s="150">
        <f>E82+E83</f>
        <v>0</v>
      </c>
      <c r="F81" s="149" t="s">
        <v>30</v>
      </c>
      <c r="G81" s="147" t="s">
        <v>30</v>
      </c>
      <c r="H81" s="512">
        <f>H82+H83</f>
        <v>0</v>
      </c>
      <c r="I81" s="149" t="s">
        <v>30</v>
      </c>
      <c r="J81" s="151" t="s">
        <v>30</v>
      </c>
      <c r="K81" s="150">
        <f t="shared" ref="K81:N81" si="11">K82+K83</f>
        <v>0</v>
      </c>
      <c r="L81" s="229" t="s">
        <v>30</v>
      </c>
      <c r="M81" s="152">
        <f t="shared" si="11"/>
        <v>0</v>
      </c>
      <c r="N81" s="153">
        <f t="shared" si="11"/>
        <v>0</v>
      </c>
      <c r="O81" s="116"/>
    </row>
    <row r="82" spans="1:15" s="154" customFormat="1" ht="45.75" hidden="1" thickBot="1" x14ac:dyDescent="0.3">
      <c r="A82" s="234"/>
      <c r="B82" s="235" t="s">
        <v>228</v>
      </c>
      <c r="C82" s="236" t="s">
        <v>197</v>
      </c>
      <c r="D82" s="237"/>
      <c r="E82" s="238"/>
      <c r="F82" s="239"/>
      <c r="G82" s="237">
        <v>8500</v>
      </c>
      <c r="H82" s="519"/>
      <c r="I82" s="239">
        <f>H82/G82</f>
        <v>0</v>
      </c>
      <c r="J82" s="240"/>
      <c r="K82" s="238"/>
      <c r="L82" s="241"/>
      <c r="M82" s="242"/>
      <c r="N82" s="243"/>
      <c r="O82" s="116"/>
    </row>
    <row r="83" spans="1:15" s="154" customFormat="1" ht="15.75" hidden="1" thickBot="1" x14ac:dyDescent="0.3">
      <c r="A83" s="244"/>
      <c r="B83" s="245"/>
      <c r="C83" s="219"/>
      <c r="D83" s="246"/>
      <c r="E83" s="247"/>
      <c r="F83" s="248"/>
      <c r="G83" s="246"/>
      <c r="H83" s="520"/>
      <c r="I83" s="248"/>
      <c r="J83" s="249"/>
      <c r="K83" s="247"/>
      <c r="L83" s="250"/>
      <c r="M83" s="251"/>
      <c r="N83" s="252"/>
      <c r="O83" s="116"/>
    </row>
    <row r="84" spans="1:15" s="154" customFormat="1" ht="15.75" hidden="1" thickBot="1" x14ac:dyDescent="0.3">
      <c r="A84" s="244"/>
      <c r="B84" s="133"/>
      <c r="C84" s="181"/>
      <c r="D84" s="182"/>
      <c r="E84" s="160"/>
      <c r="F84" s="183"/>
      <c r="G84" s="182"/>
      <c r="H84" s="514"/>
      <c r="I84" s="183"/>
      <c r="J84" s="182"/>
      <c r="K84" s="160"/>
      <c r="L84" s="183"/>
      <c r="M84" s="160"/>
      <c r="N84" s="165"/>
      <c r="O84" s="116"/>
    </row>
    <row r="85" spans="1:15" s="154" customFormat="1" ht="15.75" hidden="1" thickBot="1" x14ac:dyDescent="0.3">
      <c r="A85" s="244"/>
      <c r="B85" s="133"/>
      <c r="C85" s="181"/>
      <c r="D85" s="182"/>
      <c r="E85" s="160"/>
      <c r="F85" s="183"/>
      <c r="G85" s="182"/>
      <c r="H85" s="514"/>
      <c r="I85" s="183"/>
      <c r="J85" s="182"/>
      <c r="K85" s="160"/>
      <c r="L85" s="183"/>
      <c r="M85" s="160"/>
      <c r="N85" s="165"/>
      <c r="O85" s="116"/>
    </row>
    <row r="86" spans="1:15" s="154" customFormat="1" ht="15.75" hidden="1" thickBot="1" x14ac:dyDescent="0.3">
      <c r="A86" s="244"/>
      <c r="B86" s="133"/>
      <c r="C86" s="181"/>
      <c r="D86" s="182"/>
      <c r="E86" s="160"/>
      <c r="F86" s="183"/>
      <c r="G86" s="182"/>
      <c r="H86" s="514"/>
      <c r="I86" s="183"/>
      <c r="J86" s="182"/>
      <c r="K86" s="160"/>
      <c r="L86" s="183"/>
      <c r="M86" s="160"/>
      <c r="N86" s="165"/>
      <c r="O86" s="116"/>
    </row>
    <row r="87" spans="1:15" s="154" customFormat="1" ht="15.75" hidden="1" thickBot="1" x14ac:dyDescent="0.3">
      <c r="A87" s="244"/>
      <c r="B87" s="133"/>
      <c r="C87" s="181"/>
      <c r="D87" s="182"/>
      <c r="E87" s="160"/>
      <c r="F87" s="183"/>
      <c r="G87" s="182"/>
      <c r="H87" s="514"/>
      <c r="I87" s="183"/>
      <c r="J87" s="182"/>
      <c r="K87" s="160"/>
      <c r="L87" s="183"/>
      <c r="M87" s="160"/>
      <c r="N87" s="165"/>
      <c r="O87" s="116"/>
    </row>
    <row r="88" spans="1:15" s="154" customFormat="1" ht="15.75" hidden="1" thickBot="1" x14ac:dyDescent="0.3">
      <c r="A88" s="244"/>
      <c r="B88" s="253"/>
      <c r="C88" s="254"/>
      <c r="D88" s="255"/>
      <c r="E88" s="215"/>
      <c r="F88" s="256"/>
      <c r="G88" s="255"/>
      <c r="H88" s="518"/>
      <c r="I88" s="256"/>
      <c r="J88" s="255"/>
      <c r="K88" s="215"/>
      <c r="L88" s="256"/>
      <c r="M88" s="215"/>
      <c r="N88" s="218"/>
      <c r="O88" s="119"/>
    </row>
    <row r="89" spans="1:15" s="365" customFormat="1" ht="44.25" hidden="1" thickBot="1" x14ac:dyDescent="0.3">
      <c r="A89" s="363" t="s">
        <v>157</v>
      </c>
      <c r="B89" s="257" t="s">
        <v>120</v>
      </c>
      <c r="C89" s="258"/>
      <c r="D89" s="147" t="s">
        <v>30</v>
      </c>
      <c r="E89" s="150">
        <f>E90+E92+E96+E99</f>
        <v>0</v>
      </c>
      <c r="F89" s="149" t="s">
        <v>30</v>
      </c>
      <c r="G89" s="147" t="s">
        <v>30</v>
      </c>
      <c r="H89" s="512">
        <f>H90+H92+H96+H99</f>
        <v>0</v>
      </c>
      <c r="I89" s="149" t="s">
        <v>30</v>
      </c>
      <c r="J89" s="151" t="s">
        <v>30</v>
      </c>
      <c r="K89" s="150">
        <f>K90+K92+K96+K99</f>
        <v>1479733</v>
      </c>
      <c r="L89" s="229" t="s">
        <v>30</v>
      </c>
      <c r="M89" s="152">
        <f>M90+M92+M96+M99</f>
        <v>0</v>
      </c>
      <c r="N89" s="153">
        <f>N90+N92+N96+N99</f>
        <v>0</v>
      </c>
      <c r="O89" s="364"/>
    </row>
    <row r="90" spans="1:15" s="365" customFormat="1" ht="60.75" hidden="1" thickBot="1" x14ac:dyDescent="0.3">
      <c r="A90" s="366" t="s">
        <v>158</v>
      </c>
      <c r="B90" s="367" t="s">
        <v>121</v>
      </c>
      <c r="C90" s="368"/>
      <c r="D90" s="369" t="s">
        <v>30</v>
      </c>
      <c r="E90" s="370">
        <f>SUM(E91:E91)</f>
        <v>0</v>
      </c>
      <c r="F90" s="371" t="s">
        <v>30</v>
      </c>
      <c r="G90" s="369" t="s">
        <v>30</v>
      </c>
      <c r="H90" s="521">
        <f>SUM(H91:H91)</f>
        <v>0</v>
      </c>
      <c r="I90" s="371" t="s">
        <v>30</v>
      </c>
      <c r="J90" s="372" t="s">
        <v>30</v>
      </c>
      <c r="K90" s="370">
        <f>SUM(K91:K91)</f>
        <v>0</v>
      </c>
      <c r="L90" s="373" t="s">
        <v>30</v>
      </c>
      <c r="M90" s="374">
        <f>SUM(M91:M91)</f>
        <v>0</v>
      </c>
      <c r="N90" s="375">
        <f>SUM(N91:N91)</f>
        <v>0</v>
      </c>
      <c r="O90" s="132"/>
    </row>
    <row r="91" spans="1:15" s="365" customFormat="1" ht="30.75" hidden="1" thickBot="1" x14ac:dyDescent="0.3">
      <c r="A91" s="376"/>
      <c r="B91" s="377" t="s">
        <v>235</v>
      </c>
      <c r="C91" s="378"/>
      <c r="D91" s="379"/>
      <c r="E91" s="380"/>
      <c r="F91" s="381"/>
      <c r="G91" s="379"/>
      <c r="H91" s="522"/>
      <c r="I91" s="381">
        <v>0</v>
      </c>
      <c r="J91" s="382"/>
      <c r="K91" s="380"/>
      <c r="L91" s="383"/>
      <c r="M91" s="384"/>
      <c r="N91" s="385"/>
      <c r="O91" s="386"/>
    </row>
    <row r="92" spans="1:15" s="396" customFormat="1" ht="60.75" hidden="1" thickBot="1" x14ac:dyDescent="0.3">
      <c r="A92" s="376" t="s">
        <v>159</v>
      </c>
      <c r="B92" s="387" t="s">
        <v>122</v>
      </c>
      <c r="C92" s="388"/>
      <c r="D92" s="389" t="s">
        <v>30</v>
      </c>
      <c r="E92" s="390">
        <f>SUM(E93:E95)</f>
        <v>0</v>
      </c>
      <c r="F92" s="391" t="s">
        <v>30</v>
      </c>
      <c r="G92" s="389" t="s">
        <v>30</v>
      </c>
      <c r="H92" s="523">
        <f>SUM(H93:H95)</f>
        <v>0</v>
      </c>
      <c r="I92" s="391" t="s">
        <v>30</v>
      </c>
      <c r="J92" s="392" t="s">
        <v>30</v>
      </c>
      <c r="K92" s="390">
        <f>SUM(K93:K95)</f>
        <v>0</v>
      </c>
      <c r="L92" s="393" t="s">
        <v>30</v>
      </c>
      <c r="M92" s="394">
        <f>SUM(M93:M95)</f>
        <v>0</v>
      </c>
      <c r="N92" s="395">
        <f>SUM(N93:N95)</f>
        <v>0</v>
      </c>
      <c r="O92" s="132"/>
    </row>
    <row r="93" spans="1:15" s="154" customFormat="1" ht="45.75" hidden="1" thickBot="1" x14ac:dyDescent="0.3">
      <c r="A93" s="156"/>
      <c r="B93" s="397" t="s">
        <v>181</v>
      </c>
      <c r="C93" s="158" t="s">
        <v>195</v>
      </c>
      <c r="D93" s="166"/>
      <c r="E93" s="160"/>
      <c r="F93" s="167"/>
      <c r="G93" s="166"/>
      <c r="H93" s="514"/>
      <c r="I93" s="167"/>
      <c r="J93" s="168"/>
      <c r="K93" s="160"/>
      <c r="L93" s="185">
        <v>1</v>
      </c>
      <c r="M93" s="159"/>
      <c r="N93" s="165"/>
      <c r="O93" s="116"/>
    </row>
    <row r="94" spans="1:15" s="154" customFormat="1" ht="45.75" hidden="1" thickBot="1" x14ac:dyDescent="0.3">
      <c r="A94" s="156"/>
      <c r="B94" s="397" t="s">
        <v>256</v>
      </c>
      <c r="C94" s="158" t="s">
        <v>195</v>
      </c>
      <c r="D94" s="226">
        <v>0</v>
      </c>
      <c r="E94" s="215">
        <v>0</v>
      </c>
      <c r="F94" s="221">
        <v>0</v>
      </c>
      <c r="G94" s="225">
        <v>0</v>
      </c>
      <c r="H94" s="518">
        <v>0</v>
      </c>
      <c r="I94" s="398" t="e">
        <f>H94/G94</f>
        <v>#DIV/0!</v>
      </c>
      <c r="J94" s="227"/>
      <c r="K94" s="215"/>
      <c r="L94" s="217"/>
      <c r="M94" s="214"/>
      <c r="N94" s="218"/>
      <c r="O94" s="116"/>
    </row>
    <row r="95" spans="1:15" s="154" customFormat="1" ht="45.75" hidden="1" thickBot="1" x14ac:dyDescent="0.3">
      <c r="A95" s="156"/>
      <c r="B95" s="397" t="s">
        <v>252</v>
      </c>
      <c r="C95" s="158" t="s">
        <v>195</v>
      </c>
      <c r="D95" s="225"/>
      <c r="E95" s="215"/>
      <c r="F95" s="221"/>
      <c r="G95" s="225">
        <v>0</v>
      </c>
      <c r="H95" s="518">
        <v>0</v>
      </c>
      <c r="I95" s="398">
        <v>1</v>
      </c>
      <c r="J95" s="227"/>
      <c r="K95" s="215"/>
      <c r="L95" s="217"/>
      <c r="M95" s="214"/>
      <c r="N95" s="218"/>
      <c r="O95" s="116"/>
    </row>
    <row r="96" spans="1:15" s="213" customFormat="1" ht="46.5" hidden="1" customHeight="1" x14ac:dyDescent="0.25">
      <c r="A96" s="223" t="s">
        <v>160</v>
      </c>
      <c r="B96" s="399" t="s">
        <v>123</v>
      </c>
      <c r="C96" s="357"/>
      <c r="D96" s="358">
        <f>SUM(D97:D98)</f>
        <v>0</v>
      </c>
      <c r="E96" s="358">
        <f>SUM(E97:E98)</f>
        <v>0</v>
      </c>
      <c r="F96" s="359" t="s">
        <v>30</v>
      </c>
      <c r="G96" s="358" t="s">
        <v>30</v>
      </c>
      <c r="H96" s="524">
        <f>SUM(H97:H98)</f>
        <v>0</v>
      </c>
      <c r="I96" s="359" t="s">
        <v>30</v>
      </c>
      <c r="J96" s="360" t="s">
        <v>30</v>
      </c>
      <c r="K96" s="400">
        <f>SUM(K97:K98)</f>
        <v>1479733</v>
      </c>
      <c r="L96" s="361" t="s">
        <v>30</v>
      </c>
      <c r="M96" s="358">
        <f>SUM(M97:M98)</f>
        <v>0</v>
      </c>
      <c r="N96" s="401">
        <f>SUM(N97:N98)</f>
        <v>0</v>
      </c>
      <c r="O96" s="132"/>
    </row>
    <row r="97" spans="1:15" s="213" customFormat="1" ht="30.75" hidden="1" thickBot="1" x14ac:dyDescent="0.3">
      <c r="A97" s="223"/>
      <c r="B97" s="397" t="s">
        <v>290</v>
      </c>
      <c r="C97" s="158" t="s">
        <v>195</v>
      </c>
      <c r="D97" s="225"/>
      <c r="E97" s="215"/>
      <c r="F97" s="221"/>
      <c r="G97" s="226"/>
      <c r="H97" s="518"/>
      <c r="I97" s="398"/>
      <c r="J97" s="228">
        <v>0</v>
      </c>
      <c r="K97" s="215">
        <f>292618+14115</f>
        <v>306733</v>
      </c>
      <c r="L97" s="217">
        <v>1</v>
      </c>
      <c r="M97" s="214"/>
      <c r="N97" s="218"/>
      <c r="O97" s="116"/>
    </row>
    <row r="98" spans="1:15" s="213" customFormat="1" ht="29.25" hidden="1" customHeight="1" x14ac:dyDescent="0.25">
      <c r="A98" s="223"/>
      <c r="B98" s="397" t="s">
        <v>299</v>
      </c>
      <c r="C98" s="158" t="s">
        <v>195</v>
      </c>
      <c r="D98" s="225"/>
      <c r="E98" s="215"/>
      <c r="F98" s="221"/>
      <c r="G98" s="226"/>
      <c r="H98" s="518"/>
      <c r="I98" s="398"/>
      <c r="J98" s="216">
        <v>0</v>
      </c>
      <c r="K98" s="215">
        <f>273000+900000</f>
        <v>1173000</v>
      </c>
      <c r="L98" s="217">
        <v>1</v>
      </c>
      <c r="M98" s="214"/>
      <c r="N98" s="218"/>
      <c r="O98" s="116" t="s">
        <v>313</v>
      </c>
    </row>
    <row r="99" spans="1:15" s="213" customFormat="1" ht="60.75" hidden="1" thickBot="1" x14ac:dyDescent="0.3">
      <c r="A99" s="223" t="s">
        <v>161</v>
      </c>
      <c r="B99" s="402" t="s">
        <v>124</v>
      </c>
      <c r="C99" s="403"/>
      <c r="D99" s="404" t="s">
        <v>30</v>
      </c>
      <c r="E99" s="174">
        <f>SUM(E100:E100)</f>
        <v>0</v>
      </c>
      <c r="F99" s="405" t="s">
        <v>30</v>
      </c>
      <c r="G99" s="404" t="s">
        <v>30</v>
      </c>
      <c r="H99" s="515">
        <f>SUM(H100:H100)</f>
        <v>0</v>
      </c>
      <c r="I99" s="405" t="s">
        <v>30</v>
      </c>
      <c r="J99" s="405" t="s">
        <v>30</v>
      </c>
      <c r="K99" s="174">
        <f>SUM(K100:K100)</f>
        <v>0</v>
      </c>
      <c r="L99" s="405" t="s">
        <v>30</v>
      </c>
      <c r="M99" s="406">
        <f>SUM(M100:M100)</f>
        <v>0</v>
      </c>
      <c r="N99" s="355">
        <f>SUM(N100:N100)</f>
        <v>0</v>
      </c>
      <c r="O99" s="132"/>
    </row>
    <row r="100" spans="1:15" s="154" customFormat="1" ht="15.75" hidden="1" thickBot="1" x14ac:dyDescent="0.3">
      <c r="A100" s="259"/>
      <c r="B100" s="407"/>
      <c r="C100" s="254"/>
      <c r="D100" s="255"/>
      <c r="E100" s="215"/>
      <c r="F100" s="256"/>
      <c r="G100" s="309"/>
      <c r="H100" s="518"/>
      <c r="I100" s="408">
        <v>1</v>
      </c>
      <c r="J100" s="255"/>
      <c r="K100" s="215"/>
      <c r="L100" s="256"/>
      <c r="M100" s="304"/>
      <c r="N100" s="252"/>
      <c r="O100" s="119"/>
    </row>
    <row r="101" spans="1:15" s="154" customFormat="1" ht="58.5" hidden="1" thickBot="1" x14ac:dyDescent="0.3">
      <c r="A101" s="409" t="s">
        <v>162</v>
      </c>
      <c r="B101" s="410" t="s">
        <v>125</v>
      </c>
      <c r="C101" s="411"/>
      <c r="D101" s="148" t="s">
        <v>30</v>
      </c>
      <c r="E101" s="150">
        <f>E102+E104+E106+E109</f>
        <v>0</v>
      </c>
      <c r="F101" s="296" t="s">
        <v>30</v>
      </c>
      <c r="G101" s="148" t="s">
        <v>30</v>
      </c>
      <c r="H101" s="512">
        <f>H102+H104+H106+H109</f>
        <v>0</v>
      </c>
      <c r="I101" s="296" t="s">
        <v>30</v>
      </c>
      <c r="J101" s="148" t="s">
        <v>30</v>
      </c>
      <c r="K101" s="150">
        <f>K102+K104+K106+K109</f>
        <v>297567</v>
      </c>
      <c r="L101" s="149" t="s">
        <v>30</v>
      </c>
      <c r="M101" s="412">
        <f>M102+M104+M106</f>
        <v>0</v>
      </c>
      <c r="N101" s="153">
        <f>N102+N104+N106</f>
        <v>0</v>
      </c>
      <c r="O101" s="326"/>
    </row>
    <row r="102" spans="1:15" s="154" customFormat="1" ht="45.75" hidden="1" thickBot="1" x14ac:dyDescent="0.3">
      <c r="A102" s="193" t="s">
        <v>163</v>
      </c>
      <c r="B102" s="413" t="s">
        <v>126</v>
      </c>
      <c r="C102" s="414"/>
      <c r="D102" s="415" t="s">
        <v>30</v>
      </c>
      <c r="E102" s="416">
        <f>SUM(E103:E103)</f>
        <v>0</v>
      </c>
      <c r="F102" s="417" t="s">
        <v>30</v>
      </c>
      <c r="G102" s="415" t="s">
        <v>30</v>
      </c>
      <c r="H102" s="525">
        <f>SUM(H103:H103)</f>
        <v>0</v>
      </c>
      <c r="I102" s="417" t="s">
        <v>30</v>
      </c>
      <c r="J102" s="417" t="s">
        <v>30</v>
      </c>
      <c r="K102" s="416">
        <f>SUM(K103:K103)</f>
        <v>0</v>
      </c>
      <c r="L102" s="418" t="s">
        <v>30</v>
      </c>
      <c r="M102" s="419">
        <f>SUM(M103:M103)</f>
        <v>0</v>
      </c>
      <c r="N102" s="420">
        <f>SUM(N103:N103)</f>
        <v>0</v>
      </c>
      <c r="O102" s="421"/>
    </row>
    <row r="103" spans="1:15" s="154" customFormat="1" ht="15.75" hidden="1" thickBot="1" x14ac:dyDescent="0.3">
      <c r="A103" s="156"/>
      <c r="B103" s="422"/>
      <c r="C103" s="423"/>
      <c r="D103" s="319"/>
      <c r="E103" s="247"/>
      <c r="F103" s="320"/>
      <c r="G103" s="319"/>
      <c r="H103" s="520"/>
      <c r="I103" s="320"/>
      <c r="J103" s="320"/>
      <c r="K103" s="247"/>
      <c r="L103" s="248"/>
      <c r="M103" s="424"/>
      <c r="N103" s="165"/>
      <c r="O103" s="116"/>
    </row>
    <row r="104" spans="1:15" s="213" customFormat="1" ht="45.75" hidden="1" thickBot="1" x14ac:dyDescent="0.3">
      <c r="A104" s="223" t="s">
        <v>164</v>
      </c>
      <c r="B104" s="425" t="s">
        <v>127</v>
      </c>
      <c r="C104" s="426"/>
      <c r="D104" s="427" t="s">
        <v>30</v>
      </c>
      <c r="E104" s="428">
        <f>SUM(E105:E105)</f>
        <v>0</v>
      </c>
      <c r="F104" s="429" t="s">
        <v>30</v>
      </c>
      <c r="G104" s="427" t="s">
        <v>30</v>
      </c>
      <c r="H104" s="526">
        <f>SUM(H105:H105)</f>
        <v>0</v>
      </c>
      <c r="I104" s="429" t="s">
        <v>30</v>
      </c>
      <c r="J104" s="429" t="s">
        <v>30</v>
      </c>
      <c r="K104" s="428">
        <f>SUM(K105:K105)</f>
        <v>147567</v>
      </c>
      <c r="L104" s="430" t="s">
        <v>30</v>
      </c>
      <c r="M104" s="406">
        <f>SUM(M105:M105)</f>
        <v>0</v>
      </c>
      <c r="N104" s="355">
        <f>SUM(N105:N105)</f>
        <v>0</v>
      </c>
      <c r="O104" s="132"/>
    </row>
    <row r="105" spans="1:15" s="154" customFormat="1" ht="21.75" hidden="1" customHeight="1" x14ac:dyDescent="0.25">
      <c r="A105" s="156"/>
      <c r="B105" s="431" t="s">
        <v>218</v>
      </c>
      <c r="C105" s="423" t="s">
        <v>195</v>
      </c>
      <c r="D105" s="319">
        <v>0</v>
      </c>
      <c r="E105" s="247"/>
      <c r="F105" s="320">
        <v>1</v>
      </c>
      <c r="G105" s="319">
        <v>0</v>
      </c>
      <c r="H105" s="520"/>
      <c r="I105" s="320">
        <v>0</v>
      </c>
      <c r="J105" s="432">
        <v>0</v>
      </c>
      <c r="K105" s="247">
        <v>147567</v>
      </c>
      <c r="L105" s="248">
        <v>1</v>
      </c>
      <c r="M105" s="281"/>
      <c r="N105" s="270"/>
      <c r="O105" s="116"/>
    </row>
    <row r="106" spans="1:15" s="154" customFormat="1" ht="45.75" hidden="1" thickBot="1" x14ac:dyDescent="0.3">
      <c r="A106" s="193" t="s">
        <v>165</v>
      </c>
      <c r="B106" s="425" t="s">
        <v>128</v>
      </c>
      <c r="C106" s="433"/>
      <c r="D106" s="434" t="s">
        <v>30</v>
      </c>
      <c r="E106" s="435">
        <f>SUM(E107:E108)</f>
        <v>0</v>
      </c>
      <c r="F106" s="436" t="s">
        <v>30</v>
      </c>
      <c r="G106" s="434" t="s">
        <v>30</v>
      </c>
      <c r="H106" s="527">
        <f>SUM(H107:H108)</f>
        <v>0</v>
      </c>
      <c r="I106" s="436" t="s">
        <v>30</v>
      </c>
      <c r="J106" s="436" t="s">
        <v>30</v>
      </c>
      <c r="K106" s="435">
        <f>SUM(K107:K108)</f>
        <v>0</v>
      </c>
      <c r="L106" s="437" t="s">
        <v>30</v>
      </c>
      <c r="M106" s="438">
        <f t="shared" ref="M106:N106" si="12">SUM(M107:M108)</f>
        <v>0</v>
      </c>
      <c r="N106" s="202">
        <f t="shared" si="12"/>
        <v>0</v>
      </c>
      <c r="O106" s="132"/>
    </row>
    <row r="107" spans="1:15" s="154" customFormat="1" ht="15.75" hidden="1" thickBot="1" x14ac:dyDescent="0.3">
      <c r="A107" s="156"/>
      <c r="B107" s="278"/>
      <c r="C107" s="439" t="s">
        <v>195</v>
      </c>
      <c r="D107" s="237"/>
      <c r="E107" s="238"/>
      <c r="F107" s="239"/>
      <c r="G107" s="237">
        <v>0</v>
      </c>
      <c r="H107" s="519">
        <v>0</v>
      </c>
      <c r="I107" s="239" t="e">
        <f>H107/G107</f>
        <v>#DIV/0!</v>
      </c>
      <c r="J107" s="240"/>
      <c r="K107" s="238"/>
      <c r="L107" s="239"/>
      <c r="M107" s="424"/>
      <c r="N107" s="165"/>
      <c r="O107" s="116"/>
    </row>
    <row r="108" spans="1:15" s="154" customFormat="1" ht="15.75" hidden="1" thickBot="1" x14ac:dyDescent="0.3">
      <c r="A108" s="224"/>
      <c r="B108" s="271"/>
      <c r="C108" s="254" t="s">
        <v>195</v>
      </c>
      <c r="D108" s="225"/>
      <c r="E108" s="215"/>
      <c r="F108" s="221"/>
      <c r="G108" s="225">
        <v>0</v>
      </c>
      <c r="H108" s="518">
        <v>0</v>
      </c>
      <c r="I108" s="221" t="e">
        <f>H108/G108</f>
        <v>#DIV/0!</v>
      </c>
      <c r="J108" s="227"/>
      <c r="K108" s="215"/>
      <c r="L108" s="221"/>
      <c r="M108" s="440"/>
      <c r="N108" s="218"/>
      <c r="O108" s="119"/>
    </row>
    <row r="109" spans="1:15" s="154" customFormat="1" ht="45.75" hidden="1" thickBot="1" x14ac:dyDescent="0.3">
      <c r="A109" s="259"/>
      <c r="B109" s="425" t="s">
        <v>291</v>
      </c>
      <c r="C109" s="426"/>
      <c r="D109" s="427" t="s">
        <v>30</v>
      </c>
      <c r="E109" s="428">
        <f>SUM(E110:E110)</f>
        <v>0</v>
      </c>
      <c r="F109" s="429" t="s">
        <v>30</v>
      </c>
      <c r="G109" s="427" t="s">
        <v>30</v>
      </c>
      <c r="H109" s="526">
        <f>SUM(H110:H110)</f>
        <v>0</v>
      </c>
      <c r="I109" s="429" t="s">
        <v>30</v>
      </c>
      <c r="J109" s="429" t="s">
        <v>30</v>
      </c>
      <c r="K109" s="428">
        <f>SUM(K110:K110)</f>
        <v>150000</v>
      </c>
      <c r="L109" s="430" t="s">
        <v>30</v>
      </c>
      <c r="M109" s="324"/>
      <c r="N109" s="441"/>
      <c r="O109" s="326"/>
    </row>
    <row r="110" spans="1:15" s="154" customFormat="1" ht="30.75" hidden="1" thickBot="1" x14ac:dyDescent="0.3">
      <c r="A110" s="259"/>
      <c r="B110" s="431" t="s">
        <v>300</v>
      </c>
      <c r="C110" s="423" t="s">
        <v>195</v>
      </c>
      <c r="D110" s="319">
        <v>0</v>
      </c>
      <c r="E110" s="247"/>
      <c r="F110" s="320">
        <v>1</v>
      </c>
      <c r="G110" s="319">
        <v>0</v>
      </c>
      <c r="H110" s="520">
        <v>0</v>
      </c>
      <c r="I110" s="320">
        <v>0</v>
      </c>
      <c r="J110" s="432">
        <v>0</v>
      </c>
      <c r="K110" s="247">
        <v>150000</v>
      </c>
      <c r="L110" s="248">
        <v>1</v>
      </c>
      <c r="M110" s="304"/>
      <c r="N110" s="252"/>
      <c r="O110" s="442"/>
    </row>
    <row r="111" spans="1:15" s="154" customFormat="1" ht="72.75" thickBot="1" x14ac:dyDescent="0.3">
      <c r="A111" s="144" t="s">
        <v>166</v>
      </c>
      <c r="B111" s="544" t="s">
        <v>130</v>
      </c>
      <c r="C111" s="545"/>
      <c r="D111" s="546" t="s">
        <v>30</v>
      </c>
      <c r="E111" s="547">
        <f>E112+E113</f>
        <v>0</v>
      </c>
      <c r="F111" s="548" t="s">
        <v>30</v>
      </c>
      <c r="G111" s="546" t="s">
        <v>30</v>
      </c>
      <c r="H111" s="547">
        <f>H112+H113</f>
        <v>-284500</v>
      </c>
      <c r="I111" s="548" t="s">
        <v>30</v>
      </c>
      <c r="J111" s="549" t="s">
        <v>30</v>
      </c>
      <c r="K111" s="547">
        <f t="shared" ref="K111" si="13">K112+K113</f>
        <v>0</v>
      </c>
      <c r="L111" s="550" t="s">
        <v>30</v>
      </c>
      <c r="M111" s="551">
        <f t="shared" ref="M111:N111" si="14">M112+M113</f>
        <v>0</v>
      </c>
      <c r="N111" s="552">
        <f t="shared" si="14"/>
        <v>0</v>
      </c>
      <c r="O111" s="543"/>
    </row>
    <row r="112" spans="1:15" s="154" customFormat="1" ht="30.75" thickBot="1" x14ac:dyDescent="0.3">
      <c r="A112" s="234"/>
      <c r="B112" s="553" t="s">
        <v>200</v>
      </c>
      <c r="C112" s="554" t="s">
        <v>250</v>
      </c>
      <c r="D112" s="555"/>
      <c r="E112" s="556"/>
      <c r="F112" s="557"/>
      <c r="G112" s="708">
        <f>250000+50000+100000</f>
        <v>400000</v>
      </c>
      <c r="H112" s="556">
        <f>-84500-150000-50000</f>
        <v>-284500</v>
      </c>
      <c r="I112" s="558">
        <f>H112/G112</f>
        <v>-0.71125000000000005</v>
      </c>
      <c r="J112" s="559"/>
      <c r="K112" s="556"/>
      <c r="L112" s="560"/>
      <c r="M112" s="541"/>
      <c r="N112" s="542"/>
      <c r="O112" s="543" t="s">
        <v>338</v>
      </c>
    </row>
    <row r="113" spans="1:15" s="154" customFormat="1" ht="45.75" hidden="1" thickBot="1" x14ac:dyDescent="0.3">
      <c r="A113" s="224"/>
      <c r="B113" s="561" t="s">
        <v>331</v>
      </c>
      <c r="C113" s="562" t="s">
        <v>340</v>
      </c>
      <c r="D113" s="563"/>
      <c r="E113" s="564"/>
      <c r="F113" s="565"/>
      <c r="G113" s="709">
        <v>0</v>
      </c>
      <c r="H113" s="564"/>
      <c r="I113" s="558">
        <v>1</v>
      </c>
      <c r="J113" s="566"/>
      <c r="K113" s="564"/>
      <c r="L113" s="567"/>
      <c r="M113" s="568"/>
      <c r="N113" s="569"/>
      <c r="O113" s="543" t="s">
        <v>341</v>
      </c>
    </row>
    <row r="114" spans="1:15" s="154" customFormat="1" ht="44.25" thickBot="1" x14ac:dyDescent="0.3">
      <c r="A114" s="144" t="s">
        <v>167</v>
      </c>
      <c r="B114" s="544" t="s">
        <v>131</v>
      </c>
      <c r="C114" s="545"/>
      <c r="D114" s="546" t="s">
        <v>30</v>
      </c>
      <c r="E114" s="547">
        <f>E115+E116</f>
        <v>0</v>
      </c>
      <c r="F114" s="548" t="s">
        <v>30</v>
      </c>
      <c r="G114" s="546" t="s">
        <v>30</v>
      </c>
      <c r="H114" s="547">
        <f>H115+H116</f>
        <v>-393420</v>
      </c>
      <c r="I114" s="548" t="s">
        <v>30</v>
      </c>
      <c r="J114" s="549" t="s">
        <v>30</v>
      </c>
      <c r="K114" s="547">
        <f t="shared" ref="K114" si="15">K115+K116</f>
        <v>0</v>
      </c>
      <c r="L114" s="596" t="s">
        <v>30</v>
      </c>
      <c r="M114" s="551">
        <f t="shared" ref="M114:N114" si="16">M115+M116</f>
        <v>0</v>
      </c>
      <c r="N114" s="552">
        <f t="shared" si="16"/>
        <v>0</v>
      </c>
      <c r="O114" s="617"/>
    </row>
    <row r="115" spans="1:15" s="154" customFormat="1" x14ac:dyDescent="0.25">
      <c r="A115" s="234"/>
      <c r="B115" s="618" t="s">
        <v>308</v>
      </c>
      <c r="C115" s="619" t="s">
        <v>309</v>
      </c>
      <c r="D115" s="555"/>
      <c r="E115" s="556"/>
      <c r="F115" s="557"/>
      <c r="G115" s="710">
        <v>1835780</v>
      </c>
      <c r="H115" s="556">
        <f>-99720</f>
        <v>-99720</v>
      </c>
      <c r="I115" s="558">
        <f>H115/G115</f>
        <v>-5.4320234450751181E-2</v>
      </c>
      <c r="J115" s="559"/>
      <c r="K115" s="556"/>
      <c r="L115" s="560"/>
      <c r="M115" s="541"/>
      <c r="N115" s="542"/>
      <c r="O115" s="543"/>
    </row>
    <row r="116" spans="1:15" s="154" customFormat="1" ht="30.75" thickBot="1" x14ac:dyDescent="0.3">
      <c r="A116" s="156"/>
      <c r="B116" s="615" t="s">
        <v>332</v>
      </c>
      <c r="C116" s="616" t="s">
        <v>333</v>
      </c>
      <c r="D116" s="563"/>
      <c r="E116" s="564"/>
      <c r="F116" s="565"/>
      <c r="G116" s="709">
        <f>878000</f>
        <v>878000</v>
      </c>
      <c r="H116" s="564">
        <f>-93700-200000</f>
        <v>-293700</v>
      </c>
      <c r="I116" s="558">
        <f>H116/G116</f>
        <v>-0.33451025056947609</v>
      </c>
      <c r="J116" s="566"/>
      <c r="K116" s="564"/>
      <c r="L116" s="567"/>
      <c r="M116" s="568"/>
      <c r="N116" s="569"/>
      <c r="O116" s="543" t="s">
        <v>334</v>
      </c>
    </row>
    <row r="117" spans="1:15" s="154" customFormat="1" ht="87" thickBot="1" x14ac:dyDescent="0.3">
      <c r="A117" s="273" t="s">
        <v>168</v>
      </c>
      <c r="B117" s="544" t="s">
        <v>132</v>
      </c>
      <c r="C117" s="545"/>
      <c r="D117" s="546" t="s">
        <v>30</v>
      </c>
      <c r="E117" s="547">
        <f>E118+E119</f>
        <v>0</v>
      </c>
      <c r="F117" s="548" t="s">
        <v>30</v>
      </c>
      <c r="G117" s="546" t="s">
        <v>30</v>
      </c>
      <c r="H117" s="547">
        <f>H118+H119</f>
        <v>-150000</v>
      </c>
      <c r="I117" s="548" t="s">
        <v>30</v>
      </c>
      <c r="J117" s="549" t="s">
        <v>30</v>
      </c>
      <c r="K117" s="547">
        <f t="shared" ref="K117" si="17">K118+K119</f>
        <v>0</v>
      </c>
      <c r="L117" s="596" t="s">
        <v>30</v>
      </c>
      <c r="M117" s="551">
        <f t="shared" ref="M117:N117" si="18">M118+M119</f>
        <v>0</v>
      </c>
      <c r="N117" s="552">
        <f t="shared" si="18"/>
        <v>0</v>
      </c>
      <c r="O117" s="543"/>
    </row>
    <row r="118" spans="1:15" s="154" customFormat="1" x14ac:dyDescent="0.25">
      <c r="A118" s="156"/>
      <c r="B118" s="612" t="s">
        <v>192</v>
      </c>
      <c r="C118" s="535" t="s">
        <v>195</v>
      </c>
      <c r="D118" s="555">
        <v>0</v>
      </c>
      <c r="E118" s="556"/>
      <c r="F118" s="557">
        <v>1</v>
      </c>
      <c r="G118" s="711">
        <v>200000</v>
      </c>
      <c r="H118" s="556">
        <v>-150000</v>
      </c>
      <c r="I118" s="557">
        <f>H118/G118</f>
        <v>-0.75</v>
      </c>
      <c r="J118" s="613"/>
      <c r="K118" s="556"/>
      <c r="L118" s="614"/>
      <c r="M118" s="541"/>
      <c r="N118" s="542"/>
      <c r="O118" s="543"/>
    </row>
    <row r="119" spans="1:15" s="154" customFormat="1" ht="15.75" hidden="1" thickBot="1" x14ac:dyDescent="0.3">
      <c r="A119" s="224"/>
      <c r="B119" s="615"/>
      <c r="C119" s="616"/>
      <c r="D119" s="563"/>
      <c r="E119" s="564"/>
      <c r="F119" s="565"/>
      <c r="G119" s="563"/>
      <c r="H119" s="564"/>
      <c r="I119" s="565"/>
      <c r="J119" s="566"/>
      <c r="K119" s="564"/>
      <c r="L119" s="567"/>
      <c r="M119" s="568"/>
      <c r="N119" s="569"/>
      <c r="O119" s="543"/>
    </row>
    <row r="120" spans="1:15" s="154" customFormat="1" ht="58.5" hidden="1" thickBot="1" x14ac:dyDescent="0.3">
      <c r="A120" s="144" t="s">
        <v>169</v>
      </c>
      <c r="B120" s="145" t="s">
        <v>133</v>
      </c>
      <c r="C120" s="146"/>
      <c r="D120" s="147" t="s">
        <v>30</v>
      </c>
      <c r="E120" s="150">
        <f>E121+E122</f>
        <v>0</v>
      </c>
      <c r="F120" s="149" t="s">
        <v>30</v>
      </c>
      <c r="G120" s="147" t="s">
        <v>30</v>
      </c>
      <c r="H120" s="512">
        <f>H121+H122</f>
        <v>0</v>
      </c>
      <c r="I120" s="149" t="s">
        <v>30</v>
      </c>
      <c r="J120" s="151" t="s">
        <v>30</v>
      </c>
      <c r="K120" s="150">
        <f t="shared" ref="K120" si="19">K121+K122</f>
        <v>0</v>
      </c>
      <c r="L120" s="229" t="s">
        <v>30</v>
      </c>
      <c r="M120" s="152">
        <f t="shared" ref="M120:N120" si="20">M121+M122</f>
        <v>0</v>
      </c>
      <c r="N120" s="153">
        <f t="shared" si="20"/>
        <v>0</v>
      </c>
      <c r="O120" s="132"/>
    </row>
    <row r="121" spans="1:15" s="154" customFormat="1" ht="45" hidden="1" x14ac:dyDescent="0.25">
      <c r="A121" s="234"/>
      <c r="B121" s="235" t="s">
        <v>246</v>
      </c>
      <c r="C121" s="236" t="s">
        <v>276</v>
      </c>
      <c r="D121" s="237"/>
      <c r="E121" s="238"/>
      <c r="F121" s="239"/>
      <c r="G121" s="237">
        <v>6000</v>
      </c>
      <c r="H121" s="519">
        <v>0</v>
      </c>
      <c r="I121" s="239">
        <v>1</v>
      </c>
      <c r="J121" s="274"/>
      <c r="K121" s="238"/>
      <c r="L121" s="275">
        <v>1</v>
      </c>
      <c r="M121" s="242"/>
      <c r="N121" s="243"/>
      <c r="O121" s="116" t="s">
        <v>314</v>
      </c>
    </row>
    <row r="122" spans="1:15" s="154" customFormat="1" ht="15.75" hidden="1" thickBot="1" x14ac:dyDescent="0.3">
      <c r="A122" s="203"/>
      <c r="B122" s="276"/>
      <c r="C122" s="205"/>
      <c r="D122" s="206"/>
      <c r="E122" s="207"/>
      <c r="F122" s="208"/>
      <c r="G122" s="206"/>
      <c r="H122" s="517"/>
      <c r="I122" s="208"/>
      <c r="J122" s="209"/>
      <c r="K122" s="207"/>
      <c r="L122" s="210"/>
      <c r="M122" s="211"/>
      <c r="N122" s="212"/>
      <c r="O122" s="116"/>
    </row>
    <row r="123" spans="1:15" s="154" customFormat="1" ht="58.5" hidden="1" thickBot="1" x14ac:dyDescent="0.3">
      <c r="A123" s="144" t="s">
        <v>170</v>
      </c>
      <c r="B123" s="257" t="s">
        <v>134</v>
      </c>
      <c r="C123" s="146"/>
      <c r="D123" s="147" t="s">
        <v>30</v>
      </c>
      <c r="E123" s="150">
        <f>E124</f>
        <v>0</v>
      </c>
      <c r="F123" s="149" t="s">
        <v>30</v>
      </c>
      <c r="G123" s="147" t="s">
        <v>30</v>
      </c>
      <c r="H123" s="512">
        <f>H124</f>
        <v>0</v>
      </c>
      <c r="I123" s="149" t="s">
        <v>30</v>
      </c>
      <c r="J123" s="151" t="s">
        <v>30</v>
      </c>
      <c r="K123" s="150">
        <f>K124</f>
        <v>0</v>
      </c>
      <c r="L123" s="229" t="s">
        <v>30</v>
      </c>
      <c r="M123" s="152">
        <f>M124</f>
        <v>0</v>
      </c>
      <c r="N123" s="153">
        <f>N124</f>
        <v>0</v>
      </c>
      <c r="O123" s="132"/>
    </row>
    <row r="124" spans="1:15" s="154" customFormat="1" ht="30" hidden="1" x14ac:dyDescent="0.25">
      <c r="A124" s="234"/>
      <c r="B124" s="277" t="s">
        <v>273</v>
      </c>
      <c r="C124" s="158" t="s">
        <v>195</v>
      </c>
      <c r="D124" s="237"/>
      <c r="E124" s="238"/>
      <c r="F124" s="239"/>
      <c r="G124" s="237"/>
      <c r="H124" s="519"/>
      <c r="I124" s="239"/>
      <c r="J124" s="274"/>
      <c r="K124" s="238"/>
      <c r="L124" s="275" t="e">
        <f>K124/J124</f>
        <v>#DIV/0!</v>
      </c>
      <c r="M124" s="242"/>
      <c r="N124" s="243"/>
      <c r="O124" s="116"/>
    </row>
    <row r="125" spans="1:15" s="154" customFormat="1" ht="43.5" hidden="1" x14ac:dyDescent="0.25">
      <c r="A125" s="280" t="s">
        <v>171</v>
      </c>
      <c r="B125" s="443" t="s">
        <v>135</v>
      </c>
      <c r="C125" s="300"/>
      <c r="D125" s="301" t="s">
        <v>30</v>
      </c>
      <c r="E125" s="302">
        <f>E126+E128</f>
        <v>0</v>
      </c>
      <c r="F125" s="303" t="s">
        <v>30</v>
      </c>
      <c r="G125" s="301" t="s">
        <v>30</v>
      </c>
      <c r="H125" s="528">
        <f>H126+H128</f>
        <v>0</v>
      </c>
      <c r="I125" s="303" t="s">
        <v>30</v>
      </c>
      <c r="J125" s="301" t="s">
        <v>30</v>
      </c>
      <c r="K125" s="302">
        <f>K128+K131+K133</f>
        <v>8059758</v>
      </c>
      <c r="L125" s="301" t="s">
        <v>30</v>
      </c>
      <c r="M125" s="444">
        <f>M126+M128</f>
        <v>0</v>
      </c>
      <c r="N125" s="445">
        <f>N126+N128</f>
        <v>0</v>
      </c>
      <c r="O125" s="446"/>
    </row>
    <row r="126" spans="1:15" s="213" customFormat="1" ht="45" hidden="1" x14ac:dyDescent="0.25">
      <c r="A126" s="223" t="s">
        <v>172</v>
      </c>
      <c r="B126" s="447" t="s">
        <v>136</v>
      </c>
      <c r="C126" s="448"/>
      <c r="D126" s="404" t="s">
        <v>30</v>
      </c>
      <c r="E126" s="174">
        <f>SUM(E127:E127)</f>
        <v>0</v>
      </c>
      <c r="F126" s="405" t="s">
        <v>30</v>
      </c>
      <c r="G126" s="404" t="s">
        <v>30</v>
      </c>
      <c r="H126" s="515">
        <f>SUM(H127:H127)</f>
        <v>0</v>
      </c>
      <c r="I126" s="405" t="s">
        <v>30</v>
      </c>
      <c r="J126" s="405" t="s">
        <v>30</v>
      </c>
      <c r="K126" s="174">
        <f>SUM(K127:K127)</f>
        <v>0</v>
      </c>
      <c r="L126" s="405" t="s">
        <v>30</v>
      </c>
      <c r="M126" s="406">
        <f>SUM(M127:M127)</f>
        <v>0</v>
      </c>
      <c r="N126" s="355">
        <f>SUM(N127:N127)</f>
        <v>0</v>
      </c>
      <c r="O126" s="449"/>
    </row>
    <row r="127" spans="1:15" s="154" customFormat="1" hidden="1" x14ac:dyDescent="0.25">
      <c r="A127" s="156"/>
      <c r="B127" s="450" t="s">
        <v>289</v>
      </c>
      <c r="C127" s="181" t="s">
        <v>195</v>
      </c>
      <c r="D127" s="182"/>
      <c r="E127" s="160"/>
      <c r="F127" s="183"/>
      <c r="G127" s="182"/>
      <c r="H127" s="514"/>
      <c r="I127" s="183"/>
      <c r="J127" s="184">
        <v>0</v>
      </c>
      <c r="K127" s="160"/>
      <c r="L127" s="451">
        <v>0</v>
      </c>
      <c r="M127" s="424"/>
      <c r="N127" s="165"/>
      <c r="O127" s="120"/>
    </row>
    <row r="128" spans="1:15" s="213" customFormat="1" ht="45" hidden="1" x14ac:dyDescent="0.25">
      <c r="A128" s="223" t="s">
        <v>173</v>
      </c>
      <c r="B128" s="447" t="s">
        <v>137</v>
      </c>
      <c r="C128" s="448"/>
      <c r="D128" s="404" t="s">
        <v>30</v>
      </c>
      <c r="E128" s="174">
        <f>SUM(E129:E130)</f>
        <v>0</v>
      </c>
      <c r="F128" s="405" t="s">
        <v>30</v>
      </c>
      <c r="G128" s="404" t="s">
        <v>30</v>
      </c>
      <c r="H128" s="515">
        <f>SUM(H129:H130)</f>
        <v>0</v>
      </c>
      <c r="I128" s="405" t="s">
        <v>30</v>
      </c>
      <c r="J128" s="405" t="s">
        <v>30</v>
      </c>
      <c r="K128" s="174">
        <f>SUM(K129:K130)</f>
        <v>7089213</v>
      </c>
      <c r="L128" s="405" t="s">
        <v>30</v>
      </c>
      <c r="M128" s="406">
        <f>SUM(M129:M130)</f>
        <v>0</v>
      </c>
      <c r="N128" s="355">
        <f>SUM(N129:N130)</f>
        <v>0</v>
      </c>
      <c r="O128" s="132"/>
    </row>
    <row r="129" spans="1:15" s="154" customFormat="1" ht="30" hidden="1" x14ac:dyDescent="0.25">
      <c r="A129" s="224"/>
      <c r="B129" s="450" t="s">
        <v>238</v>
      </c>
      <c r="C129" s="181" t="s">
        <v>195</v>
      </c>
      <c r="D129" s="182">
        <v>0</v>
      </c>
      <c r="E129" s="160">
        <v>0</v>
      </c>
      <c r="F129" s="183">
        <v>0</v>
      </c>
      <c r="G129" s="182">
        <v>0</v>
      </c>
      <c r="H129" s="514">
        <v>0</v>
      </c>
      <c r="I129" s="183">
        <v>0</v>
      </c>
      <c r="J129" s="184">
        <v>15204861</v>
      </c>
      <c r="K129" s="160">
        <v>6579213</v>
      </c>
      <c r="L129" s="451">
        <f>K129/J129</f>
        <v>0.43270458046278754</v>
      </c>
      <c r="M129" s="424"/>
      <c r="N129" s="165"/>
      <c r="O129" s="452"/>
    </row>
    <row r="130" spans="1:15" s="154" customFormat="1" ht="15.75" hidden="1" thickBot="1" x14ac:dyDescent="0.3">
      <c r="A130" s="224"/>
      <c r="B130" s="450" t="s">
        <v>216</v>
      </c>
      <c r="C130" s="181" t="s">
        <v>195</v>
      </c>
      <c r="D130" s="182">
        <v>0</v>
      </c>
      <c r="E130" s="160">
        <v>0</v>
      </c>
      <c r="F130" s="183">
        <v>0</v>
      </c>
      <c r="G130" s="182">
        <v>0</v>
      </c>
      <c r="H130" s="514">
        <v>0</v>
      </c>
      <c r="I130" s="183">
        <v>0</v>
      </c>
      <c r="J130" s="184">
        <v>3060000</v>
      </c>
      <c r="K130" s="160">
        <v>510000</v>
      </c>
      <c r="L130" s="451">
        <f>K130/J130</f>
        <v>0.16666666666666666</v>
      </c>
      <c r="M130" s="453"/>
      <c r="N130" s="212"/>
      <c r="O130" s="454"/>
    </row>
    <row r="131" spans="1:15" s="154" customFormat="1" ht="75.75" hidden="1" thickBot="1" x14ac:dyDescent="0.3">
      <c r="A131" s="259"/>
      <c r="B131" s="447" t="s">
        <v>287</v>
      </c>
      <c r="C131" s="448"/>
      <c r="D131" s="404" t="s">
        <v>30</v>
      </c>
      <c r="E131" s="174">
        <f>SUM(E132:E132)</f>
        <v>0</v>
      </c>
      <c r="F131" s="405" t="s">
        <v>30</v>
      </c>
      <c r="G131" s="404" t="s">
        <v>30</v>
      </c>
      <c r="H131" s="515">
        <f>SUM(H132:H132)</f>
        <v>0</v>
      </c>
      <c r="I131" s="405" t="s">
        <v>30</v>
      </c>
      <c r="J131" s="405" t="s">
        <v>30</v>
      </c>
      <c r="K131" s="174">
        <f>SUM(K132:K132)</f>
        <v>963042</v>
      </c>
      <c r="L131" s="405" t="s">
        <v>30</v>
      </c>
      <c r="M131" s="281"/>
      <c r="N131" s="270"/>
      <c r="O131" s="136"/>
    </row>
    <row r="132" spans="1:15" s="154" customFormat="1" ht="15.75" hidden="1" thickBot="1" x14ac:dyDescent="0.3">
      <c r="A132" s="259"/>
      <c r="B132" s="450" t="s">
        <v>62</v>
      </c>
      <c r="C132" s="181" t="s">
        <v>195</v>
      </c>
      <c r="D132" s="182"/>
      <c r="E132" s="160"/>
      <c r="F132" s="183"/>
      <c r="G132" s="182"/>
      <c r="H132" s="514"/>
      <c r="I132" s="183"/>
      <c r="J132" s="184">
        <v>4625988</v>
      </c>
      <c r="K132" s="160">
        <v>963042</v>
      </c>
      <c r="L132" s="451">
        <f>K132/J132</f>
        <v>0.20818082537179083</v>
      </c>
      <c r="M132" s="281"/>
      <c r="N132" s="270"/>
      <c r="O132" s="136" t="s">
        <v>301</v>
      </c>
    </row>
    <row r="133" spans="1:15" s="154" customFormat="1" ht="45.75" hidden="1" thickBot="1" x14ac:dyDescent="0.3">
      <c r="A133" s="259"/>
      <c r="B133" s="447" t="s">
        <v>288</v>
      </c>
      <c r="C133" s="448"/>
      <c r="D133" s="404" t="s">
        <v>30</v>
      </c>
      <c r="E133" s="174">
        <f>SUM(E134:E134)</f>
        <v>0</v>
      </c>
      <c r="F133" s="405" t="s">
        <v>30</v>
      </c>
      <c r="G133" s="404" t="s">
        <v>30</v>
      </c>
      <c r="H133" s="515">
        <f>SUM(H134:H134)</f>
        <v>0</v>
      </c>
      <c r="I133" s="405" t="s">
        <v>30</v>
      </c>
      <c r="J133" s="405" t="s">
        <v>30</v>
      </c>
      <c r="K133" s="174">
        <f>SUM(K134:K134)</f>
        <v>7503</v>
      </c>
      <c r="L133" s="405" t="s">
        <v>30</v>
      </c>
      <c r="M133" s="281"/>
      <c r="N133" s="270"/>
      <c r="O133" s="136"/>
    </row>
    <row r="134" spans="1:15" s="154" customFormat="1" ht="15.75" hidden="1" thickBot="1" x14ac:dyDescent="0.3">
      <c r="A134" s="259"/>
      <c r="B134" s="450" t="s">
        <v>315</v>
      </c>
      <c r="C134" s="181" t="s">
        <v>195</v>
      </c>
      <c r="D134" s="182"/>
      <c r="E134" s="160"/>
      <c r="F134" s="183"/>
      <c r="G134" s="182"/>
      <c r="H134" s="514"/>
      <c r="I134" s="183"/>
      <c r="J134" s="184">
        <v>1000000</v>
      </c>
      <c r="K134" s="160">
        <v>7503</v>
      </c>
      <c r="L134" s="451">
        <f>K134/J134</f>
        <v>7.5030000000000001E-3</v>
      </c>
      <c r="M134" s="281"/>
      <c r="N134" s="270"/>
      <c r="O134" s="136"/>
    </row>
    <row r="135" spans="1:15" s="154" customFormat="1" ht="43.5" thickBot="1" x14ac:dyDescent="0.3">
      <c r="A135" s="455" t="s">
        <v>174</v>
      </c>
      <c r="B135" s="654" t="s">
        <v>138</v>
      </c>
      <c r="C135" s="655"/>
      <c r="D135" s="656" t="s">
        <v>30</v>
      </c>
      <c r="E135" s="657">
        <f t="shared" ref="E135" si="21">E136+E137</f>
        <v>0</v>
      </c>
      <c r="F135" s="658" t="s">
        <v>30</v>
      </c>
      <c r="G135" s="656" t="s">
        <v>30</v>
      </c>
      <c r="H135" s="657">
        <f t="shared" ref="H135" si="22">H136+H137</f>
        <v>-100000</v>
      </c>
      <c r="I135" s="658" t="s">
        <v>30</v>
      </c>
      <c r="J135" s="659" t="s">
        <v>30</v>
      </c>
      <c r="K135" s="657">
        <f t="shared" ref="K135" si="23">K136+K137</f>
        <v>0</v>
      </c>
      <c r="L135" s="660" t="s">
        <v>30</v>
      </c>
      <c r="M135" s="661">
        <f t="shared" ref="M135:N135" si="24">M136+M137</f>
        <v>0</v>
      </c>
      <c r="N135" s="662">
        <f t="shared" si="24"/>
        <v>0</v>
      </c>
      <c r="O135" s="617"/>
    </row>
    <row r="136" spans="1:15" s="457" customFormat="1" ht="15.75" thickBot="1" x14ac:dyDescent="0.3">
      <c r="A136" s="456"/>
      <c r="B136" s="663" t="s">
        <v>325</v>
      </c>
      <c r="C136" s="664" t="s">
        <v>195</v>
      </c>
      <c r="D136" s="665">
        <v>0</v>
      </c>
      <c r="E136" s="666"/>
      <c r="F136" s="667">
        <v>0</v>
      </c>
      <c r="G136" s="712">
        <v>150000</v>
      </c>
      <c r="H136" s="666">
        <v>-100000</v>
      </c>
      <c r="I136" s="668">
        <f>H136/G136</f>
        <v>-0.66666666666666663</v>
      </c>
      <c r="J136" s="669"/>
      <c r="K136" s="666"/>
      <c r="L136" s="670"/>
      <c r="M136" s="671"/>
      <c r="N136" s="672"/>
      <c r="O136" s="573"/>
    </row>
    <row r="137" spans="1:15" s="154" customFormat="1" ht="15.75" hidden="1" thickBot="1" x14ac:dyDescent="0.3">
      <c r="A137" s="224"/>
      <c r="B137" s="673"/>
      <c r="C137" s="674"/>
      <c r="D137" s="563"/>
      <c r="E137" s="564"/>
      <c r="F137" s="565"/>
      <c r="G137" s="563"/>
      <c r="H137" s="564"/>
      <c r="I137" s="565"/>
      <c r="J137" s="566"/>
      <c r="K137" s="564"/>
      <c r="L137" s="567"/>
      <c r="M137" s="568"/>
      <c r="N137" s="569"/>
      <c r="O137" s="543"/>
    </row>
    <row r="138" spans="1:15" s="154" customFormat="1" ht="44.25" hidden="1" thickBot="1" x14ac:dyDescent="0.3">
      <c r="A138" s="144" t="s">
        <v>175</v>
      </c>
      <c r="B138" s="257" t="s">
        <v>139</v>
      </c>
      <c r="C138" s="258"/>
      <c r="D138" s="147" t="s">
        <v>30</v>
      </c>
      <c r="E138" s="150">
        <f t="shared" ref="E138" si="25">E139+E140</f>
        <v>0</v>
      </c>
      <c r="F138" s="149" t="s">
        <v>30</v>
      </c>
      <c r="G138" s="147" t="s">
        <v>30</v>
      </c>
      <c r="H138" s="512">
        <f t="shared" ref="H138" si="26">H139+H140</f>
        <v>0</v>
      </c>
      <c r="I138" s="149" t="s">
        <v>30</v>
      </c>
      <c r="J138" s="151" t="s">
        <v>30</v>
      </c>
      <c r="K138" s="150">
        <f t="shared" ref="K138" si="27">K139+K140</f>
        <v>0</v>
      </c>
      <c r="L138" s="229" t="s">
        <v>30</v>
      </c>
      <c r="M138" s="152">
        <f t="shared" ref="M138:N138" si="28">M139+M140</f>
        <v>0</v>
      </c>
      <c r="N138" s="153">
        <f t="shared" si="28"/>
        <v>0</v>
      </c>
      <c r="O138" s="116"/>
    </row>
    <row r="139" spans="1:15" s="154" customFormat="1" ht="30.75" hidden="1" thickBot="1" x14ac:dyDescent="0.3">
      <c r="A139" s="234"/>
      <c r="B139" s="260" t="s">
        <v>185</v>
      </c>
      <c r="C139" s="158" t="s">
        <v>195</v>
      </c>
      <c r="D139" s="237"/>
      <c r="E139" s="238"/>
      <c r="F139" s="239"/>
      <c r="G139" s="237"/>
      <c r="H139" s="519"/>
      <c r="I139" s="239"/>
      <c r="J139" s="274"/>
      <c r="K139" s="238"/>
      <c r="L139" s="241">
        <v>-1</v>
      </c>
      <c r="M139" s="242"/>
      <c r="N139" s="243"/>
      <c r="O139" s="116"/>
    </row>
    <row r="140" spans="1:15" s="154" customFormat="1" ht="15.75" hidden="1" thickBot="1" x14ac:dyDescent="0.3">
      <c r="A140" s="224"/>
      <c r="B140" s="271"/>
      <c r="C140" s="284"/>
      <c r="D140" s="206"/>
      <c r="E140" s="207"/>
      <c r="F140" s="208"/>
      <c r="G140" s="206"/>
      <c r="H140" s="517"/>
      <c r="I140" s="208"/>
      <c r="J140" s="209"/>
      <c r="K140" s="207"/>
      <c r="L140" s="210"/>
      <c r="M140" s="211"/>
      <c r="N140" s="212"/>
      <c r="O140" s="116"/>
    </row>
    <row r="141" spans="1:15" s="154" customFormat="1" ht="44.25" hidden="1" thickBot="1" x14ac:dyDescent="0.3">
      <c r="A141" s="144" t="s">
        <v>176</v>
      </c>
      <c r="B141" s="257" t="s">
        <v>129</v>
      </c>
      <c r="C141" s="258"/>
      <c r="D141" s="147" t="s">
        <v>30</v>
      </c>
      <c r="E141" s="150">
        <f>E142</f>
        <v>0</v>
      </c>
      <c r="F141" s="149" t="s">
        <v>30</v>
      </c>
      <c r="G141" s="147" t="s">
        <v>30</v>
      </c>
      <c r="H141" s="512">
        <f>H142</f>
        <v>0</v>
      </c>
      <c r="I141" s="149" t="s">
        <v>30</v>
      </c>
      <c r="J141" s="151" t="s">
        <v>30</v>
      </c>
      <c r="K141" s="150">
        <f>K142</f>
        <v>0</v>
      </c>
      <c r="L141" s="229" t="s">
        <v>30</v>
      </c>
      <c r="M141" s="152">
        <f>M142</f>
        <v>0</v>
      </c>
      <c r="N141" s="285">
        <f>N142</f>
        <v>0</v>
      </c>
      <c r="O141" s="116"/>
    </row>
    <row r="142" spans="1:15" s="154" customFormat="1" ht="15.75" hidden="1" thickBot="1" x14ac:dyDescent="0.3">
      <c r="A142" s="224"/>
      <c r="B142" s="286"/>
      <c r="C142" s="284"/>
      <c r="D142" s="225"/>
      <c r="E142" s="215"/>
      <c r="F142" s="221"/>
      <c r="G142" s="225"/>
      <c r="H142" s="518"/>
      <c r="I142" s="221"/>
      <c r="J142" s="227"/>
      <c r="K142" s="215"/>
      <c r="L142" s="217"/>
      <c r="M142" s="214"/>
      <c r="N142" s="218"/>
      <c r="O142" s="119"/>
    </row>
    <row r="143" spans="1:15" s="154" customFormat="1" ht="43.5" hidden="1" thickBot="1" x14ac:dyDescent="0.3">
      <c r="A143" s="144" t="s">
        <v>177</v>
      </c>
      <c r="B143" s="458" t="s">
        <v>140</v>
      </c>
      <c r="C143" s="258"/>
      <c r="D143" s="147" t="s">
        <v>30</v>
      </c>
      <c r="E143" s="150">
        <f>SUM(E144:E145)</f>
        <v>0</v>
      </c>
      <c r="F143" s="149" t="s">
        <v>30</v>
      </c>
      <c r="G143" s="147" t="s">
        <v>30</v>
      </c>
      <c r="H143" s="512">
        <f>SUM(H145:H145)</f>
        <v>0</v>
      </c>
      <c r="I143" s="149" t="s">
        <v>30</v>
      </c>
      <c r="J143" s="151" t="s">
        <v>30</v>
      </c>
      <c r="K143" s="150">
        <f>SUM(K144:K145)</f>
        <v>18435996</v>
      </c>
      <c r="L143" s="229" t="s">
        <v>30</v>
      </c>
      <c r="M143" s="152">
        <f>SUM(M144:M145)</f>
        <v>0</v>
      </c>
      <c r="N143" s="153">
        <f>SUM(N144:N145)</f>
        <v>0</v>
      </c>
      <c r="O143" s="331"/>
    </row>
    <row r="144" spans="1:15" s="154" customFormat="1" ht="30.75" hidden="1" thickBot="1" x14ac:dyDescent="0.3">
      <c r="A144" s="234"/>
      <c r="B144" s="459" t="s">
        <v>236</v>
      </c>
      <c r="C144" s="439" t="s">
        <v>195</v>
      </c>
      <c r="D144" s="240"/>
      <c r="E144" s="238"/>
      <c r="F144" s="272"/>
      <c r="G144" s="237"/>
      <c r="H144" s="519"/>
      <c r="I144" s="239" t="s">
        <v>282</v>
      </c>
      <c r="J144" s="274">
        <v>1659000</v>
      </c>
      <c r="K144" s="238">
        <v>12307850</v>
      </c>
      <c r="L144" s="275">
        <f>K144/J144</f>
        <v>7.4188366485834845</v>
      </c>
      <c r="M144" s="242"/>
      <c r="N144" s="243"/>
      <c r="O144" s="322"/>
    </row>
    <row r="145" spans="1:15" s="154" customFormat="1" ht="30.75" hidden="1" thickBot="1" x14ac:dyDescent="0.3">
      <c r="A145" s="224"/>
      <c r="B145" s="460" t="s">
        <v>237</v>
      </c>
      <c r="C145" s="461" t="s">
        <v>195</v>
      </c>
      <c r="D145" s="209"/>
      <c r="E145" s="207"/>
      <c r="F145" s="462"/>
      <c r="G145" s="206"/>
      <c r="H145" s="517"/>
      <c r="I145" s="208"/>
      <c r="J145" s="463">
        <v>566000</v>
      </c>
      <c r="K145" s="207">
        <v>6128146</v>
      </c>
      <c r="L145" s="464">
        <f>K145/J145</f>
        <v>10.827113074204947</v>
      </c>
      <c r="M145" s="269"/>
      <c r="N145" s="270"/>
      <c r="O145" s="135"/>
    </row>
    <row r="146" spans="1:15" s="154" customFormat="1" ht="44.25" hidden="1" thickBot="1" x14ac:dyDescent="0.3">
      <c r="A146" s="144" t="s">
        <v>178</v>
      </c>
      <c r="B146" s="287" t="s">
        <v>141</v>
      </c>
      <c r="C146" s="282"/>
      <c r="D146" s="262" t="s">
        <v>30</v>
      </c>
      <c r="E146" s="263">
        <f t="shared" ref="E146" si="29">E147+E148</f>
        <v>0</v>
      </c>
      <c r="F146" s="264" t="s">
        <v>30</v>
      </c>
      <c r="G146" s="265" t="s">
        <v>30</v>
      </c>
      <c r="H146" s="529">
        <f t="shared" ref="H146" si="30">H147+H148</f>
        <v>0</v>
      </c>
      <c r="I146" s="288" t="s">
        <v>30</v>
      </c>
      <c r="J146" s="289" t="s">
        <v>30</v>
      </c>
      <c r="K146" s="263">
        <f t="shared" ref="K146" si="31">K147+K148</f>
        <v>0</v>
      </c>
      <c r="L146" s="283" t="s">
        <v>30</v>
      </c>
      <c r="M146" s="266">
        <f t="shared" ref="M146:N146" si="32">M147+M148</f>
        <v>0</v>
      </c>
      <c r="N146" s="267">
        <f t="shared" si="32"/>
        <v>0</v>
      </c>
      <c r="O146" s="132"/>
    </row>
    <row r="147" spans="1:15" s="154" customFormat="1" ht="30.75" hidden="1" thickBot="1" x14ac:dyDescent="0.3">
      <c r="A147" s="234"/>
      <c r="B147" s="278" t="s">
        <v>230</v>
      </c>
      <c r="C147" s="279" t="s">
        <v>195</v>
      </c>
      <c r="D147" s="237"/>
      <c r="E147" s="238"/>
      <c r="F147" s="239"/>
      <c r="G147" s="290"/>
      <c r="H147" s="519"/>
      <c r="I147" s="256" t="e">
        <f>H147/G147</f>
        <v>#DIV/0!</v>
      </c>
      <c r="J147" s="291">
        <v>0</v>
      </c>
      <c r="K147" s="238"/>
      <c r="L147" s="241">
        <v>1</v>
      </c>
      <c r="M147" s="242"/>
      <c r="N147" s="243"/>
      <c r="O147" s="116"/>
    </row>
    <row r="148" spans="1:15" s="154" customFormat="1" ht="15.75" hidden="1" thickBot="1" x14ac:dyDescent="0.3">
      <c r="A148" s="224"/>
      <c r="B148" s="260"/>
      <c r="C148" s="292"/>
      <c r="D148" s="206"/>
      <c r="E148" s="207"/>
      <c r="F148" s="208"/>
      <c r="G148" s="209"/>
      <c r="H148" s="517"/>
      <c r="I148" s="293"/>
      <c r="J148" s="294"/>
      <c r="K148" s="207"/>
      <c r="L148" s="210"/>
      <c r="M148" s="211"/>
      <c r="N148" s="212"/>
      <c r="O148" s="116"/>
    </row>
    <row r="149" spans="1:15" s="154" customFormat="1" ht="58.5" hidden="1" thickBot="1" x14ac:dyDescent="0.3">
      <c r="A149" s="144" t="s">
        <v>179</v>
      </c>
      <c r="B149" s="295" t="s">
        <v>142</v>
      </c>
      <c r="C149" s="258"/>
      <c r="D149" s="147" t="s">
        <v>30</v>
      </c>
      <c r="E149" s="150">
        <f t="shared" ref="E149" si="33">E150+E151</f>
        <v>0</v>
      </c>
      <c r="F149" s="149" t="s">
        <v>30</v>
      </c>
      <c r="G149" s="151" t="s">
        <v>30</v>
      </c>
      <c r="H149" s="512">
        <f t="shared" ref="H149" si="34">H150+H151</f>
        <v>0</v>
      </c>
      <c r="I149" s="296" t="s">
        <v>30</v>
      </c>
      <c r="J149" s="148" t="s">
        <v>30</v>
      </c>
      <c r="K149" s="150">
        <f t="shared" ref="K149" si="35">K150+K151</f>
        <v>0</v>
      </c>
      <c r="L149" s="229" t="s">
        <v>30</v>
      </c>
      <c r="M149" s="152">
        <f t="shared" ref="M149:N149" si="36">M150+M151</f>
        <v>0</v>
      </c>
      <c r="N149" s="153">
        <f t="shared" si="36"/>
        <v>0</v>
      </c>
      <c r="O149" s="132"/>
    </row>
    <row r="150" spans="1:15" s="154" customFormat="1" ht="30.75" hidden="1" thickBot="1" x14ac:dyDescent="0.3">
      <c r="A150" s="234"/>
      <c r="B150" s="297" t="s">
        <v>206</v>
      </c>
      <c r="C150" s="279" t="s">
        <v>195</v>
      </c>
      <c r="D150" s="237"/>
      <c r="E150" s="238"/>
      <c r="F150" s="239"/>
      <c r="G150" s="274"/>
      <c r="H150" s="519"/>
      <c r="I150" s="298">
        <v>-1</v>
      </c>
      <c r="J150" s="291"/>
      <c r="K150" s="238"/>
      <c r="L150" s="241"/>
      <c r="M150" s="242"/>
      <c r="N150" s="243"/>
      <c r="O150" s="116"/>
    </row>
    <row r="151" spans="1:15" s="154" customFormat="1" ht="15.75" hidden="1" thickBot="1" x14ac:dyDescent="0.3">
      <c r="A151" s="156"/>
      <c r="B151" s="222" t="s">
        <v>231</v>
      </c>
      <c r="C151" s="292" t="s">
        <v>195</v>
      </c>
      <c r="D151" s="225"/>
      <c r="E151" s="215"/>
      <c r="F151" s="221"/>
      <c r="G151" s="228"/>
      <c r="H151" s="518"/>
      <c r="I151" s="256" t="e">
        <f>H151/G151</f>
        <v>#DIV/0!</v>
      </c>
      <c r="J151" s="255"/>
      <c r="K151" s="215"/>
      <c r="L151" s="217"/>
      <c r="M151" s="214"/>
      <c r="N151" s="218"/>
      <c r="O151" s="119"/>
    </row>
    <row r="152" spans="1:15" s="154" customFormat="1" ht="30" hidden="1" thickBot="1" x14ac:dyDescent="0.3">
      <c r="A152" s="259"/>
      <c r="B152" s="299" t="s">
        <v>207</v>
      </c>
      <c r="C152" s="300"/>
      <c r="D152" s="301" t="s">
        <v>30</v>
      </c>
      <c r="E152" s="302">
        <f>E153</f>
        <v>0</v>
      </c>
      <c r="F152" s="303" t="s">
        <v>30</v>
      </c>
      <c r="G152" s="301" t="s">
        <v>30</v>
      </c>
      <c r="H152" s="528">
        <f>H153</f>
        <v>0</v>
      </c>
      <c r="I152" s="303" t="s">
        <v>30</v>
      </c>
      <c r="J152" s="301" t="s">
        <v>30</v>
      </c>
      <c r="K152" s="302">
        <f>K153</f>
        <v>0</v>
      </c>
      <c r="L152" s="301" t="s">
        <v>30</v>
      </c>
      <c r="M152" s="304"/>
      <c r="N152" s="305"/>
      <c r="O152" s="119"/>
    </row>
    <row r="153" spans="1:15" s="154" customFormat="1" ht="15.75" hidden="1" thickBot="1" x14ac:dyDescent="0.3">
      <c r="A153" s="259"/>
      <c r="B153" s="261"/>
      <c r="C153" s="306" t="s">
        <v>195</v>
      </c>
      <c r="D153" s="182"/>
      <c r="E153" s="160"/>
      <c r="F153" s="183">
        <v>0</v>
      </c>
      <c r="G153" s="184"/>
      <c r="H153" s="514"/>
      <c r="I153" s="183"/>
      <c r="J153" s="182"/>
      <c r="K153" s="160"/>
      <c r="L153" s="183"/>
      <c r="M153" s="304"/>
      <c r="N153" s="305"/>
      <c r="O153" s="119"/>
    </row>
    <row r="154" spans="1:15" s="154" customFormat="1" ht="15.75" hidden="1" thickBot="1" x14ac:dyDescent="0.3">
      <c r="A154" s="259"/>
      <c r="B154" s="307"/>
      <c r="C154" s="308"/>
      <c r="D154" s="255"/>
      <c r="E154" s="215"/>
      <c r="F154" s="256"/>
      <c r="G154" s="309"/>
      <c r="H154" s="518"/>
      <c r="I154" s="256"/>
      <c r="J154" s="255"/>
      <c r="K154" s="215"/>
      <c r="L154" s="256"/>
      <c r="M154" s="304"/>
      <c r="N154" s="305"/>
      <c r="O154" s="119"/>
    </row>
    <row r="155" spans="1:15" s="154" customFormat="1" ht="29.25" hidden="1" thickBot="1" x14ac:dyDescent="0.3">
      <c r="A155" s="259"/>
      <c r="B155" s="465" t="s">
        <v>283</v>
      </c>
      <c r="C155" s="466" t="s">
        <v>195</v>
      </c>
      <c r="D155" s="467" t="s">
        <v>30</v>
      </c>
      <c r="E155" s="468">
        <f>SUM(E156:E158)</f>
        <v>0</v>
      </c>
      <c r="F155" s="467" t="s">
        <v>30</v>
      </c>
      <c r="G155" s="467" t="s">
        <v>30</v>
      </c>
      <c r="H155" s="531">
        <f>SUM(H156:H158)</f>
        <v>0</v>
      </c>
      <c r="I155" s="467" t="s">
        <v>30</v>
      </c>
      <c r="J155" s="467" t="s">
        <v>30</v>
      </c>
      <c r="K155" s="468">
        <f>SUM(K156:K160)</f>
        <v>-3352568</v>
      </c>
      <c r="L155" s="469" t="s">
        <v>30</v>
      </c>
      <c r="M155" s="342"/>
      <c r="N155" s="343"/>
      <c r="O155" s="344"/>
    </row>
    <row r="156" spans="1:15" s="154" customFormat="1" ht="15.75" hidden="1" thickBot="1" x14ac:dyDescent="0.3">
      <c r="A156" s="259"/>
      <c r="B156" s="470" t="s">
        <v>316</v>
      </c>
      <c r="C156" s="310"/>
      <c r="D156" s="291"/>
      <c r="E156" s="238"/>
      <c r="F156" s="298"/>
      <c r="G156" s="311"/>
      <c r="H156" s="519"/>
      <c r="I156" s="298"/>
      <c r="J156" s="291">
        <v>0</v>
      </c>
      <c r="K156" s="238">
        <v>985030</v>
      </c>
      <c r="L156" s="241">
        <v>1</v>
      </c>
      <c r="M156" s="238"/>
      <c r="N156" s="238"/>
      <c r="O156" s="339"/>
    </row>
    <row r="157" spans="1:15" s="154" customFormat="1" ht="15.75" hidden="1" thickBot="1" x14ac:dyDescent="0.3">
      <c r="A157" s="259"/>
      <c r="B157" s="471" t="s">
        <v>285</v>
      </c>
      <c r="C157" s="306"/>
      <c r="D157" s="182"/>
      <c r="E157" s="160"/>
      <c r="F157" s="183"/>
      <c r="G157" s="184"/>
      <c r="H157" s="514"/>
      <c r="I157" s="183"/>
      <c r="J157" s="182">
        <v>17394029</v>
      </c>
      <c r="K157" s="160">
        <v>-6579213</v>
      </c>
      <c r="L157" s="169">
        <f>K157/J157</f>
        <v>-0.37824548872489522</v>
      </c>
      <c r="M157" s="160"/>
      <c r="N157" s="160"/>
      <c r="O157" s="340"/>
    </row>
    <row r="158" spans="1:15" s="154" customFormat="1" ht="15.75" hidden="1" thickBot="1" x14ac:dyDescent="0.3">
      <c r="A158" s="259"/>
      <c r="B158" s="472" t="s">
        <v>286</v>
      </c>
      <c r="C158" s="312"/>
      <c r="D158" s="294"/>
      <c r="E158" s="207"/>
      <c r="F158" s="293"/>
      <c r="G158" s="207">
        <v>901197</v>
      </c>
      <c r="H158" s="517"/>
      <c r="I158" s="293">
        <v>1</v>
      </c>
      <c r="J158" s="294">
        <v>0</v>
      </c>
      <c r="K158" s="207">
        <v>2241615</v>
      </c>
      <c r="L158" s="210">
        <v>1</v>
      </c>
      <c r="M158" s="207"/>
      <c r="N158" s="207"/>
      <c r="O158" s="341"/>
    </row>
    <row r="159" spans="1:15" s="154" customFormat="1" ht="15.75" hidden="1" thickBot="1" x14ac:dyDescent="0.3">
      <c r="A159" s="259"/>
      <c r="B159" s="473"/>
      <c r="C159" s="310"/>
      <c r="D159" s="291"/>
      <c r="E159" s="238"/>
      <c r="F159" s="298"/>
      <c r="G159" s="311"/>
      <c r="H159" s="519"/>
      <c r="I159" s="298"/>
      <c r="J159" s="291"/>
      <c r="K159" s="238"/>
      <c r="L159" s="241"/>
      <c r="M159" s="238"/>
      <c r="N159" s="238"/>
      <c r="O159" s="328"/>
    </row>
    <row r="160" spans="1:15" s="154" customFormat="1" ht="15.75" hidden="1" thickBot="1" x14ac:dyDescent="0.3">
      <c r="A160" s="259"/>
      <c r="B160" s="474"/>
      <c r="C160" s="308"/>
      <c r="D160" s="255"/>
      <c r="E160" s="215"/>
      <c r="F160" s="256"/>
      <c r="G160" s="309"/>
      <c r="H160" s="518"/>
      <c r="I160" s="256"/>
      <c r="J160" s="255"/>
      <c r="K160" s="215"/>
      <c r="L160" s="217"/>
      <c r="M160" s="215"/>
      <c r="N160" s="215"/>
      <c r="O160" s="253"/>
    </row>
    <row r="161" spans="1:16" s="154" customFormat="1" ht="43.5" hidden="1" thickBot="1" x14ac:dyDescent="0.3">
      <c r="A161" s="259"/>
      <c r="B161" s="475" t="s">
        <v>284</v>
      </c>
      <c r="C161" s="476" t="s">
        <v>195</v>
      </c>
      <c r="D161" s="147" t="s">
        <v>30</v>
      </c>
      <c r="E161" s="150">
        <f>SUM(E162:E163)</f>
        <v>0</v>
      </c>
      <c r="F161" s="147" t="s">
        <v>30</v>
      </c>
      <c r="G161" s="147" t="s">
        <v>30</v>
      </c>
      <c r="H161" s="512">
        <f>SUM(H162:H163)</f>
        <v>0</v>
      </c>
      <c r="I161" s="147" t="s">
        <v>30</v>
      </c>
      <c r="J161" s="147" t="s">
        <v>30</v>
      </c>
      <c r="K161" s="150">
        <f>SUM(K162:K163)</f>
        <v>0</v>
      </c>
      <c r="L161" s="477" t="s">
        <v>30</v>
      </c>
      <c r="M161" s="324"/>
      <c r="N161" s="325"/>
      <c r="O161" s="326"/>
    </row>
    <row r="162" spans="1:16" s="154" customFormat="1" ht="15.75" hidden="1" thickBot="1" x14ac:dyDescent="0.3">
      <c r="A162" s="259"/>
      <c r="B162" s="314"/>
      <c r="C162" s="310"/>
      <c r="D162" s="291"/>
      <c r="E162" s="238"/>
      <c r="F162" s="298"/>
      <c r="G162" s="311"/>
      <c r="H162" s="519"/>
      <c r="I162" s="298"/>
      <c r="J162" s="291"/>
      <c r="K162" s="238"/>
      <c r="L162" s="239"/>
      <c r="M162" s="304"/>
      <c r="N162" s="305"/>
      <c r="O162" s="323"/>
    </row>
    <row r="163" spans="1:16" s="154" customFormat="1" ht="15.75" hidden="1" thickBot="1" x14ac:dyDescent="0.3">
      <c r="A163" s="259"/>
      <c r="B163" s="315"/>
      <c r="C163" s="312"/>
      <c r="D163" s="294"/>
      <c r="E163" s="207"/>
      <c r="F163" s="293"/>
      <c r="G163" s="313"/>
      <c r="H163" s="517"/>
      <c r="I163" s="293"/>
      <c r="J163" s="294"/>
      <c r="K163" s="207"/>
      <c r="L163" s="208"/>
      <c r="M163" s="304"/>
      <c r="N163" s="305"/>
      <c r="O163" s="119"/>
    </row>
    <row r="164" spans="1:16" s="154" customFormat="1" ht="15.75" hidden="1" thickBot="1" x14ac:dyDescent="0.3">
      <c r="A164" s="259"/>
      <c r="B164" s="329"/>
      <c r="C164" s="292"/>
      <c r="D164" s="246"/>
      <c r="E164" s="247"/>
      <c r="F164" s="248"/>
      <c r="G164" s="330"/>
      <c r="H164" s="520"/>
      <c r="I164" s="320"/>
      <c r="J164" s="319"/>
      <c r="K164" s="247"/>
      <c r="L164" s="250"/>
      <c r="M164" s="251"/>
      <c r="N164" s="305"/>
      <c r="O164" s="119"/>
    </row>
    <row r="165" spans="1:16" s="154" customFormat="1" ht="15.75" hidden="1" thickBot="1" x14ac:dyDescent="0.3">
      <c r="A165" s="259"/>
      <c r="B165" s="295"/>
      <c r="C165" s="258"/>
      <c r="D165" s="147" t="s">
        <v>30</v>
      </c>
      <c r="E165" s="150">
        <f>E166</f>
        <v>0</v>
      </c>
      <c r="F165" s="149" t="s">
        <v>30</v>
      </c>
      <c r="G165" s="151" t="s">
        <v>30</v>
      </c>
      <c r="H165" s="512">
        <f>H166</f>
        <v>0</v>
      </c>
      <c r="I165" s="296" t="s">
        <v>30</v>
      </c>
      <c r="J165" s="148" t="s">
        <v>30</v>
      </c>
      <c r="K165" s="150">
        <f>K166</f>
        <v>0</v>
      </c>
      <c r="L165" s="321" t="s">
        <v>30</v>
      </c>
      <c r="M165" s="152">
        <f>M166</f>
        <v>0</v>
      </c>
      <c r="N165" s="285">
        <f>N166</f>
        <v>0</v>
      </c>
      <c r="O165" s="331"/>
    </row>
    <row r="166" spans="1:16" s="154" customFormat="1" ht="15.75" hidden="1" thickBot="1" x14ac:dyDescent="0.3">
      <c r="A166" s="259"/>
      <c r="B166" s="478"/>
      <c r="C166" s="332" t="s">
        <v>195</v>
      </c>
      <c r="D166" s="333">
        <v>0</v>
      </c>
      <c r="E166" s="268"/>
      <c r="F166" s="334">
        <v>0</v>
      </c>
      <c r="G166" s="335">
        <v>0</v>
      </c>
      <c r="H166" s="530"/>
      <c r="I166" s="336"/>
      <c r="J166" s="337"/>
      <c r="K166" s="268"/>
      <c r="L166" s="338"/>
      <c r="M166" s="269"/>
      <c r="N166" s="270"/>
      <c r="O166" s="327"/>
    </row>
    <row r="167" spans="1:16" s="574" customFormat="1" ht="24.75" customHeight="1" thickBot="1" x14ac:dyDescent="0.3">
      <c r="A167" s="675"/>
      <c r="B167" s="676" t="s">
        <v>189</v>
      </c>
      <c r="C167" s="677"/>
      <c r="D167" s="678" t="s">
        <v>30</v>
      </c>
      <c r="E167" s="679">
        <f>E7+E31+E57+E81+E89+E101+E111+E114+E117+E120+E123+E125+E135+E138+E141+E143+E146+E149+E152+E155+E161+E165</f>
        <v>36169388</v>
      </c>
      <c r="F167" s="680" t="s">
        <v>30</v>
      </c>
      <c r="G167" s="681" t="s">
        <v>30</v>
      </c>
      <c r="H167" s="679">
        <f>H7+H31+H57+H81+H89+H101+H111+H114+H117+H120+H123+H125+H135+H138+H141+H143+H146+H149+H152+H155+H161+H165</f>
        <v>-3300615</v>
      </c>
      <c r="I167" s="682" t="s">
        <v>30</v>
      </c>
      <c r="J167" s="683" t="s">
        <v>30</v>
      </c>
      <c r="K167" s="679">
        <f>K7+K31+K57+K81+K89+K101+K111+K114+K117+K120+K123+K125+K135+K138+K141+K143+K146+K149+K152+K155+K161+K165</f>
        <v>23920486</v>
      </c>
      <c r="L167" s="684" t="s">
        <v>30</v>
      </c>
      <c r="M167" s="685">
        <f>M7+M31+M57+M81+M89+M101+M111+M114+M117+M123+M120+M125+M135+M138+M141+M143+M146+M149</f>
        <v>0</v>
      </c>
      <c r="N167" s="685">
        <f>N7+N31+N57+N81+N89+N101+N111+N114+N117+N123+N120+N125+N135+N138+N141+N143+N146+N149</f>
        <v>0</v>
      </c>
      <c r="O167" s="543"/>
    </row>
    <row r="168" spans="1:16" s="574" customFormat="1" ht="15.75" hidden="1" thickBot="1" x14ac:dyDescent="0.3">
      <c r="A168" s="686"/>
      <c r="B168" s="687" t="s">
        <v>103</v>
      </c>
      <c r="C168" s="1117">
        <f>E167+H167+K167</f>
        <v>56789259</v>
      </c>
      <c r="D168" s="1117"/>
      <c r="E168" s="1117"/>
      <c r="F168" s="1117"/>
      <c r="G168" s="1117"/>
      <c r="H168" s="1117"/>
      <c r="I168" s="1117"/>
      <c r="J168" s="1118"/>
      <c r="K168" s="1118"/>
      <c r="L168" s="1119"/>
      <c r="M168" s="688">
        <f>M167</f>
        <v>0</v>
      </c>
      <c r="N168" s="689">
        <f>N167</f>
        <v>0</v>
      </c>
      <c r="O168" s="543"/>
    </row>
    <row r="169" spans="1:16" s="574" customFormat="1" ht="15.75" thickBot="1" x14ac:dyDescent="0.3">
      <c r="A169" s="675"/>
      <c r="B169" s="676" t="s">
        <v>104</v>
      </c>
      <c r="C169" s="677" t="s">
        <v>180</v>
      </c>
      <c r="D169" s="678" t="s">
        <v>30</v>
      </c>
      <c r="E169" s="690">
        <f>SUM(E170:E187)</f>
        <v>0</v>
      </c>
      <c r="F169" s="691" t="s">
        <v>30</v>
      </c>
      <c r="G169" s="678" t="s">
        <v>30</v>
      </c>
      <c r="H169" s="690">
        <f>SUM(H170:H188)</f>
        <v>-6083118</v>
      </c>
      <c r="I169" s="692"/>
      <c r="J169" s="693" t="s">
        <v>30</v>
      </c>
      <c r="K169" s="690">
        <f>SUM(K170:K187)</f>
        <v>325662</v>
      </c>
      <c r="L169" s="694" t="s">
        <v>30</v>
      </c>
      <c r="M169" s="690">
        <f>SUM(M170:M187)</f>
        <v>0</v>
      </c>
      <c r="N169" s="695">
        <f>SUM(N170:N187)</f>
        <v>0</v>
      </c>
      <c r="O169" s="543"/>
    </row>
    <row r="170" spans="1:16" s="154" customFormat="1" hidden="1" x14ac:dyDescent="0.25">
      <c r="A170" s="488"/>
      <c r="B170" s="489" t="s">
        <v>317</v>
      </c>
      <c r="C170" s="158" t="s">
        <v>195</v>
      </c>
      <c r="D170" s="214"/>
      <c r="E170" s="215"/>
      <c r="F170" s="220"/>
      <c r="G170" s="214">
        <v>199000</v>
      </c>
      <c r="H170" s="518"/>
      <c r="I170" s="490">
        <f>H170/G170</f>
        <v>0</v>
      </c>
      <c r="J170" s="214">
        <v>98000</v>
      </c>
      <c r="K170" s="215">
        <v>98000</v>
      </c>
      <c r="L170" s="491">
        <f>K170/J170</f>
        <v>1</v>
      </c>
      <c r="M170" s="242"/>
      <c r="N170" s="243"/>
      <c r="O170" s="116"/>
    </row>
    <row r="171" spans="1:16" s="154" customFormat="1" ht="90" x14ac:dyDescent="0.25">
      <c r="A171" s="492"/>
      <c r="B171" s="571" t="s">
        <v>215</v>
      </c>
      <c r="C171" s="572" t="s">
        <v>195</v>
      </c>
      <c r="D171" s="536"/>
      <c r="E171" s="537"/>
      <c r="F171" s="538"/>
      <c r="G171" s="536">
        <v>58025711</v>
      </c>
      <c r="H171" s="696">
        <f>-1074996-400000-291400-462205-1159686-1054831</f>
        <v>-4443118</v>
      </c>
      <c r="I171" s="539">
        <f t="shared" ref="I171" si="37">H171/G171</f>
        <v>-7.6571539123406862E-2</v>
      </c>
      <c r="J171" s="536">
        <v>22241441</v>
      </c>
      <c r="K171" s="537">
        <v>54001</v>
      </c>
      <c r="L171" s="540">
        <f>K171/J171</f>
        <v>2.42794520373028E-3</v>
      </c>
      <c r="M171" s="541"/>
      <c r="N171" s="542"/>
      <c r="O171" s="573" t="s">
        <v>344</v>
      </c>
      <c r="P171" s="574"/>
    </row>
    <row r="172" spans="1:16" s="154" customFormat="1" hidden="1" x14ac:dyDescent="0.25">
      <c r="A172" s="492"/>
      <c r="B172" s="493" t="s">
        <v>295</v>
      </c>
      <c r="C172" s="192" t="s">
        <v>195</v>
      </c>
      <c r="D172" s="159"/>
      <c r="E172" s="160"/>
      <c r="F172" s="162"/>
      <c r="G172" s="159"/>
      <c r="H172" s="514"/>
      <c r="I172" s="539"/>
      <c r="J172" s="159"/>
      <c r="K172" s="160"/>
      <c r="L172" s="491">
        <v>1</v>
      </c>
      <c r="M172" s="242"/>
      <c r="N172" s="243"/>
      <c r="O172" s="134"/>
    </row>
    <row r="173" spans="1:16" s="154" customFormat="1" hidden="1" x14ac:dyDescent="0.25">
      <c r="A173" s="492"/>
      <c r="B173" s="493" t="s">
        <v>249</v>
      </c>
      <c r="C173" s="192" t="s">
        <v>195</v>
      </c>
      <c r="D173" s="494"/>
      <c r="E173" s="160"/>
      <c r="F173" s="233" t="e">
        <f>E173/D173</f>
        <v>#DIV/0!</v>
      </c>
      <c r="G173" s="159"/>
      <c r="H173" s="514"/>
      <c r="I173" s="539"/>
      <c r="J173" s="159"/>
      <c r="K173" s="160"/>
      <c r="L173" s="491"/>
      <c r="M173" s="242"/>
      <c r="N173" s="243"/>
      <c r="O173" s="134"/>
    </row>
    <row r="174" spans="1:16" s="154" customFormat="1" x14ac:dyDescent="0.25">
      <c r="A174" s="492"/>
      <c r="B174" s="571" t="s">
        <v>232</v>
      </c>
      <c r="C174" s="572" t="s">
        <v>195</v>
      </c>
      <c r="D174" s="536"/>
      <c r="E174" s="537"/>
      <c r="F174" s="538"/>
      <c r="G174" s="570">
        <v>11143940</v>
      </c>
      <c r="H174" s="537">
        <v>-200000</v>
      </c>
      <c r="I174" s="539">
        <f>H174/G174</f>
        <v>-1.7946973871000742E-2</v>
      </c>
      <c r="J174" s="536">
        <v>0</v>
      </c>
      <c r="K174" s="537">
        <v>173661</v>
      </c>
      <c r="L174" s="540">
        <v>1</v>
      </c>
      <c r="M174" s="541"/>
      <c r="N174" s="542"/>
      <c r="O174" s="573" t="s">
        <v>343</v>
      </c>
    </row>
    <row r="175" spans="1:16" s="154" customFormat="1" hidden="1" x14ac:dyDescent="0.25">
      <c r="A175" s="492"/>
      <c r="B175" s="493" t="s">
        <v>247</v>
      </c>
      <c r="C175" s="192" t="s">
        <v>195</v>
      </c>
      <c r="D175" s="159"/>
      <c r="E175" s="160"/>
      <c r="F175" s="162"/>
      <c r="G175" s="494"/>
      <c r="H175" s="514"/>
      <c r="I175" s="233"/>
      <c r="J175" s="159"/>
      <c r="K175" s="160"/>
      <c r="L175" s="491" t="e">
        <f>K175/J175</f>
        <v>#DIV/0!</v>
      </c>
      <c r="M175" s="242"/>
      <c r="N175" s="243"/>
      <c r="O175" s="134"/>
    </row>
    <row r="176" spans="1:16" s="154" customFormat="1" ht="30" hidden="1" x14ac:dyDescent="0.25">
      <c r="A176" s="492"/>
      <c r="B176" s="489" t="s">
        <v>212</v>
      </c>
      <c r="C176" s="158" t="s">
        <v>195</v>
      </c>
      <c r="D176" s="159"/>
      <c r="E176" s="160"/>
      <c r="F176" s="162"/>
      <c r="G176" s="159"/>
      <c r="H176" s="514"/>
      <c r="I176" s="233" t="e">
        <f>H176/G176</f>
        <v>#DIV/0!</v>
      </c>
      <c r="J176" s="159"/>
      <c r="K176" s="160"/>
      <c r="L176" s="491"/>
      <c r="M176" s="242"/>
      <c r="N176" s="243"/>
      <c r="O176" s="116"/>
    </row>
    <row r="177" spans="1:15" s="154" customFormat="1" x14ac:dyDescent="0.25">
      <c r="A177" s="492"/>
      <c r="B177" s="534" t="s">
        <v>222</v>
      </c>
      <c r="C177" s="535" t="s">
        <v>195</v>
      </c>
      <c r="D177" s="536"/>
      <c r="E177" s="537"/>
      <c r="F177" s="538"/>
      <c r="G177" s="536">
        <v>8200000</v>
      </c>
      <c r="H177" s="537">
        <v>-90000</v>
      </c>
      <c r="I177" s="539">
        <f>H177/G177</f>
        <v>-1.097560975609756E-2</v>
      </c>
      <c r="J177" s="536"/>
      <c r="K177" s="537"/>
      <c r="L177" s="540"/>
      <c r="M177" s="541"/>
      <c r="N177" s="542"/>
      <c r="O177" s="543" t="s">
        <v>342</v>
      </c>
    </row>
    <row r="178" spans="1:15" s="154" customFormat="1" x14ac:dyDescent="0.25">
      <c r="A178" s="492"/>
      <c r="B178" s="534" t="s">
        <v>327</v>
      </c>
      <c r="C178" s="535" t="s">
        <v>328</v>
      </c>
      <c r="D178" s="536"/>
      <c r="E178" s="537"/>
      <c r="F178" s="538"/>
      <c r="G178" s="536">
        <v>9435664</v>
      </c>
      <c r="H178" s="537">
        <v>-100000</v>
      </c>
      <c r="I178" s="539">
        <f>H178/G178</f>
        <v>-1.0598088274444703E-2</v>
      </c>
      <c r="J178" s="536"/>
      <c r="K178" s="537"/>
      <c r="L178" s="540"/>
      <c r="M178" s="541"/>
      <c r="N178" s="542"/>
      <c r="O178" s="543" t="s">
        <v>343</v>
      </c>
    </row>
    <row r="179" spans="1:15" s="154" customFormat="1" ht="30" x14ac:dyDescent="0.25">
      <c r="A179" s="492"/>
      <c r="B179" s="534" t="s">
        <v>329</v>
      </c>
      <c r="C179" s="535" t="s">
        <v>195</v>
      </c>
      <c r="D179" s="536"/>
      <c r="E179" s="537"/>
      <c r="F179" s="538"/>
      <c r="G179" s="536">
        <v>199000</v>
      </c>
      <c r="H179" s="537">
        <v>-100000</v>
      </c>
      <c r="I179" s="539">
        <f>H179/G179</f>
        <v>-0.50251256281407031</v>
      </c>
      <c r="J179" s="536"/>
      <c r="K179" s="537"/>
      <c r="L179" s="540"/>
      <c r="M179" s="541"/>
      <c r="N179" s="542"/>
      <c r="O179" s="543"/>
    </row>
    <row r="180" spans="1:15" s="154" customFormat="1" x14ac:dyDescent="0.25">
      <c r="A180" s="492"/>
      <c r="B180" s="534" t="s">
        <v>330</v>
      </c>
      <c r="C180" s="535" t="s">
        <v>196</v>
      </c>
      <c r="D180" s="536"/>
      <c r="E180" s="537"/>
      <c r="F180" s="538"/>
      <c r="G180" s="536">
        <v>400000</v>
      </c>
      <c r="H180" s="537">
        <v>-100000</v>
      </c>
      <c r="I180" s="539">
        <v>0</v>
      </c>
      <c r="J180" s="536"/>
      <c r="K180" s="537"/>
      <c r="L180" s="540" t="e">
        <f>K180/J180</f>
        <v>#DIV/0!</v>
      </c>
      <c r="M180" s="541"/>
      <c r="N180" s="542"/>
      <c r="O180" s="543"/>
    </row>
    <row r="181" spans="1:15" s="154" customFormat="1" x14ac:dyDescent="0.25">
      <c r="A181" s="492"/>
      <c r="B181" s="609" t="s">
        <v>234</v>
      </c>
      <c r="C181" s="535" t="s">
        <v>195</v>
      </c>
      <c r="D181" s="536"/>
      <c r="E181" s="537"/>
      <c r="F181" s="538"/>
      <c r="G181" s="536">
        <v>5400000</v>
      </c>
      <c r="H181" s="696">
        <v>-400000</v>
      </c>
      <c r="I181" s="539">
        <f t="shared" ref="I181:I189" si="38">H181/G181</f>
        <v>-7.407407407407407E-2</v>
      </c>
      <c r="J181" s="536"/>
      <c r="K181" s="537"/>
      <c r="L181" s="540"/>
      <c r="M181" s="541"/>
      <c r="N181" s="542"/>
      <c r="O181" s="543"/>
    </row>
    <row r="182" spans="1:15" s="154" customFormat="1" hidden="1" x14ac:dyDescent="0.25">
      <c r="A182" s="492"/>
      <c r="B182" s="714" t="s">
        <v>346</v>
      </c>
      <c r="C182" s="698" t="s">
        <v>195</v>
      </c>
      <c r="D182" s="701"/>
      <c r="E182" s="514"/>
      <c r="F182" s="702"/>
      <c r="G182" s="721">
        <v>400000</v>
      </c>
      <c r="H182" s="514"/>
      <c r="I182" s="717">
        <f t="shared" si="38"/>
        <v>0</v>
      </c>
      <c r="J182" s="701"/>
      <c r="K182" s="514"/>
      <c r="L182" s="722"/>
      <c r="M182" s="723"/>
      <c r="N182" s="724"/>
      <c r="O182" s="114" t="s">
        <v>347</v>
      </c>
    </row>
    <row r="183" spans="1:15" s="154" customFormat="1" ht="30" x14ac:dyDescent="0.25">
      <c r="A183" s="492"/>
      <c r="B183" s="534" t="s">
        <v>251</v>
      </c>
      <c r="C183" s="535" t="s">
        <v>196</v>
      </c>
      <c r="D183" s="536"/>
      <c r="E183" s="537"/>
      <c r="F183" s="538"/>
      <c r="G183" s="570">
        <v>3011000</v>
      </c>
      <c r="H183" s="537">
        <v>-200000</v>
      </c>
      <c r="I183" s="539">
        <f t="shared" si="38"/>
        <v>-6.6423115244104949E-2</v>
      </c>
      <c r="J183" s="536"/>
      <c r="K183" s="537"/>
      <c r="L183" s="540" t="e">
        <f>K183/J183</f>
        <v>#DIV/0!</v>
      </c>
      <c r="M183" s="541"/>
      <c r="N183" s="542"/>
      <c r="O183" s="543"/>
    </row>
    <row r="184" spans="1:15" s="154" customFormat="1" ht="30" hidden="1" x14ac:dyDescent="0.25">
      <c r="A184" s="492"/>
      <c r="B184" s="489" t="s">
        <v>248</v>
      </c>
      <c r="C184" s="158" t="s">
        <v>195</v>
      </c>
      <c r="D184" s="159"/>
      <c r="E184" s="160"/>
      <c r="F184" s="162"/>
      <c r="G184" s="494"/>
      <c r="H184" s="514"/>
      <c r="I184" s="539" t="e">
        <f t="shared" si="38"/>
        <v>#DIV/0!</v>
      </c>
      <c r="J184" s="159"/>
      <c r="K184" s="160"/>
      <c r="L184" s="491"/>
      <c r="M184" s="242"/>
      <c r="N184" s="243"/>
      <c r="O184" s="116"/>
    </row>
    <row r="185" spans="1:15" s="154" customFormat="1" ht="30" hidden="1" x14ac:dyDescent="0.25">
      <c r="A185" s="492"/>
      <c r="B185" s="489" t="s">
        <v>229</v>
      </c>
      <c r="C185" s="158" t="s">
        <v>195</v>
      </c>
      <c r="D185" s="159"/>
      <c r="E185" s="160"/>
      <c r="F185" s="162"/>
      <c r="G185" s="159"/>
      <c r="H185" s="514"/>
      <c r="I185" s="539" t="e">
        <f t="shared" si="38"/>
        <v>#DIV/0!</v>
      </c>
      <c r="J185" s="159"/>
      <c r="K185" s="160"/>
      <c r="L185" s="491"/>
      <c r="M185" s="242"/>
      <c r="N185" s="243"/>
      <c r="O185" s="116"/>
    </row>
    <row r="186" spans="1:15" s="154" customFormat="1" hidden="1" x14ac:dyDescent="0.25">
      <c r="A186" s="492"/>
      <c r="B186" s="489" t="s">
        <v>278</v>
      </c>
      <c r="C186" s="158"/>
      <c r="D186" s="159"/>
      <c r="E186" s="160"/>
      <c r="F186" s="162" t="e">
        <f>E186/D186</f>
        <v>#DIV/0!</v>
      </c>
      <c r="G186" s="159"/>
      <c r="H186" s="514"/>
      <c r="I186" s="539" t="e">
        <f t="shared" si="38"/>
        <v>#DIV/0!</v>
      </c>
      <c r="J186" s="159"/>
      <c r="K186" s="160"/>
      <c r="L186" s="495"/>
      <c r="M186" s="242"/>
      <c r="N186" s="243"/>
      <c r="O186" s="116"/>
    </row>
    <row r="187" spans="1:15" x14ac:dyDescent="0.25">
      <c r="A187" s="713"/>
      <c r="B187" s="714" t="s">
        <v>339</v>
      </c>
      <c r="C187" s="698" t="s">
        <v>195</v>
      </c>
      <c r="D187" s="715"/>
      <c r="E187" s="518"/>
      <c r="F187" s="716"/>
      <c r="G187" s="715">
        <v>700000</v>
      </c>
      <c r="H187" s="518">
        <v>-450000</v>
      </c>
      <c r="I187" s="717">
        <f t="shared" si="38"/>
        <v>-0.6428571428571429</v>
      </c>
      <c r="J187" s="715"/>
      <c r="K187" s="518"/>
      <c r="L187" s="718" t="e">
        <f>K187/J187%</f>
        <v>#DIV/0!</v>
      </c>
      <c r="M187" s="719"/>
      <c r="N187" s="720"/>
      <c r="O187" s="114"/>
    </row>
    <row r="188" spans="1:15" s="154" customFormat="1" hidden="1" x14ac:dyDescent="0.25">
      <c r="A188" s="492"/>
      <c r="B188" s="714" t="s">
        <v>345</v>
      </c>
      <c r="C188" s="698" t="s">
        <v>195</v>
      </c>
      <c r="D188" s="715"/>
      <c r="E188" s="518"/>
      <c r="F188" s="716"/>
      <c r="G188" s="715">
        <v>0</v>
      </c>
      <c r="H188" s="518"/>
      <c r="I188" s="717">
        <v>1</v>
      </c>
      <c r="J188" s="214"/>
      <c r="K188" s="215"/>
      <c r="L188" s="496"/>
      <c r="M188" s="304"/>
      <c r="N188" s="252"/>
      <c r="O188" s="116"/>
    </row>
    <row r="189" spans="1:15" s="154" customFormat="1" hidden="1" x14ac:dyDescent="0.25">
      <c r="A189" s="492"/>
      <c r="B189" s="489"/>
      <c r="C189" s="698" t="s">
        <v>195</v>
      </c>
      <c r="D189" s="214"/>
      <c r="E189" s="215"/>
      <c r="F189" s="220"/>
      <c r="G189" s="214"/>
      <c r="H189" s="518"/>
      <c r="I189" s="717" t="e">
        <f t="shared" si="38"/>
        <v>#DIV/0!</v>
      </c>
      <c r="J189" s="214"/>
      <c r="K189" s="215"/>
      <c r="L189" s="496"/>
      <c r="M189" s="304"/>
      <c r="N189" s="252"/>
      <c r="O189" s="116"/>
    </row>
    <row r="190" spans="1:15" s="154" customFormat="1" ht="15.75" hidden="1" thickBot="1" x14ac:dyDescent="0.3">
      <c r="A190" s="479"/>
      <c r="B190" s="480" t="s">
        <v>104</v>
      </c>
      <c r="C190" s="481" t="s">
        <v>310</v>
      </c>
      <c r="D190" s="482" t="s">
        <v>30</v>
      </c>
      <c r="E190" s="483">
        <f>SUM(E191)</f>
        <v>750000</v>
      </c>
      <c r="F190" s="484" t="s">
        <v>30</v>
      </c>
      <c r="G190" s="482" t="s">
        <v>30</v>
      </c>
      <c r="H190" s="532">
        <f>SUM(H191)</f>
        <v>0</v>
      </c>
      <c r="I190" s="485"/>
      <c r="J190" s="486" t="s">
        <v>30</v>
      </c>
      <c r="K190" s="483">
        <f>SUM(K191)</f>
        <v>0</v>
      </c>
      <c r="L190" s="487" t="s">
        <v>30</v>
      </c>
      <c r="M190" s="483">
        <f>SUM(M191)</f>
        <v>0</v>
      </c>
      <c r="N190" s="483">
        <f>SUM(N191)</f>
        <v>0</v>
      </c>
      <c r="O190" s="116"/>
    </row>
    <row r="191" spans="1:15" s="154" customFormat="1" hidden="1" x14ac:dyDescent="0.25">
      <c r="A191" s="492"/>
      <c r="B191" s="489" t="s">
        <v>311</v>
      </c>
      <c r="C191" s="158" t="s">
        <v>195</v>
      </c>
      <c r="D191" s="214">
        <v>0</v>
      </c>
      <c r="E191" s="215">
        <v>750000</v>
      </c>
      <c r="F191" s="220">
        <v>1</v>
      </c>
      <c r="G191" s="214"/>
      <c r="H191" s="518"/>
      <c r="I191" s="490"/>
      <c r="J191" s="214"/>
      <c r="K191" s="215"/>
      <c r="L191" s="496"/>
      <c r="M191" s="304"/>
      <c r="N191" s="252"/>
      <c r="O191" s="116"/>
    </row>
    <row r="192" spans="1:15" s="154" customFormat="1" ht="15.75" thickBot="1" x14ac:dyDescent="0.3">
      <c r="A192" s="497"/>
      <c r="B192" s="725" t="s">
        <v>105</v>
      </c>
      <c r="C192" s="726"/>
      <c r="D192" s="727" t="s">
        <v>102</v>
      </c>
      <c r="E192" s="533">
        <f>E169+E167+E190</f>
        <v>36919388</v>
      </c>
      <c r="F192" s="728" t="s">
        <v>102</v>
      </c>
      <c r="G192" s="727" t="s">
        <v>102</v>
      </c>
      <c r="H192" s="533">
        <f>H169+H167+H190</f>
        <v>-9383733</v>
      </c>
      <c r="I192" s="729" t="s">
        <v>102</v>
      </c>
      <c r="J192" s="727" t="s">
        <v>102</v>
      </c>
      <c r="K192" s="533">
        <f>K169+K167+K190</f>
        <v>24246148</v>
      </c>
      <c r="L192" s="728" t="s">
        <v>102</v>
      </c>
      <c r="M192" s="533">
        <f>M169+M167+M190</f>
        <v>0</v>
      </c>
      <c r="N192" s="533">
        <f>N169+N167+N190</f>
        <v>0</v>
      </c>
      <c r="O192" s="114"/>
    </row>
    <row r="193" spans="1:15" s="154" customFormat="1" ht="15.75" hidden="1" thickBot="1" x14ac:dyDescent="0.3">
      <c r="A193" s="498"/>
      <c r="B193" s="499" t="s">
        <v>324</v>
      </c>
      <c r="C193" s="500"/>
      <c r="D193" s="501"/>
      <c r="E193" s="501"/>
      <c r="F193" s="501"/>
      <c r="G193" s="501"/>
      <c r="H193" s="501"/>
      <c r="I193" s="501"/>
      <c r="J193" s="501"/>
      <c r="K193" s="501"/>
      <c r="L193" s="501"/>
      <c r="M193" s="502"/>
      <c r="N193" s="503"/>
      <c r="O193" s="116"/>
    </row>
    <row r="194" spans="1:15" s="509" customFormat="1" ht="15.75" hidden="1" thickBot="1" x14ac:dyDescent="0.3">
      <c r="A194" s="504"/>
      <c r="B194" s="505" t="s">
        <v>106</v>
      </c>
      <c r="C194" s="506"/>
      <c r="D194" s="1120">
        <f>E192+H192+K192</f>
        <v>51781803</v>
      </c>
      <c r="E194" s="1121"/>
      <c r="F194" s="1121"/>
      <c r="G194" s="1121"/>
      <c r="H194" s="1121"/>
      <c r="I194" s="1121"/>
      <c r="J194" s="1121"/>
      <c r="K194" s="1121"/>
      <c r="L194" s="1122"/>
      <c r="M194" s="507">
        <f>M192+M193</f>
        <v>0</v>
      </c>
      <c r="N194" s="507">
        <f>N192+N193</f>
        <v>0</v>
      </c>
      <c r="O194" s="508"/>
    </row>
    <row r="195" spans="1:15" s="154" customFormat="1" x14ac:dyDescent="0.25">
      <c r="A195" s="510"/>
      <c r="C195" s="457"/>
      <c r="D195" s="511"/>
      <c r="E195" s="511"/>
      <c r="F195" s="511"/>
      <c r="G195" s="511"/>
      <c r="H195" s="511"/>
      <c r="I195" s="511"/>
      <c r="J195" s="511"/>
      <c r="K195" s="511"/>
      <c r="L195" s="511"/>
      <c r="M195" s="511"/>
      <c r="N195" s="511"/>
    </row>
    <row r="196" spans="1:15" s="154" customFormat="1" x14ac:dyDescent="0.25">
      <c r="A196" s="510"/>
      <c r="C196" s="457"/>
      <c r="D196" s="511"/>
      <c r="E196" s="511"/>
      <c r="F196" s="511"/>
      <c r="G196" s="511"/>
      <c r="H196" s="511"/>
      <c r="I196" s="511"/>
      <c r="J196" s="511"/>
      <c r="K196" s="511"/>
      <c r="L196" s="511"/>
      <c r="M196" s="511"/>
      <c r="N196" s="511"/>
    </row>
    <row r="215" spans="7:7" x14ac:dyDescent="0.25">
      <c r="G215" s="318" t="s">
        <v>217</v>
      </c>
    </row>
  </sheetData>
  <mergeCells count="11">
    <mergeCell ref="A6:L6"/>
    <mergeCell ref="C168:L168"/>
    <mergeCell ref="D194:L194"/>
    <mergeCell ref="A1:N1"/>
    <mergeCell ref="D2:J2"/>
    <mergeCell ref="A4:A5"/>
    <mergeCell ref="B4:B5"/>
    <mergeCell ref="C4:C5"/>
    <mergeCell ref="D4:F4"/>
    <mergeCell ref="G4:I4"/>
    <mergeCell ref="J4:L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tabSelected="1" view="pageBreakPreview" zoomScaleSheetLayoutView="100" workbookViewId="0">
      <selection activeCell="N5" sqref="N5"/>
    </sheetView>
  </sheetViews>
  <sheetFormatPr defaultColWidth="9.140625" defaultRowHeight="15" x14ac:dyDescent="0.25"/>
  <cols>
    <col min="1" max="1" width="32.42578125" style="763" customWidth="1"/>
    <col min="2" max="6" width="0" style="763" hidden="1" customWidth="1"/>
    <col min="7" max="7" width="19.7109375" style="763" customWidth="1"/>
    <col min="8" max="8" width="21.28515625" style="763" customWidth="1"/>
    <col min="9" max="9" width="20.5703125" style="763" customWidth="1"/>
    <col min="10" max="10" width="20.7109375" style="763" customWidth="1"/>
    <col min="11" max="16384" width="9.140625" style="763"/>
  </cols>
  <sheetData>
    <row r="1" spans="1:11" ht="1.5" customHeight="1" x14ac:dyDescent="0.25"/>
    <row r="2" spans="1:11" hidden="1" x14ac:dyDescent="0.25"/>
    <row r="3" spans="1:11" ht="39.75" customHeight="1" x14ac:dyDescent="0.25">
      <c r="A3" s="1131" t="s">
        <v>323</v>
      </c>
      <c r="B3" s="1131"/>
      <c r="C3" s="1131"/>
      <c r="D3" s="1131"/>
      <c r="E3" s="1131"/>
      <c r="F3" s="1131"/>
      <c r="G3" s="1131"/>
      <c r="H3" s="1131"/>
      <c r="I3" s="1131"/>
      <c r="J3" s="1131"/>
      <c r="K3" s="1131"/>
    </row>
    <row r="4" spans="1:11" ht="15.75" x14ac:dyDescent="0.25">
      <c r="A4" s="805"/>
      <c r="B4" s="806"/>
      <c r="C4" s="807"/>
      <c r="D4" s="1132"/>
      <c r="E4" s="1132"/>
      <c r="F4" s="1132"/>
      <c r="G4" s="1132"/>
      <c r="H4" s="807"/>
      <c r="I4" s="807"/>
      <c r="J4" s="807"/>
      <c r="K4" s="807"/>
    </row>
    <row r="5" spans="1:11" ht="51.75" customHeight="1" x14ac:dyDescent="0.25">
      <c r="A5" s="1027"/>
      <c r="B5" s="1027"/>
      <c r="C5" s="1027"/>
      <c r="D5" s="1027"/>
      <c r="E5" s="1027"/>
      <c r="F5" s="1027"/>
      <c r="G5" s="1028" t="s">
        <v>489</v>
      </c>
      <c r="H5" s="1029" t="s">
        <v>88</v>
      </c>
      <c r="I5" s="1029" t="s">
        <v>89</v>
      </c>
      <c r="J5" s="1028" t="s">
        <v>605</v>
      </c>
      <c r="K5" s="1030"/>
    </row>
    <row r="6" spans="1:11" ht="15.75" x14ac:dyDescent="0.25">
      <c r="A6" s="1031"/>
      <c r="B6" s="1133">
        <f>-G7</f>
        <v>-13347000</v>
      </c>
      <c r="C6" s="1133"/>
      <c r="D6" s="1134"/>
      <c r="E6" s="1134"/>
      <c r="F6" s="1134"/>
      <c r="G6" s="1134"/>
      <c r="H6" s="1032">
        <f>H7+H9+H8+H10</f>
        <v>46002376.329999998</v>
      </c>
      <c r="I6" s="1032">
        <f>расходы!D190</f>
        <v>32655376.329999998</v>
      </c>
      <c r="J6" s="1032">
        <f>B6+H6-I6</f>
        <v>0</v>
      </c>
      <c r="K6" s="1030"/>
    </row>
    <row r="7" spans="1:11" ht="15.75" x14ac:dyDescent="0.25">
      <c r="A7" s="1033" t="s">
        <v>90</v>
      </c>
      <c r="B7" s="1032"/>
      <c r="C7" s="1032"/>
      <c r="D7" s="1032"/>
      <c r="E7" s="1032"/>
      <c r="F7" s="1032"/>
      <c r="G7" s="1032">
        <v>13347000</v>
      </c>
      <c r="H7" s="1032">
        <v>0</v>
      </c>
      <c r="I7" s="1032">
        <v>0</v>
      </c>
      <c r="J7" s="1032">
        <v>0</v>
      </c>
      <c r="K7" s="1030"/>
    </row>
    <row r="8" spans="1:11" ht="31.5" x14ac:dyDescent="0.25">
      <c r="A8" s="1033" t="s">
        <v>91</v>
      </c>
      <c r="B8" s="1032"/>
      <c r="C8" s="1032"/>
      <c r="D8" s="1032"/>
      <c r="E8" s="1032"/>
      <c r="F8" s="1032"/>
      <c r="G8" s="1032"/>
      <c r="H8" s="1032">
        <f>Доходы!D123+Доходы!D6</f>
        <v>-12817237</v>
      </c>
      <c r="I8" s="1032">
        <v>0</v>
      </c>
      <c r="J8" s="1032">
        <v>0</v>
      </c>
      <c r="K8" s="1030"/>
    </row>
    <row r="9" spans="1:11" ht="22.5" customHeight="1" x14ac:dyDescent="0.25">
      <c r="A9" s="1033" t="s">
        <v>92</v>
      </c>
      <c r="B9" s="1032"/>
      <c r="C9" s="1032"/>
      <c r="D9" s="1032"/>
      <c r="E9" s="1032"/>
      <c r="F9" s="1032"/>
      <c r="G9" s="1032"/>
      <c r="H9" s="1032">
        <f>Доходы!D28+Доходы!D40+Доходы!D81</f>
        <v>53819613.329999998</v>
      </c>
      <c r="I9" s="1032">
        <v>0</v>
      </c>
      <c r="J9" s="1032">
        <v>0</v>
      </c>
      <c r="K9" s="1030"/>
    </row>
    <row r="10" spans="1:11" ht="15.75" x14ac:dyDescent="0.25">
      <c r="A10" s="1033" t="s">
        <v>93</v>
      </c>
      <c r="B10" s="1032"/>
      <c r="C10" s="1032"/>
      <c r="D10" s="1032"/>
      <c r="E10" s="1032"/>
      <c r="F10" s="1032"/>
      <c r="G10" s="1032"/>
      <c r="H10" s="1032">
        <f>Доходы!D25</f>
        <v>5000000</v>
      </c>
      <c r="I10" s="1032"/>
      <c r="J10" s="1032"/>
      <c r="K10" s="1030"/>
    </row>
    <row r="11" spans="1:11" ht="20.25" customHeight="1" x14ac:dyDescent="0.25">
      <c r="A11" s="1033" t="s">
        <v>94</v>
      </c>
      <c r="B11" s="1032"/>
      <c r="C11" s="1032"/>
      <c r="D11" s="1032"/>
      <c r="E11" s="1032"/>
      <c r="F11" s="1032"/>
      <c r="G11" s="1032"/>
      <c r="H11" s="1032"/>
      <c r="I11" s="1032"/>
      <c r="J11" s="1032"/>
      <c r="K11" s="1030"/>
    </row>
    <row r="12" spans="1:11" x14ac:dyDescent="0.25">
      <c r="A12" s="1030"/>
      <c r="B12" s="1030"/>
      <c r="C12" s="1030"/>
      <c r="D12" s="1030"/>
      <c r="E12" s="1030"/>
      <c r="F12" s="1030"/>
      <c r="G12" s="1030"/>
      <c r="H12" s="1030"/>
      <c r="I12" s="1030"/>
      <c r="J12" s="1030"/>
      <c r="K12" s="1030"/>
    </row>
    <row r="13" spans="1:11" x14ac:dyDescent="0.25">
      <c r="A13" s="1030"/>
      <c r="B13" s="1030"/>
      <c r="C13" s="1030"/>
      <c r="D13" s="1030"/>
      <c r="E13" s="1030"/>
      <c r="F13" s="1030"/>
      <c r="G13" s="1030"/>
      <c r="H13" s="1030"/>
      <c r="I13" s="1030"/>
      <c r="J13" s="1030"/>
      <c r="K13" s="1030"/>
    </row>
  </sheetData>
  <mergeCells count="3">
    <mergeCell ref="A3:K3"/>
    <mergeCell ref="D4:G4"/>
    <mergeCell ref="B6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Доходы</vt:lpstr>
      <vt:lpstr>Расходы старые</vt:lpstr>
      <vt:lpstr>расходы</vt:lpstr>
      <vt:lpstr>Лист2</vt:lpstr>
      <vt:lpstr>расходы минус</vt:lpstr>
      <vt:lpstr>источники</vt:lpstr>
      <vt:lpstr>Лист1</vt:lpstr>
      <vt:lpstr>расходы!Заголовки_для_печати</vt:lpstr>
      <vt:lpstr>'Расходы старые'!Заголовки_для_печати</vt:lpstr>
      <vt:lpstr>Доходы!Область_печати</vt:lpstr>
      <vt:lpstr>источники!Область_печати</vt:lpstr>
      <vt:lpstr>расходы!Область_печати</vt:lpstr>
    </vt:vector>
  </TitlesOfParts>
  <Company>2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Новикова</dc:creator>
  <cp:lastModifiedBy>Соколова</cp:lastModifiedBy>
  <cp:lastPrinted>2020-12-21T08:45:42Z</cp:lastPrinted>
  <dcterms:created xsi:type="dcterms:W3CDTF">2012-07-26T06:35:37Z</dcterms:created>
  <dcterms:modified xsi:type="dcterms:W3CDTF">2020-12-21T08:46:23Z</dcterms:modified>
</cp:coreProperties>
</file>