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Бюджет 2021\Проект решения МС ТМР о внесении изменений в бюджет -редакция 8 - декабрь 2021 года\"/>
    </mc:Choice>
  </mc:AlternateContent>
  <xr:revisionPtr revIDLastSave="0" documentId="13_ncr:1_{270A811E-EDC0-41DD-BBD7-7C1678C1E08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2" r:id="rId1"/>
    <sheet name="Расходы старые" sheetId="1" state="hidden" r:id="rId2"/>
    <sheet name="расходы" sheetId="3" r:id="rId3"/>
    <sheet name="источники" sheetId="4" r:id="rId4"/>
    <sheet name="Лист1" sheetId="5" state="hidden" r:id="rId5"/>
  </sheets>
  <definedNames>
    <definedName name="_xlnm._FilterDatabase" localSheetId="2" hidden="1">расходы!$A$4:$O$5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Доходы!$A$1:$G$131</definedName>
    <definedName name="_xlnm.Print_Area" localSheetId="3">источники!$A$1:$K$14</definedName>
    <definedName name="_xlnm.Print_Area" localSheetId="2">расходы!$B$1:$P$194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7" i="3" l="1"/>
  <c r="J174" i="3"/>
  <c r="H174" i="3"/>
  <c r="M178" i="3"/>
  <c r="M181" i="3"/>
  <c r="G174" i="3"/>
  <c r="M168" i="3"/>
  <c r="M160" i="3"/>
  <c r="M159" i="3"/>
  <c r="M144" i="3"/>
  <c r="M146" i="3"/>
  <c r="J137" i="3"/>
  <c r="M130" i="3"/>
  <c r="M126" i="3"/>
  <c r="J115" i="3"/>
  <c r="M94" i="3"/>
  <c r="J111" i="3"/>
  <c r="J96" i="3"/>
  <c r="H74" i="3"/>
  <c r="E74" i="3"/>
  <c r="E67" i="3"/>
  <c r="E59" i="3"/>
  <c r="E64" i="3"/>
  <c r="E73" i="3"/>
  <c r="G68" i="3"/>
  <c r="G69" i="3"/>
  <c r="G70" i="3"/>
  <c r="M57" i="3"/>
  <c r="J50" i="3"/>
  <c r="G35" i="3"/>
  <c r="G31" i="3"/>
  <c r="G32" i="3"/>
  <c r="M21" i="3"/>
  <c r="G21" i="3"/>
  <c r="I174" i="3" l="1"/>
  <c r="D26" i="2" l="1"/>
  <c r="D39" i="2" l="1"/>
  <c r="D43" i="2"/>
  <c r="D42" i="2"/>
  <c r="F34" i="3"/>
  <c r="F32" i="3"/>
  <c r="F43" i="3"/>
  <c r="F31" i="3"/>
  <c r="F21" i="3" l="1"/>
  <c r="F74" i="3"/>
  <c r="F67" i="3"/>
  <c r="F59" i="3" l="1"/>
  <c r="F66" i="3"/>
  <c r="F73" i="3"/>
  <c r="F64" i="3"/>
  <c r="F174" i="3"/>
  <c r="I179" i="3"/>
  <c r="D73" i="2" l="1"/>
  <c r="L181" i="3" l="1"/>
  <c r="L176" i="3"/>
  <c r="M176" i="3"/>
  <c r="I49" i="3"/>
  <c r="L161" i="3" l="1"/>
  <c r="E24" i="2" l="1"/>
  <c r="F24" i="2"/>
  <c r="E35" i="2"/>
  <c r="F35" i="2"/>
  <c r="F73" i="2"/>
  <c r="E73" i="2"/>
  <c r="O156" i="3" l="1"/>
  <c r="N156" i="3"/>
  <c r="L129" i="3" l="1"/>
  <c r="F173" i="3"/>
  <c r="G188" i="3"/>
  <c r="M183" i="3"/>
  <c r="M186" i="3"/>
  <c r="M185" i="3"/>
  <c r="M184" i="3"/>
  <c r="M167" i="3"/>
  <c r="M165" i="3"/>
  <c r="M161" i="3"/>
  <c r="M162" i="3"/>
  <c r="M157" i="3"/>
  <c r="J160" i="3"/>
  <c r="J158" i="3"/>
  <c r="K145" i="3"/>
  <c r="L145" i="3"/>
  <c r="K144" i="3"/>
  <c r="L144" i="3"/>
  <c r="I187" i="3" l="1"/>
  <c r="J187" i="3" s="1"/>
  <c r="I74" i="3"/>
  <c r="I57" i="3"/>
  <c r="I137" i="3"/>
  <c r="I136" i="3"/>
  <c r="I93" i="3" l="1"/>
  <c r="D62" i="2" l="1"/>
  <c r="D35" i="2" s="1"/>
  <c r="J120" i="3" l="1"/>
  <c r="J180" i="3"/>
  <c r="H57" i="3"/>
  <c r="J184" i="3"/>
  <c r="H93" i="3"/>
  <c r="I91" i="3"/>
  <c r="H91" i="3"/>
  <c r="M128" i="3" l="1"/>
  <c r="M145" i="3"/>
  <c r="J136" i="3"/>
  <c r="J117" i="3"/>
  <c r="J21" i="3"/>
  <c r="H10" i="3"/>
  <c r="J10" i="3" s="1"/>
  <c r="J182" i="3"/>
  <c r="J183" i="3"/>
  <c r="M177" i="3"/>
  <c r="M19" i="3"/>
  <c r="M14" i="3"/>
  <c r="M166" i="3"/>
  <c r="M129" i="3"/>
  <c r="J91" i="3" l="1"/>
  <c r="J93" i="3" l="1"/>
  <c r="D8" i="2" l="1"/>
  <c r="J57" i="3" l="1"/>
  <c r="G34" i="3"/>
  <c r="G9" i="3"/>
  <c r="I92" i="3" l="1"/>
  <c r="L92" i="3"/>
  <c r="M148" i="3"/>
  <c r="L156" i="3"/>
  <c r="O164" i="3"/>
  <c r="N164" i="3"/>
  <c r="L164" i="3"/>
  <c r="I164" i="3"/>
  <c r="F164" i="3"/>
  <c r="B6" i="4" l="1"/>
  <c r="J176" i="3" l="1"/>
  <c r="F92" i="3" l="1"/>
  <c r="J112" i="3" l="1"/>
  <c r="J20" i="3"/>
  <c r="E26" i="2" l="1"/>
  <c r="F26" i="2"/>
  <c r="O127" i="3" l="1"/>
  <c r="J75" i="3"/>
  <c r="I18" i="3"/>
  <c r="L18" i="3"/>
  <c r="G73" i="3"/>
  <c r="G74" i="3"/>
  <c r="G71" i="3"/>
  <c r="G66" i="3"/>
  <c r="G65" i="3"/>
  <c r="G64" i="3"/>
  <c r="G63" i="3"/>
  <c r="G62" i="3"/>
  <c r="G61" i="3"/>
  <c r="G60" i="3"/>
  <c r="G59" i="3"/>
  <c r="G58" i="3"/>
  <c r="O56" i="3"/>
  <c r="N56" i="3"/>
  <c r="L56" i="3"/>
  <c r="I56" i="3"/>
  <c r="F56" i="3"/>
  <c r="O48" i="3"/>
  <c r="N48" i="3"/>
  <c r="L48" i="3"/>
  <c r="I48" i="3"/>
  <c r="F48" i="3"/>
  <c r="O45" i="3"/>
  <c r="N45" i="3"/>
  <c r="L45" i="3"/>
  <c r="I45" i="3"/>
  <c r="F45" i="3"/>
  <c r="G43" i="3"/>
  <c r="I30" i="3"/>
  <c r="J32" i="3"/>
  <c r="O30" i="3"/>
  <c r="N30" i="3"/>
  <c r="L30" i="3"/>
  <c r="F30" i="3"/>
  <c r="O26" i="3"/>
  <c r="N26" i="3"/>
  <c r="L26" i="3"/>
  <c r="I26" i="3"/>
  <c r="F26" i="3"/>
  <c r="J22" i="3"/>
  <c r="O18" i="3"/>
  <c r="N18" i="3"/>
  <c r="F18" i="3"/>
  <c r="O29" i="3" l="1"/>
  <c r="G67" i="3"/>
  <c r="F29" i="3"/>
  <c r="I173" i="3"/>
  <c r="L29" i="3"/>
  <c r="N29" i="3"/>
  <c r="I29" i="3"/>
  <c r="O173" i="3" l="1"/>
  <c r="N173" i="3"/>
  <c r="O143" i="3"/>
  <c r="N143" i="3"/>
  <c r="L143" i="3"/>
  <c r="I143" i="3"/>
  <c r="F143" i="3"/>
  <c r="O153" i="3"/>
  <c r="N153" i="3"/>
  <c r="I156" i="3"/>
  <c r="F156" i="3"/>
  <c r="O169" i="3"/>
  <c r="N169" i="3"/>
  <c r="L169" i="3"/>
  <c r="I169" i="3"/>
  <c r="F169" i="3"/>
  <c r="O133" i="3"/>
  <c r="N133" i="3"/>
  <c r="O131" i="3"/>
  <c r="N131" i="3"/>
  <c r="N127" i="3"/>
  <c r="L127" i="3"/>
  <c r="I127" i="3"/>
  <c r="F127" i="3"/>
  <c r="I122" i="3"/>
  <c r="O122" i="3"/>
  <c r="N122" i="3"/>
  <c r="L122" i="3"/>
  <c r="F122" i="3"/>
  <c r="J108" i="3"/>
  <c r="O107" i="3"/>
  <c r="N107" i="3"/>
  <c r="L107" i="3"/>
  <c r="I107" i="3"/>
  <c r="F107" i="3"/>
  <c r="O92" i="3"/>
  <c r="N92" i="3"/>
  <c r="O90" i="3"/>
  <c r="N90" i="3"/>
  <c r="L90" i="3"/>
  <c r="I90" i="3"/>
  <c r="F90" i="3"/>
  <c r="E8" i="2" l="1"/>
  <c r="F8" i="2"/>
  <c r="E14" i="2"/>
  <c r="F14" i="2"/>
  <c r="F6" i="2" l="1"/>
  <c r="E6" i="2"/>
  <c r="D72" i="2" l="1"/>
  <c r="O189" i="3" l="1"/>
  <c r="N189" i="3"/>
  <c r="L189" i="3"/>
  <c r="I189" i="3"/>
  <c r="E72" i="2"/>
  <c r="E23" i="2" s="1"/>
  <c r="E22" i="2" s="1"/>
  <c r="E131" i="2" s="1"/>
  <c r="F72" i="2"/>
  <c r="F23" i="2" s="1"/>
  <c r="F22" i="2" s="1"/>
  <c r="F131" i="2" s="1"/>
  <c r="L105" i="3" l="1"/>
  <c r="I105" i="3"/>
  <c r="F105" i="3"/>
  <c r="L133" i="3"/>
  <c r="I133" i="3"/>
  <c r="F133" i="3"/>
  <c r="L131" i="3"/>
  <c r="I131" i="3"/>
  <c r="F131" i="3"/>
  <c r="L153" i="3" l="1"/>
  <c r="I153" i="3"/>
  <c r="F153" i="3"/>
  <c r="J77" i="3" l="1"/>
  <c r="J179" i="3"/>
  <c r="I102" i="3" l="1"/>
  <c r="J104" i="3"/>
  <c r="O150" i="3"/>
  <c r="N150" i="3"/>
  <c r="L150" i="3"/>
  <c r="I150" i="3"/>
  <c r="F150" i="3"/>
  <c r="O147" i="3"/>
  <c r="N147" i="3"/>
  <c r="L147" i="3"/>
  <c r="I147" i="3"/>
  <c r="F147" i="3"/>
  <c r="O141" i="3"/>
  <c r="N141" i="3"/>
  <c r="L141" i="3"/>
  <c r="I141" i="3"/>
  <c r="F141" i="3"/>
  <c r="O138" i="3"/>
  <c r="N138" i="3"/>
  <c r="L138" i="3"/>
  <c r="I138" i="3"/>
  <c r="F138" i="3"/>
  <c r="O135" i="3"/>
  <c r="N135" i="3"/>
  <c r="L135" i="3"/>
  <c r="I135" i="3"/>
  <c r="F135" i="3"/>
  <c r="O125" i="3"/>
  <c r="O124" i="3" s="1"/>
  <c r="N125" i="3"/>
  <c r="N124" i="3" s="1"/>
  <c r="L125" i="3"/>
  <c r="L124" i="3" s="1"/>
  <c r="I125" i="3"/>
  <c r="I124" i="3" s="1"/>
  <c r="F125" i="3"/>
  <c r="F124" i="3" s="1"/>
  <c r="O119" i="3"/>
  <c r="N119" i="3"/>
  <c r="L119" i="3"/>
  <c r="I119" i="3"/>
  <c r="F119" i="3"/>
  <c r="O116" i="3"/>
  <c r="N116" i="3"/>
  <c r="L116" i="3"/>
  <c r="I116" i="3"/>
  <c r="F116" i="3"/>
  <c r="J114" i="3"/>
  <c r="O113" i="3"/>
  <c r="N113" i="3"/>
  <c r="L113" i="3"/>
  <c r="I113" i="3"/>
  <c r="F113" i="3"/>
  <c r="O110" i="3"/>
  <c r="N110" i="3"/>
  <c r="L110" i="3"/>
  <c r="I110" i="3"/>
  <c r="F110" i="3"/>
  <c r="J103" i="3"/>
  <c r="O102" i="3"/>
  <c r="N102" i="3"/>
  <c r="L102" i="3"/>
  <c r="F102" i="3"/>
  <c r="O100" i="3"/>
  <c r="N100" i="3"/>
  <c r="L100" i="3"/>
  <c r="I100" i="3"/>
  <c r="F100" i="3"/>
  <c r="O98" i="3"/>
  <c r="N98" i="3"/>
  <c r="L98" i="3"/>
  <c r="I98" i="3"/>
  <c r="F98" i="3"/>
  <c r="O95" i="3"/>
  <c r="N95" i="3"/>
  <c r="L95" i="3"/>
  <c r="I95" i="3"/>
  <c r="F95" i="3"/>
  <c r="O88" i="3"/>
  <c r="N88" i="3"/>
  <c r="L88" i="3"/>
  <c r="I88" i="3"/>
  <c r="F88" i="3"/>
  <c r="J80" i="3"/>
  <c r="O79" i="3"/>
  <c r="N79" i="3"/>
  <c r="L79" i="3"/>
  <c r="I79" i="3"/>
  <c r="F79" i="3"/>
  <c r="O76" i="3"/>
  <c r="O55" i="3" s="1"/>
  <c r="N76" i="3"/>
  <c r="N55" i="3" s="1"/>
  <c r="L76" i="3"/>
  <c r="L55" i="3" s="1"/>
  <c r="I76" i="3"/>
  <c r="I55" i="3" s="1"/>
  <c r="F76" i="3"/>
  <c r="F55" i="3" s="1"/>
  <c r="O15" i="3"/>
  <c r="N15" i="3"/>
  <c r="L15" i="3"/>
  <c r="I15" i="3"/>
  <c r="F15" i="3"/>
  <c r="O13" i="3"/>
  <c r="N13" i="3"/>
  <c r="L13" i="3"/>
  <c r="I13" i="3"/>
  <c r="F13" i="3"/>
  <c r="O8" i="3"/>
  <c r="N8" i="3"/>
  <c r="L8" i="3"/>
  <c r="I8" i="3"/>
  <c r="F8" i="3"/>
  <c r="D14" i="2"/>
  <c r="L97" i="3" l="1"/>
  <c r="F97" i="3"/>
  <c r="I97" i="3"/>
  <c r="F87" i="3"/>
  <c r="O87" i="3"/>
  <c r="L87" i="3"/>
  <c r="N7" i="3"/>
  <c r="D6" i="2"/>
  <c r="O97" i="3"/>
  <c r="F7" i="3"/>
  <c r="L7" i="3"/>
  <c r="O7" i="3"/>
  <c r="N97" i="3"/>
  <c r="I87" i="3"/>
  <c r="N87" i="3"/>
  <c r="I7" i="3"/>
  <c r="I171" i="3" l="1"/>
  <c r="I192" i="3" s="1"/>
  <c r="L171" i="3"/>
  <c r="N171" i="3"/>
  <c r="O171" i="3"/>
  <c r="F171" i="3"/>
  <c r="F192" i="3" s="1"/>
  <c r="D24" i="2"/>
  <c r="D23" i="2" l="1"/>
  <c r="D22" i="2" s="1"/>
  <c r="D131" i="2" s="1"/>
  <c r="N172" i="3"/>
  <c r="N192" i="3"/>
  <c r="N194" i="3" s="1"/>
  <c r="O172" i="3"/>
  <c r="O192" i="3"/>
  <c r="O194" i="3" s="1"/>
  <c r="D172" i="3"/>
  <c r="H8" i="4" l="1"/>
  <c r="H9" i="4" l="1"/>
  <c r="H6" i="4" s="1"/>
  <c r="H23" i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L173" i="3"/>
  <c r="L192" i="3" s="1"/>
  <c r="E194" i="3" s="1"/>
  <c r="I6" i="4" s="1"/>
  <c r="J6" i="4" s="1"/>
  <c r="J7" i="4" s="1"/>
</calcChain>
</file>

<file path=xl/sharedStrings.xml><?xml version="1.0" encoding="utf-8"?>
<sst xmlns="http://schemas.openxmlformats.org/spreadsheetml/2006/main" count="1085" uniqueCount="545">
  <si>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</si>
  <si>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</si>
  <si>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</si>
  <si>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</si>
  <si>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</si>
  <si>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</si>
  <si>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</si>
  <si>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</si>
  <si>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</si>
  <si>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</si>
  <si>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</si>
  <si>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</si>
  <si>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</si>
  <si>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</si>
  <si>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</si>
  <si>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</si>
  <si>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</si>
  <si>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</si>
  <si>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</si>
  <si>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</si>
  <si>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</si>
  <si>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</si>
  <si>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</si>
  <si>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</si>
  <si>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</si>
  <si>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</si>
  <si>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</si>
  <si>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</si>
  <si>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</si>
  <si>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</si>
  <si>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</si>
  <si>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</si>
  <si>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</si>
  <si>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</si>
  <si>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</si>
  <si>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</si>
  <si>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</si>
  <si>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</si>
  <si>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</si>
  <si>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</si>
  <si>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</si>
  <si>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</si>
  <si>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</si>
  <si>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</si>
  <si>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</si>
  <si>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</si>
  <si>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</si>
  <si>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</si>
  <si>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</si>
  <si>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</si>
  <si>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</si>
  <si>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</si>
  <si>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</si>
  <si>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</si>
  <si>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</si>
  <si>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</si>
  <si>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</si>
  <si>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</si>
  <si>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</si>
  <si>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</si>
  <si>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</si>
  <si>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</si>
  <si>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</si>
  <si>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</si>
  <si>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</si>
  <si>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</si>
  <si>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</si>
  <si>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</si>
  <si>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</si>
  <si>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</si>
  <si>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</si>
  <si>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</si>
  <si>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</si>
  <si>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</si>
  <si>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</si>
  <si>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</si>
  <si>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</si>
  <si>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</si>
  <si>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</si>
  <si>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</si>
  <si>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</si>
  <si>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</si>
  <si>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</si>
  <si>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Основание </t>
  </si>
  <si>
    <t>Иные межбюджетные трансферты</t>
  </si>
  <si>
    <t>Межбюджетные трансферты на обеспечение культурно - досуговых мероприятий</t>
  </si>
  <si>
    <t>Межбюджетные трансферты на обеспечение мероприятий по формированию современной городской среды</t>
  </si>
  <si>
    <t>Межбюджетные трансферты на содержание и организацию деятельности дорожного хозяйства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</si>
  <si>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</si>
  <si>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</si>
  <si>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</si>
  <si>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</si>
  <si>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</si>
  <si>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</si>
  <si>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</si>
  <si>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</si>
  <si>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№</t>
  </si>
  <si>
    <t xml:space="preserve">Наименование </t>
  </si>
  <si>
    <t>Средства вышестоящих бюджетов</t>
  </si>
  <si>
    <t>Средства бюджета поселения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</si>
  <si>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</si>
  <si>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</si>
  <si>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</si>
  <si>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</si>
  <si>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</si>
  <si>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</si>
  <si>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</si>
  <si>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</si>
  <si>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</si>
  <si>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</si>
  <si>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</si>
  <si>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</si>
  <si>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</si>
  <si>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</si>
  <si>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</si>
  <si>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</si>
  <si>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</si>
  <si>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</si>
  <si>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</si>
  <si>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</si>
  <si>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</si>
  <si>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</si>
  <si>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</si>
  <si>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</si>
  <si>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</si>
  <si>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</si>
  <si>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</si>
  <si>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</si>
  <si>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</si>
  <si>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</si>
  <si>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</si>
  <si>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</si>
  <si>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</si>
  <si>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</si>
  <si>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</si>
  <si>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</si>
  <si>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</si>
  <si>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</si>
  <si>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</si>
  <si>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</si>
  <si>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</si>
  <si>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</si>
  <si>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</si>
  <si>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</si>
  <si>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</si>
  <si>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</si>
  <si>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</si>
  <si>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</si>
  <si>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1.5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</si>
  <si>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</si>
  <si>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</si>
  <si>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</si>
  <si>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</si>
  <si>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</si>
  <si>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</si>
  <si>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</si>
  <si>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</si>
  <si>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</si>
  <si>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</si>
  <si>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</si>
  <si>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</si>
  <si>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</si>
  <si>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</si>
  <si>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</si>
  <si>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</si>
  <si>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</si>
  <si>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</si>
  <si>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</si>
  <si>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</si>
  <si>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</si>
  <si>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</si>
  <si>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</si>
  <si>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</si>
  <si>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</si>
  <si>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</si>
  <si>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</si>
  <si>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</si>
  <si>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</si>
  <si>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</si>
  <si>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</si>
  <si>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</si>
  <si>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</si>
  <si>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X</t>
  </si>
  <si>
    <t>Расходы на содержание ребенка в семье опекунов</t>
  </si>
  <si>
    <t>На определение поставщиков (подрядчиков, исполнителей) в сельских поселениях</t>
  </si>
  <si>
    <t>проведение оценки условий труда</t>
  </si>
  <si>
    <t>Мероприятия в сфере культуры</t>
  </si>
  <si>
    <t>Средства района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</si>
  <si>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</si>
  <si>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</si>
  <si>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</si>
  <si>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</si>
  <si>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</si>
  <si>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</si>
  <si>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</si>
  <si>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</si>
  <si>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</si>
  <si>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Примечание</t>
  </si>
  <si>
    <t>Обучение муниципальных служащих</t>
  </si>
  <si>
    <t>Антитеррористические мероприятия (библиотека)</t>
  </si>
  <si>
    <t>Ремонт молодежного центра Галактика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</si>
  <si>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</si>
  <si>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</si>
  <si>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</si>
  <si>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</si>
  <si>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 xml:space="preserve">Безвозмездные поступления </t>
  </si>
  <si>
    <t>Содержание департамента</t>
  </si>
  <si>
    <t>Содержание органов местного самоуправления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</si>
  <si>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</si>
  <si>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</si>
  <si>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</si>
  <si>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</si>
  <si>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</si>
  <si>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</si>
  <si>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</si>
  <si>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Оздоровительная компания</t>
  </si>
  <si>
    <t>Содержание МЦ Галактика</t>
  </si>
  <si>
    <t>Содержание учреждений общего образования</t>
  </si>
  <si>
    <t>Расходы на оборудование социально значимых объектов с целью обеспечения доступности для инвалидов</t>
  </si>
  <si>
    <t>Установка камер видеонаблюдения на территории Города</t>
  </si>
  <si>
    <t>Проведение гас. экспертизы</t>
  </si>
  <si>
    <t>Субсидирование  на частичное возмещение расходов по теплоснабжению населения и соц.сферы</t>
  </si>
  <si>
    <t xml:space="preserve">Мероприятия по благоустройству (обеспечение деятельности) </t>
  </si>
  <si>
    <t>Доходы от продажи земельных участков</t>
  </si>
  <si>
    <t>Доходы от продажи муниципального имущества</t>
  </si>
  <si>
    <t xml:space="preserve">Штрафы, санкции, возмещение ущерба </t>
  </si>
  <si>
    <t>Субвенция на предоставление гражданам субсидий на оплату жилого помещения и коммунальных услуг</t>
  </si>
  <si>
    <t>Профилактика правонарушений</t>
  </si>
  <si>
    <t>Выплаты по обязательствам муниципального образования</t>
  </si>
  <si>
    <t>АТМР, ДФ, ДИ</t>
  </si>
  <si>
    <t>Содержание учреждений доп. Образования</t>
  </si>
  <si>
    <t>Ежемесячная выплата в связи с рождением 3 ребенка</t>
  </si>
  <si>
    <t>Расходы на содержание муниципального казенного учреждения соц. обслуживания населения</t>
  </si>
  <si>
    <t>Субсидия на оплату жилищно-коммунальных услуг гражданам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</si>
  <si>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</si>
  <si>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</si>
  <si>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</si>
  <si>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Компенсация отдельным категориям граждан на оплату взноса на кап. ремонт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</si>
  <si>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</si>
  <si>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</si>
  <si>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Соц. помощь отдельным категориям</t>
  </si>
  <si>
    <t>Расходы на обеспечение  деятельности  органов местного самоуправления в сфере соц. защиты</t>
  </si>
  <si>
    <t>Межбюджетные трансферты на обеспечение физкультурно-спортивных мероприятий</t>
  </si>
  <si>
    <t xml:space="preserve">Инициативное бюджетирование </t>
  </si>
  <si>
    <t>ЕДВ Почетным донорам</t>
  </si>
  <si>
    <t>ДТ</t>
  </si>
  <si>
    <t>Субвенции бюджетам муниципальных районов на государственную регистрацию актов гражданского состояния</t>
  </si>
  <si>
    <t xml:space="preserve">Мероприятия на благоустройство, реставрацию и реконструкцию памятников </t>
  </si>
  <si>
    <t>Содержание дошкольных учреждений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</si>
  <si>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</si>
  <si>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</si>
  <si>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</si>
  <si>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</si>
  <si>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</si>
  <si>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Муниципальная целевая программа "Стимулирование инвестиционной деятельности в Тутаевском муниципальном  районе "</t>
  </si>
  <si>
    <t>2022 год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</si>
  <si>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</si>
  <si>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Межбюджетные трансферты на реализацию регионального проекта «Формирование современной городской среды»</t>
  </si>
  <si>
    <t xml:space="preserve">компенсация отдельным категориям граждан оплаты взноса на капитальный ремонт общего имущества в многоквартирном доме 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</si>
  <si>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</si>
  <si>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Проведение инженерных коммуникаций  к инвестиционным площадкам(соф)</t>
  </si>
  <si>
    <t>Обустройство спортивной площадки у СШ №3</t>
  </si>
  <si>
    <t>Строительство ледовой арены</t>
  </si>
  <si>
    <t>Мероприятия в области спорта</t>
  </si>
  <si>
    <t xml:space="preserve"> ДФ</t>
  </si>
  <si>
    <t>99.9.00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</si>
  <si>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</si>
  <si>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Установка освещения на детской площадке  ОПХ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</si>
  <si>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</si>
  <si>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Межбюджетные трансферты на обеспечение мероприятий по уличному освещению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</si>
  <si>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</si>
  <si>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</si>
  <si>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</si>
  <si>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Условно утвержденные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</si>
  <si>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24.12.2020 №95-г "О бюджете Тутаевского муниципального района на 2021 год и на плановый период 2022 - 2023 годов"</t>
  </si>
  <si>
    <t xml:space="preserve">1. Изменения доходов бюджета Тутаевского муниципального района </t>
  </si>
  <si>
    <t>2023 год</t>
  </si>
  <si>
    <t>954 202 35084 05 0000 150</t>
  </si>
  <si>
    <t>954 202 35302 05 0000 150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</si>
  <si>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</si>
  <si>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</si>
  <si>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Межбюджетные трансферты на поддержку инициатив органов ученического самоуправления общеобразовательных организаций</t>
  </si>
  <si>
    <t>953 202 49999 05 4008 150</t>
  </si>
  <si>
    <t>950 202 40014 05 2693 150</t>
  </si>
  <si>
    <t>950 202 40014 05 2244 150</t>
  </si>
  <si>
    <t>950 202 40014 05 2393 150</t>
  </si>
  <si>
    <t>955 202 40014 05 2901 150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</si>
  <si>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</si>
  <si>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</si>
  <si>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952 202 40014 05 2902 150</t>
  </si>
  <si>
    <t>950 202 40014 05 2908 150</t>
  </si>
  <si>
    <t>Межбюджетные трансферты на обеспечение мероприятий по осуществлению грузопассажирских  перевозок на речном транспорте</t>
  </si>
  <si>
    <t>950 202 40014 05 2916 150</t>
  </si>
  <si>
    <t>956 202 40014 05 2921 150</t>
  </si>
  <si>
    <t>953 202 40014 05 2922 150</t>
  </si>
  <si>
    <t>950 202 40014 05 2923 150</t>
  </si>
  <si>
    <t>950 202 40014 05 2925 150</t>
  </si>
  <si>
    <t>950 202 40014 05 2926 150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</si>
  <si>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</si>
  <si>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952 202 40014 05 2927 150</t>
  </si>
  <si>
    <t>Межбюджетные трансферты на обеспечение мероприятий по содержанию мест захоронения</t>
  </si>
  <si>
    <t>950 202 40014 05 2931 150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</si>
  <si>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</si>
  <si>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950 202 40014 05 2937 150</t>
  </si>
  <si>
    <t>Межбюджетные трансферты на обеспечение мероприятий по начислению и сбору платы за найм муниципального жилищного фонда</t>
  </si>
  <si>
    <t>952 202 40014 05 2943 150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</si>
  <si>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</si>
  <si>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952 202 40014 05 2944 150</t>
  </si>
  <si>
    <t>950 202 40014 05 2945 150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</si>
  <si>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</si>
  <si>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</si>
  <si>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950 202 40014 05 2956 150</t>
  </si>
  <si>
    <t>Межбюджетные трансферты на обеспечение мероприятий  по переработке и утилизации ливневых стоков</t>
  </si>
  <si>
    <t>950 202 40014 05 2961 150</t>
  </si>
  <si>
    <t>Межбюджетные трансферты на обеспечение мероприятий по содержанию военно-мемориального комплекса пл.Юности</t>
  </si>
  <si>
    <t>956 202 40014 05 2968 150</t>
  </si>
  <si>
    <t>950 202 40014 05 2969 150</t>
  </si>
  <si>
    <t>Межбюджетные трансферты на дополнительное пенсионное обеспечение муниципальных служащих городского поселения Тутаев</t>
  </si>
  <si>
    <t>954 202 40014 05 2975 150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</si>
  <si>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</si>
  <si>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950 202 40014 05 2980 150</t>
  </si>
  <si>
    <t>950 202 40014 05 5555 150</t>
  </si>
  <si>
    <t>950 202 40014 05 2909 150</t>
  </si>
  <si>
    <t>950 202 40014 05 2917 150</t>
  </si>
  <si>
    <t>950 202 40014 05 2924 150</t>
  </si>
  <si>
    <t>956 202 40014 05 2948 150</t>
  </si>
  <si>
    <t>950 202 40014 05 2951 150</t>
  </si>
  <si>
    <t>950 202 40014 05 2953 150</t>
  </si>
  <si>
    <t>950 202 40014 05 2976 150</t>
  </si>
  <si>
    <t>950 202 40014 05 2985 150</t>
  </si>
  <si>
    <t>950 202 40014 05 5424 150</t>
  </si>
  <si>
    <t>950 202 40014 05 7244 150</t>
  </si>
  <si>
    <t>950 202 40014 05 7393 150</t>
  </si>
  <si>
    <t>950 202 40014 05 7693 150</t>
  </si>
  <si>
    <t>950 202 40014 05 7726 150</t>
  </si>
  <si>
    <t>950 202 40014 05 2952 150</t>
  </si>
  <si>
    <t xml:space="preserve">950 202 40014 05 2939 150 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</si>
  <si>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</si>
  <si>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</si>
  <si>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</si>
  <si>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обеспечение деятельности народных дружин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</si>
  <si>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</si>
  <si>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мероприятий по актуализации схем коммунальной инфраструктуры</t>
  </si>
  <si>
    <t>Межбюджетные трансферты на обеспечение мероприятий по безопасности жителей города</t>
  </si>
  <si>
    <t xml:space="preserve">Межбюджетные трансферты на реализацию проекта по  формированию современной городской среды в малых городах и исторических поселениях 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</si>
  <si>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</si>
  <si>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 xml:space="preserve">Межбюджетные трансферты на мероприятия в области  дорожного хозяйства 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</si>
  <si>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</si>
  <si>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Расходы на 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</si>
  <si>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</si>
  <si>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Межбюджетные трансферты на обеспечение мероприятий по организации населению услуг торговли</t>
  </si>
  <si>
    <t>950 202 40014 05 2535 150</t>
  </si>
  <si>
    <t>950 202 40014 05 2726 150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</si>
  <si>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</si>
  <si>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</si>
  <si>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950 202 40014 05 2904 150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</si>
  <si>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</si>
  <si>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1</t>
  </si>
  <si>
    <t>01</t>
  </si>
  <si>
    <t>04</t>
  </si>
  <si>
    <t>05</t>
  </si>
  <si>
    <t>09</t>
  </si>
  <si>
    <t>10</t>
  </si>
  <si>
    <t>Мероприятия по  благоустройство пл. Юбилейная</t>
  </si>
  <si>
    <t>Повышение уровня благоустройства дворовых и общественных  территорий (бл-во)</t>
  </si>
  <si>
    <t>Повышение уровня благоустройства дворовых территорий (ДФ)</t>
  </si>
  <si>
    <t>Реализация проекта создания комфортной городской среды в малых и исторических поселениях</t>
  </si>
  <si>
    <t>25</t>
  </si>
  <si>
    <t>26</t>
  </si>
  <si>
    <t>Ремонт и содержание дорог</t>
  </si>
  <si>
    <t>Содержание и ремонт общедомового имущества</t>
  </si>
  <si>
    <t>27</t>
  </si>
  <si>
    <t>Содержание и ремонт муниципальных квартир</t>
  </si>
  <si>
    <t>6</t>
  </si>
  <si>
    <t>7</t>
  </si>
  <si>
    <t>8</t>
  </si>
  <si>
    <t>16</t>
  </si>
  <si>
    <t>18</t>
  </si>
  <si>
    <t>№ п/п</t>
  </si>
  <si>
    <t xml:space="preserve">ИТОГО межбюджетные  расходы 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</si>
  <si>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</si>
  <si>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952 202 40014 05 2955 150</t>
  </si>
  <si>
    <t>Стимулирование работников в рамках проектной деятельности</t>
  </si>
  <si>
    <t>АТМР, ДМИ, ДФ</t>
  </si>
  <si>
    <t>Перевозка жителей нуждающихся в гемодиализе</t>
  </si>
  <si>
    <t>ФП "Успех каждого ребенка"</t>
  </si>
  <si>
    <t>Доплата к пенсии муниципальным служащим</t>
  </si>
  <si>
    <t>ЕДК при возникновении поствакцинальных осложнений</t>
  </si>
  <si>
    <t>Уведомления из областного бюджета</t>
  </si>
  <si>
    <t>3. Изменения  источников дефицита  бюджета  Тутаевского муниципального района на 2021 год и плановый период 2022-2023 годов</t>
  </si>
  <si>
    <t>954 202 35220 05 0000 150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</si>
  <si>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</si>
  <si>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</si>
  <si>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954 202 30024 05 3023 150</t>
  </si>
  <si>
    <t>954 202 30024 05 3042 150</t>
  </si>
  <si>
    <t>Субвенция на осуществление ежемесячной денежной выплаты на ребенка в возрасте от 3 до7 летвключительно в части расходов по доставке выплат получателям</t>
  </si>
  <si>
    <t>Межбюджетные трансферты на реализацию мероприятий инициативного бюджетирования на территории Ярославской области</t>
  </si>
  <si>
    <t>950 202 40014 05 7535 150</t>
  </si>
  <si>
    <t xml:space="preserve">Мероприятия по внешнему благоустройство </t>
  </si>
  <si>
    <t xml:space="preserve">Мероприятия по ДФ  (обеспечение деятельности) </t>
  </si>
  <si>
    <t xml:space="preserve">Обучение муниципальных  служащих </t>
  </si>
  <si>
    <t>Содержание муниципального имущества</t>
  </si>
  <si>
    <t>Компьютерное оборудование</t>
  </si>
  <si>
    <t>Обслуживание муниципального долга</t>
  </si>
  <si>
    <t>ДФ</t>
  </si>
  <si>
    <t>Дефицит        бюджета 5 редакция</t>
  </si>
  <si>
    <t>Дефицит                    бюджета 6 редакция</t>
  </si>
  <si>
    <t>950 207 05030 05 0000 150</t>
  </si>
  <si>
    <t>Прочие безвозмездные поступления в бюджеты муниципальных районов</t>
  </si>
  <si>
    <t>Безвозмездные поступления из других бюджетов бюджетной системы</t>
  </si>
  <si>
    <t>Замена газового оборудования в мун.жилфонде</t>
  </si>
  <si>
    <t>28</t>
  </si>
  <si>
    <t xml:space="preserve">Муниципальная программа «Комплексное развитие сельских территорий Тутаевского муниципального района»  </t>
  </si>
  <si>
    <t>Строительство колодцев на селе (сп Левобережное)</t>
  </si>
  <si>
    <t>Обеспечение мероприятий по БДД (нанесение дор.разметки)</t>
  </si>
  <si>
    <t xml:space="preserve">Субсидирование автомобильных пассажирских перевозок </t>
  </si>
  <si>
    <t xml:space="preserve">Трудоустройство несовершеннолетних граждан </t>
  </si>
  <si>
    <t>Налог на доходы физических лиц</t>
  </si>
  <si>
    <t>по ожидаемому поступлению</t>
  </si>
  <si>
    <t>182 101 02000 01 0000 110</t>
  </si>
  <si>
    <t>Дотация на реализацию мероприятий, предусмотренных нормативными правовыми актами органов госуждарственной власти</t>
  </si>
  <si>
    <t>954 2 02 30022 05 0000 150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</si>
  <si>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</si>
  <si>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950 2 02 40014 05 7326 150</t>
  </si>
  <si>
    <t>Межбюджетные трансферты на реализацию мероприятий, предусмотренных НПА ЯО</t>
  </si>
  <si>
    <t xml:space="preserve">Расходы по строительству межпоселковых газопроводов п. Мишаки, Кузилово, Емишево на тер. Артемьевского сп </t>
  </si>
  <si>
    <t>Коммунальные услуги Православной школе</t>
  </si>
  <si>
    <t>Схемы теплоснабжения</t>
  </si>
  <si>
    <t>02</t>
  </si>
  <si>
    <t>03</t>
  </si>
  <si>
    <t>границы сельских поселений</t>
  </si>
  <si>
    <t>Субсидия на подготовку к зиме</t>
  </si>
  <si>
    <t>Оценка имущества</t>
  </si>
  <si>
    <t>АТМР, ДМИ,</t>
  </si>
  <si>
    <t>Прочие доходы от оказания платных услуг (работ) получателями средств бюджетов муниципальных районов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</si>
  <si>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</si>
  <si>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>953 1 13 01995 05 0000 130</t>
  </si>
  <si>
    <t>Расходы на повышение антитеррористической защищенности объектов образования</t>
  </si>
  <si>
    <t xml:space="preserve">Обеспечение деятельности учреждений по организации досуга в сфере культуры </t>
  </si>
  <si>
    <t>%</t>
  </si>
  <si>
    <t xml:space="preserve">  2. Изменения  расходов  бюджета Тутаевского муниципального района на 2021 год и плановый период 2022-2023гг (редакция 8 декабрь 2021)</t>
  </si>
  <si>
    <t>Резервный фонд</t>
  </si>
  <si>
    <t>Муниципальные гарантии</t>
  </si>
  <si>
    <t xml:space="preserve">строительство стадиона МОУ СОШ 7 </t>
  </si>
  <si>
    <t>Налог, взимаемый в связи с применением патентной системы налогообложения</t>
  </si>
  <si>
    <t>182 105 04000 02 0000 110</t>
  </si>
  <si>
    <t>Плата за негативное воздействие на окружающую среду</t>
  </si>
  <si>
    <t>Арендная плата за землю</t>
  </si>
  <si>
    <t>Доходы от сдачу в аренду имущества</t>
  </si>
  <si>
    <t>952 111 05000 05(13) 0000 120</t>
  </si>
  <si>
    <t xml:space="preserve">952 111 05000 05 0000 120 </t>
  </si>
  <si>
    <t>952 114 06000 05(13) 0000 430</t>
  </si>
  <si>
    <t>952 114 02053 05 0000 410</t>
  </si>
  <si>
    <t>048 112 01000 01 0000 120</t>
  </si>
  <si>
    <t>Субсидия на повышение оплаты труда работников муниципальных учреждений в сфере культуры</t>
  </si>
  <si>
    <t>956 2 02 29999 05 2038 150</t>
  </si>
  <si>
    <t>Субсидия на комплектование книжных фондов государственных и муниципальных библиотек за счет средств резервного фонда Правительства РФ</t>
  </si>
  <si>
    <t xml:space="preserve">956 202 25519 05 0000 150 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</si>
  <si>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</si>
  <si>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954 2 02 30024 05 3005 150</t>
  </si>
  <si>
    <t>953 2 02 30024 05 3007 150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</si>
  <si>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</si>
  <si>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</si>
  <si>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</si>
  <si>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образовательного процесса в дошкольных образовательных организациях</t>
  </si>
  <si>
    <t>Субвенция на организацию образовательного процесса в общеобразовательных организациях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</si>
  <si>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</si>
  <si>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</si>
  <si>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Субвенция на денежные выплаты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</si>
  <si>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</si>
  <si>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953 202 30024 05 3009 150</t>
  </si>
  <si>
    <t>953 202 30024 05 3010 150</t>
  </si>
  <si>
    <t>953 202 30024 05 3013 150</t>
  </si>
  <si>
    <t>953 202 30024 05 3014 150</t>
  </si>
  <si>
    <t>953 202 30024 05 3015 150</t>
  </si>
  <si>
    <t>953 202 30024 05 3017 150</t>
  </si>
  <si>
    <t>954 202 30024 05 3019 150</t>
  </si>
  <si>
    <t>954 202 30024 05 3020 150</t>
  </si>
  <si>
    <t>954 202 30024 05 3022 150</t>
  </si>
  <si>
    <t>Субвенция на выплату ежемесячного пособия на ребенка</t>
  </si>
  <si>
    <t>953 202 30024 05 3033 150</t>
  </si>
  <si>
    <t>Субвенция на частичную оплату стоимости путевки в организации отдыха детей и их оздоровления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</si>
  <si>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</si>
  <si>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954 202 35380 05 000 150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</si>
  <si>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</si>
  <si>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954 202 35573 05 0000 150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</si>
  <si>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</si>
  <si>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950 202 35930 05 0000 150</t>
  </si>
  <si>
    <t>предложения главных администраторов доходов</t>
  </si>
  <si>
    <t>000 116 00000 00 0000 140</t>
  </si>
  <si>
    <t>Мероприятия по охране окружающей среды</t>
  </si>
  <si>
    <t>Программное обеспечение</t>
  </si>
  <si>
    <t>экономия при торгах</t>
  </si>
  <si>
    <t>работы по консервации не выполнены</t>
  </si>
  <si>
    <t>на оплату лизинговых платежей</t>
  </si>
  <si>
    <t>Обеспечение мероприятий по БДД (иск.неровности, светофоры )</t>
  </si>
  <si>
    <t>Реконструкция ул.Строителей</t>
  </si>
  <si>
    <t>ФП ремонт дорог "Агломерация"</t>
  </si>
  <si>
    <t>Обследование ЖФ</t>
  </si>
  <si>
    <t>Обслуживание лифтов в МКД</t>
  </si>
  <si>
    <t>Содержание сетей ливневой   канализации</t>
  </si>
  <si>
    <t>Субвенция на сод.и возврат животных без владельцев</t>
  </si>
  <si>
    <t>Мероприятия по охране окружающей среды (МБТ)</t>
  </si>
  <si>
    <t>955 202 19999 05 1004 150</t>
  </si>
  <si>
    <t>Постановление Правительства ЯО от 02.02.2021 №80-п (с изменениями)</t>
  </si>
  <si>
    <t>953 202 29999 05 2015 150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</si>
  <si>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</si>
  <si>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950 202 30024 05 3027 150</t>
  </si>
  <si>
    <t>954 202 30024 05 3029 150</t>
  </si>
  <si>
    <t>954 202 30024 05 3037 150</t>
  </si>
  <si>
    <t>954 202 35462 05 0000 150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</si>
  <si>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</si>
  <si>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</si>
  <si>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</si>
  <si>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</si>
  <si>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Приведение в нормативное состояние подъездов к социальным объектам</t>
  </si>
  <si>
    <t>950 202 40014 05 7735 150</t>
  </si>
  <si>
    <t>Межбюджетные трансферты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</si>
  <si>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954 202 20024 05 3004 150</t>
  </si>
  <si>
    <t>954 202 35137 05 0000 150</t>
  </si>
  <si>
    <t>954 202 35250 05 0000 150</t>
  </si>
  <si>
    <t>953 202 35260 05 0000 150</t>
  </si>
  <si>
    <t>954 202 35270 05 0000 150</t>
  </si>
  <si>
    <t>Субвенция на освобождение от оплаты стоимости  проезда детей из многодетных семей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</si>
  <si>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</si>
  <si>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</si>
  <si>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</si>
  <si>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</si>
  <si>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Содержание учреждений спорта</t>
  </si>
  <si>
    <t>Содержание подведомственных учреждений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</si>
  <si>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поселения</t>
  </si>
  <si>
    <t>Приобретение муниципального имущества</t>
  </si>
  <si>
    <t>Проезд детей из многодетных семей</t>
  </si>
  <si>
    <t>Книжные фонды</t>
  </si>
  <si>
    <t>Выплаты за классное руководство</t>
  </si>
  <si>
    <t>Расходы на питание детей</t>
  </si>
  <si>
    <t>Компенсация расходов за присмотр и уход за детьми, осваивающими образовательные программы дошкольного образования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</si>
  <si>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</si>
  <si>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953 202 29999 05 2049 150</t>
  </si>
  <si>
    <t>На ремонт учреждений культуры (Константиновский СКК)</t>
  </si>
  <si>
    <t>Ремонтно-восстановительные работы за счет резервного фонда</t>
  </si>
  <si>
    <t>Мероприятия по строительству объектов водоснабжения на селе</t>
  </si>
  <si>
    <t>Мероприятия по содержанию объектов водоснабжения и водоотведения гп Тутаев</t>
  </si>
  <si>
    <t>Муниципальная программа "Поддержка и развитие садоводческих, огороднических некоммерческих объединений граждан на территории   Тутаевского муниципального района"</t>
  </si>
  <si>
    <t>Дотация на реализацию мероприятий, предусмотренных нормативными правовыми актами органов государственной власти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</si>
</sst>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%"/>
    <numFmt numFmtId="166" formatCode="#,##0.00;[Red]#,##0.00"/>
    <numFmt numFmtId="167" formatCode="#,##0.00_ ;\-#,##0.00\ "/>
    <numFmt numFmtId="168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9" fillId="0" borderId="0"/>
    <xf numFmtId="0" fontId="11" fillId="0" borderId="0"/>
    <xf numFmtId="0" fontId="11" fillId="0" borderId="0"/>
  </cellStyleXfs>
  <cellXfs count="845">
    <xf numFmtId="0" fontId="0" fillId="0" borderId="0" xfId="0"/>
    <xf numFmtId="165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5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3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5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5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 applyAlignment="1"/>
    <xf numFmtId="0" fontId="1" fillId="0" borderId="15" xfId="0" applyFont="1" applyBorder="1" applyAlignment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 applyAlignment="1"/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 applyAlignment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5" fontId="3" fillId="0" borderId="1" xfId="0" applyNumberFormat="1" applyFont="1" applyBorder="1"/>
    <xf numFmtId="4" fontId="3" fillId="2" borderId="1" xfId="0" applyNumberFormat="1" applyFont="1" applyFill="1" applyBorder="1"/>
    <xf numFmtId="165" fontId="2" fillId="0" borderId="3" xfId="0" applyNumberFormat="1" applyFont="1" applyBorder="1"/>
    <xf numFmtId="165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5" fontId="6" fillId="0" borderId="1" xfId="0" applyNumberFormat="1" applyFont="1" applyBorder="1"/>
    <xf numFmtId="9" fontId="1" fillId="0" borderId="1" xfId="0" applyNumberFormat="1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6" borderId="1" xfId="0" applyFont="1" applyFill="1" applyBorder="1"/>
    <xf numFmtId="0" fontId="1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 wrapText="1"/>
    </xf>
    <xf numFmtId="0" fontId="1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6" fontId="3" fillId="0" borderId="1" xfId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7" xfId="4" applyNumberFormat="1" applyFont="1" applyFill="1" applyBorder="1" applyAlignment="1" applyProtection="1">
      <alignment wrapText="1"/>
      <protection hidden="1"/>
    </xf>
    <xf numFmtId="0" fontId="12" fillId="6" borderId="1" xfId="0" applyFont="1" applyFill="1" applyBorder="1"/>
    <xf numFmtId="167" fontId="13" fillId="2" borderId="1" xfId="1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12" fillId="7" borderId="1" xfId="0" applyFont="1" applyFill="1" applyBorder="1" applyAlignment="1">
      <alignment vertical="top" wrapText="1"/>
    </xf>
    <xf numFmtId="14" fontId="13" fillId="7" borderId="1" xfId="0" applyNumberFormat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8" fillId="7" borderId="1" xfId="0" applyFont="1" applyFill="1" applyBorder="1" applyAlignment="1">
      <alignment vertical="top" wrapText="1"/>
    </xf>
    <xf numFmtId="14" fontId="1" fillId="7" borderId="1" xfId="0" applyNumberFormat="1" applyFont="1" applyFill="1" applyBorder="1" applyAlignment="1">
      <alignment vertical="top" wrapText="1"/>
    </xf>
    <xf numFmtId="0" fontId="17" fillId="0" borderId="0" xfId="0" applyFont="1"/>
    <xf numFmtId="0" fontId="20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0" xfId="0" applyFo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top" wrapText="1"/>
    </xf>
    <xf numFmtId="4" fontId="18" fillId="7" borderId="1" xfId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22" fillId="2" borderId="1" xfId="0" applyFont="1" applyFill="1" applyBorder="1" applyAlignment="1">
      <alignment vertical="top" wrapText="1"/>
    </xf>
    <xf numFmtId="4" fontId="1" fillId="2" borderId="1" xfId="1" applyNumberFormat="1" applyFont="1" applyFill="1" applyBorder="1" applyAlignment="1">
      <alignment horizontal="center" vertical="center" wrapText="1"/>
    </xf>
    <xf numFmtId="166" fontId="18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vertical="top" wrapText="1"/>
    </xf>
    <xf numFmtId="0" fontId="24" fillId="7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4" fontId="18" fillId="2" borderId="1" xfId="1" applyNumberFormat="1" applyFont="1" applyFill="1" applyBorder="1" applyAlignment="1">
      <alignment horizontal="center" vertical="center" wrapText="1"/>
    </xf>
    <xf numFmtId="167" fontId="1" fillId="0" borderId="1" xfId="1" applyNumberFormat="1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6" fontId="18" fillId="2" borderId="1" xfId="1" applyNumberFormat="1" applyFont="1" applyFill="1" applyBorder="1" applyAlignment="1">
      <alignment vertical="top" wrapText="1"/>
    </xf>
    <xf numFmtId="3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6" fillId="0" borderId="4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49" fontId="2" fillId="6" borderId="7" xfId="0" applyNumberFormat="1" applyFont="1" applyFill="1" applyBorder="1" applyAlignment="1">
      <alignment horizontal="center"/>
    </xf>
    <xf numFmtId="49" fontId="2" fillId="6" borderId="18" xfId="0" applyNumberFormat="1" applyFont="1" applyFill="1" applyBorder="1" applyAlignment="1">
      <alignment horizontal="center"/>
    </xf>
    <xf numFmtId="0" fontId="2" fillId="6" borderId="57" xfId="0" applyFont="1" applyFill="1" applyBorder="1" applyAlignment="1">
      <alignment horizontal="center" wrapText="1"/>
    </xf>
    <xf numFmtId="49" fontId="2" fillId="6" borderId="39" xfId="0" applyNumberFormat="1" applyFont="1" applyFill="1" applyBorder="1" applyAlignment="1">
      <alignment horizontal="center" wrapText="1"/>
    </xf>
    <xf numFmtId="3" fontId="2" fillId="6" borderId="4" xfId="0" applyNumberFormat="1" applyFont="1" applyFill="1" applyBorder="1" applyAlignment="1">
      <alignment horizontal="center"/>
    </xf>
    <xf numFmtId="3" fontId="2" fillId="6" borderId="5" xfId="0" applyNumberFormat="1" applyFont="1" applyFill="1" applyBorder="1" applyAlignment="1">
      <alignment horizontal="center"/>
    </xf>
    <xf numFmtId="10" fontId="2" fillId="6" borderId="39" xfId="0" applyNumberFormat="1" applyFont="1" applyFill="1" applyBorder="1" applyAlignment="1">
      <alignment horizontal="center"/>
    </xf>
    <xf numFmtId="4" fontId="2" fillId="6" borderId="5" xfId="0" applyNumberFormat="1" applyFont="1" applyFill="1" applyBorder="1" applyAlignment="1">
      <alignment horizontal="center"/>
    </xf>
    <xf numFmtId="10" fontId="2" fillId="6" borderId="8" xfId="0" applyNumberFormat="1" applyFont="1" applyFill="1" applyBorder="1" applyAlignment="1">
      <alignment horizontal="center"/>
    </xf>
    <xf numFmtId="4" fontId="2" fillId="6" borderId="57" xfId="0" applyNumberFormat="1" applyFont="1" applyFill="1" applyBorder="1" applyAlignment="1">
      <alignment horizontal="right"/>
    </xf>
    <xf numFmtId="4" fontId="2" fillId="6" borderId="8" xfId="0" applyNumberFormat="1" applyFont="1" applyFill="1" applyBorder="1" applyAlignment="1">
      <alignment horizontal="right"/>
    </xf>
    <xf numFmtId="0" fontId="1" fillId="0" borderId="42" xfId="0" applyFont="1" applyBorder="1" applyAlignment="1">
      <alignment wrapText="1"/>
    </xf>
    <xf numFmtId="0" fontId="1" fillId="0" borderId="0" xfId="0" applyFont="1" applyAlignment="1"/>
    <xf numFmtId="2" fontId="2" fillId="10" borderId="59" xfId="0" applyNumberFormat="1" applyFont="1" applyFill="1" applyBorder="1" applyAlignment="1">
      <alignment horizontal="center"/>
    </xf>
    <xf numFmtId="2" fontId="2" fillId="10" borderId="19" xfId="0" applyNumberFormat="1" applyFont="1" applyFill="1" applyBorder="1" applyAlignment="1">
      <alignment horizontal="center"/>
    </xf>
    <xf numFmtId="2" fontId="18" fillId="10" borderId="55" xfId="0" applyNumberFormat="1" applyFont="1" applyFill="1" applyBorder="1" applyAlignment="1">
      <alignment horizontal="left" wrapText="1"/>
    </xf>
    <xf numFmtId="2" fontId="18" fillId="10" borderId="40" xfId="0" applyNumberFormat="1" applyFont="1" applyFill="1" applyBorder="1" applyAlignment="1">
      <alignment horizontal="center" wrapText="1"/>
    </xf>
    <xf numFmtId="2" fontId="18" fillId="10" borderId="19" xfId="0" applyNumberFormat="1" applyFont="1" applyFill="1" applyBorder="1" applyAlignment="1">
      <alignment horizontal="center"/>
    </xf>
    <xf numFmtId="4" fontId="18" fillId="10" borderId="3" xfId="0" applyNumberFormat="1" applyFont="1" applyFill="1" applyBorder="1" applyAlignment="1">
      <alignment horizontal="center"/>
    </xf>
    <xf numFmtId="2" fontId="18" fillId="10" borderId="40" xfId="0" applyNumberFormat="1" applyFont="1" applyFill="1" applyBorder="1" applyAlignment="1">
      <alignment horizontal="center"/>
    </xf>
    <xf numFmtId="2" fontId="18" fillId="10" borderId="13" xfId="0" applyNumberFormat="1" applyFont="1" applyFill="1" applyBorder="1" applyAlignment="1">
      <alignment horizontal="center"/>
    </xf>
    <xf numFmtId="2" fontId="18" fillId="10" borderId="55" xfId="0" applyNumberFormat="1" applyFont="1" applyFill="1" applyBorder="1" applyAlignment="1">
      <alignment horizontal="right"/>
    </xf>
    <xf numFmtId="2" fontId="18" fillId="10" borderId="13" xfId="0" applyNumberFormat="1" applyFont="1" applyFill="1" applyBorder="1" applyAlignment="1">
      <alignment horizontal="right"/>
    </xf>
    <xf numFmtId="2" fontId="2" fillId="10" borderId="42" xfId="0" applyNumberFormat="1" applyFont="1" applyFill="1" applyBorder="1" applyAlignment="1">
      <alignment wrapText="1"/>
    </xf>
    <xf numFmtId="2" fontId="2" fillId="10" borderId="0" xfId="0" applyNumberFormat="1" applyFont="1" applyFill="1" applyAlignment="1"/>
    <xf numFmtId="49" fontId="2" fillId="0" borderId="58" xfId="0" applyNumberFormat="1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0" fontId="1" fillId="0" borderId="42" xfId="0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center" wrapText="1"/>
    </xf>
    <xf numFmtId="4" fontId="1" fillId="0" borderId="25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4" fontId="1" fillId="0" borderId="42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49" fontId="2" fillId="0" borderId="25" xfId="0" applyNumberFormat="1" applyFont="1" applyBorder="1" applyAlignment="1">
      <alignment horizontal="center"/>
    </xf>
    <xf numFmtId="10" fontId="1" fillId="0" borderId="27" xfId="0" applyNumberFormat="1" applyFont="1" applyBorder="1" applyAlignment="1">
      <alignment horizontal="center"/>
    </xf>
    <xf numFmtId="49" fontId="12" fillId="0" borderId="58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42" xfId="0" applyFont="1" applyBorder="1" applyAlignment="1">
      <alignment wrapText="1"/>
    </xf>
    <xf numFmtId="0" fontId="3" fillId="0" borderId="0" xfId="0" applyFont="1" applyAlignment="1"/>
    <xf numFmtId="2" fontId="2" fillId="10" borderId="58" xfId="0" applyNumberFormat="1" applyFont="1" applyFill="1" applyBorder="1" applyAlignment="1">
      <alignment horizontal="center"/>
    </xf>
    <xf numFmtId="2" fontId="2" fillId="10" borderId="25" xfId="0" applyNumberFormat="1" applyFont="1" applyFill="1" applyBorder="1" applyAlignment="1">
      <alignment horizontal="center"/>
    </xf>
    <xf numFmtId="2" fontId="18" fillId="10" borderId="42" xfId="0" applyNumberFormat="1" applyFont="1" applyFill="1" applyBorder="1" applyAlignment="1">
      <alignment horizontal="left" wrapText="1"/>
    </xf>
    <xf numFmtId="2" fontId="18" fillId="10" borderId="27" xfId="0" applyNumberFormat="1" applyFont="1" applyFill="1" applyBorder="1" applyAlignment="1">
      <alignment horizontal="center" wrapText="1"/>
    </xf>
    <xf numFmtId="2" fontId="18" fillId="10" borderId="25" xfId="0" applyNumberFormat="1" applyFont="1" applyFill="1" applyBorder="1" applyAlignment="1">
      <alignment horizontal="center"/>
    </xf>
    <xf numFmtId="4" fontId="18" fillId="10" borderId="1" xfId="0" applyNumberFormat="1" applyFont="1" applyFill="1" applyBorder="1" applyAlignment="1">
      <alignment horizontal="center"/>
    </xf>
    <xf numFmtId="2" fontId="18" fillId="10" borderId="27" xfId="0" applyNumberFormat="1" applyFont="1" applyFill="1" applyBorder="1" applyAlignment="1">
      <alignment horizontal="center"/>
    </xf>
    <xf numFmtId="2" fontId="18" fillId="10" borderId="12" xfId="0" applyNumberFormat="1" applyFont="1" applyFill="1" applyBorder="1" applyAlignment="1">
      <alignment horizontal="center"/>
    </xf>
    <xf numFmtId="2" fontId="13" fillId="10" borderId="25" xfId="0" applyNumberFormat="1" applyFont="1" applyFill="1" applyBorder="1" applyAlignment="1">
      <alignment horizontal="center"/>
    </xf>
    <xf numFmtId="4" fontId="13" fillId="10" borderId="1" xfId="0" applyNumberFormat="1" applyFont="1" applyFill="1" applyBorder="1" applyAlignment="1">
      <alignment horizontal="center"/>
    </xf>
    <xf numFmtId="2" fontId="13" fillId="10" borderId="12" xfId="0" applyNumberFormat="1" applyFont="1" applyFill="1" applyBorder="1" applyAlignment="1">
      <alignment horizontal="center"/>
    </xf>
    <xf numFmtId="2" fontId="18" fillId="10" borderId="42" xfId="0" applyNumberFormat="1" applyFont="1" applyFill="1" applyBorder="1" applyAlignment="1">
      <alignment horizontal="right"/>
    </xf>
    <xf numFmtId="2" fontId="18" fillId="10" borderId="12" xfId="0" applyNumberFormat="1" applyFont="1" applyFill="1" applyBorder="1" applyAlignment="1">
      <alignment horizontal="right"/>
    </xf>
    <xf numFmtId="49" fontId="1" fillId="5" borderId="42" xfId="0" applyNumberFormat="1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center"/>
    </xf>
    <xf numFmtId="0" fontId="1" fillId="0" borderId="64" xfId="0" applyFont="1" applyBorder="1" applyAlignment="1">
      <alignment wrapText="1"/>
    </xf>
    <xf numFmtId="2" fontId="12" fillId="10" borderId="58" xfId="0" applyNumberFormat="1" applyFont="1" applyFill="1" applyBorder="1" applyAlignment="1">
      <alignment horizontal="center"/>
    </xf>
    <xf numFmtId="2" fontId="12" fillId="10" borderId="25" xfId="0" applyNumberFormat="1" applyFont="1" applyFill="1" applyBorder="1" applyAlignment="1">
      <alignment horizontal="center"/>
    </xf>
    <xf numFmtId="2" fontId="18" fillId="10" borderId="1" xfId="0" applyNumberFormat="1" applyFont="1" applyFill="1" applyBorder="1" applyAlignment="1">
      <alignment horizontal="center"/>
    </xf>
    <xf numFmtId="2" fontId="13" fillId="10" borderId="42" xfId="0" applyNumberFormat="1" applyFont="1" applyFill="1" applyBorder="1" applyAlignment="1">
      <alignment horizontal="right"/>
    </xf>
    <xf numFmtId="2" fontId="13" fillId="10" borderId="12" xfId="0" applyNumberFormat="1" applyFont="1" applyFill="1" applyBorder="1" applyAlignment="1">
      <alignment horizontal="right"/>
    </xf>
    <xf numFmtId="2" fontId="12" fillId="10" borderId="42" xfId="0" applyNumberFormat="1" applyFont="1" applyFill="1" applyBorder="1" applyAlignment="1">
      <alignment wrapText="1"/>
    </xf>
    <xf numFmtId="2" fontId="12" fillId="10" borderId="0" xfId="0" applyNumberFormat="1" applyFont="1" applyFill="1" applyAlignment="1"/>
    <xf numFmtId="10" fontId="3" fillId="0" borderId="25" xfId="0" applyNumberFormat="1" applyFont="1" applyBorder="1" applyAlignment="1">
      <alignment horizontal="center"/>
    </xf>
    <xf numFmtId="2" fontId="18" fillId="10" borderId="71" xfId="0" applyNumberFormat="1" applyFont="1" applyFill="1" applyBorder="1" applyAlignment="1">
      <alignment horizontal="left" wrapText="1"/>
    </xf>
    <xf numFmtId="2" fontId="18" fillId="10" borderId="41" xfId="0" applyNumberFormat="1" applyFont="1" applyFill="1" applyBorder="1" applyAlignment="1">
      <alignment horizontal="center" wrapText="1"/>
    </xf>
    <xf numFmtId="2" fontId="18" fillId="10" borderId="42" xfId="0" applyNumberFormat="1" applyFont="1" applyFill="1" applyBorder="1" applyAlignment="1">
      <alignment horizontal="center"/>
    </xf>
    <xf numFmtId="4" fontId="18" fillId="10" borderId="42" xfId="0" applyNumberFormat="1" applyFont="1" applyFill="1" applyBorder="1" applyAlignment="1">
      <alignment horizontal="right" vertical="center"/>
    </xf>
    <xf numFmtId="4" fontId="18" fillId="10" borderId="12" xfId="0" applyNumberFormat="1" applyFont="1" applyFill="1" applyBorder="1" applyAlignment="1">
      <alignment horizontal="right" vertical="center"/>
    </xf>
    <xf numFmtId="0" fontId="1" fillId="0" borderId="71" xfId="0" applyFont="1" applyBorder="1" applyAlignment="1">
      <alignment horizontal="left" vertical="center" wrapText="1"/>
    </xf>
    <xf numFmtId="49" fontId="1" fillId="0" borderId="41" xfId="0" applyNumberFormat="1" applyFont="1" applyBorder="1" applyAlignment="1">
      <alignment horizontal="center" wrapText="1"/>
    </xf>
    <xf numFmtId="4" fontId="1" fillId="0" borderId="42" xfId="0" applyNumberFormat="1" applyFont="1" applyFill="1" applyBorder="1" applyAlignment="1">
      <alignment horizontal="center"/>
    </xf>
    <xf numFmtId="4" fontId="1" fillId="0" borderId="42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0" fontId="1" fillId="0" borderId="42" xfId="0" applyFont="1" applyFill="1" applyBorder="1" applyAlignment="1">
      <alignment wrapText="1"/>
    </xf>
    <xf numFmtId="2" fontId="3" fillId="0" borderId="4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4" fontId="1" fillId="0" borderId="42" xfId="0" applyNumberFormat="1" applyFont="1" applyBorder="1" applyAlignment="1">
      <alignment horizontal="center"/>
    </xf>
    <xf numFmtId="0" fontId="1" fillId="0" borderId="42" xfId="0" applyFont="1" applyBorder="1" applyAlignment="1">
      <alignment vertical="top" wrapText="1"/>
    </xf>
    <xf numFmtId="0" fontId="3" fillId="0" borderId="71" xfId="0" applyFont="1" applyBorder="1" applyAlignment="1">
      <alignment horizontal="left" vertical="center" wrapText="1"/>
    </xf>
    <xf numFmtId="49" fontId="3" fillId="0" borderId="41" xfId="0" applyNumberFormat="1" applyFont="1" applyBorder="1" applyAlignment="1">
      <alignment horizontal="center" wrapText="1"/>
    </xf>
    <xf numFmtId="4" fontId="3" fillId="0" borderId="25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vertical="top" wrapText="1"/>
    </xf>
    <xf numFmtId="49" fontId="12" fillId="7" borderId="58" xfId="0" applyNumberFormat="1" applyFont="1" applyFill="1" applyBorder="1" applyAlignment="1">
      <alignment horizontal="center"/>
    </xf>
    <xf numFmtId="49" fontId="12" fillId="7" borderId="25" xfId="0" applyNumberFormat="1" applyFont="1" applyFill="1" applyBorder="1" applyAlignment="1">
      <alignment horizontal="center"/>
    </xf>
    <xf numFmtId="0" fontId="25" fillId="7" borderId="71" xfId="0" applyFont="1" applyFill="1" applyBorder="1" applyAlignment="1">
      <alignment horizontal="left" wrapText="1"/>
    </xf>
    <xf numFmtId="49" fontId="25" fillId="7" borderId="41" xfId="0" applyNumberFormat="1" applyFont="1" applyFill="1" applyBorder="1" applyAlignment="1">
      <alignment horizontal="center" wrapText="1"/>
    </xf>
    <xf numFmtId="3" fontId="3" fillId="7" borderId="25" xfId="0" applyNumberFormat="1" applyFont="1" applyFill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10" fontId="3" fillId="7" borderId="12" xfId="0" applyNumberFormat="1" applyFont="1" applyFill="1" applyBorder="1" applyAlignment="1">
      <alignment horizontal="center"/>
    </xf>
    <xf numFmtId="10" fontId="3" fillId="7" borderId="42" xfId="0" applyNumberFormat="1" applyFont="1" applyFill="1" applyBorder="1" applyAlignment="1">
      <alignment horizontal="center"/>
    </xf>
    <xf numFmtId="4" fontId="3" fillId="7" borderId="42" xfId="0" applyNumberFormat="1" applyFont="1" applyFill="1" applyBorder="1" applyAlignment="1">
      <alignment horizontal="right" vertical="center"/>
    </xf>
    <xf numFmtId="4" fontId="3" fillId="7" borderId="12" xfId="0" applyNumberFormat="1" applyFont="1" applyFill="1" applyBorder="1" applyAlignment="1">
      <alignment horizontal="right" vertical="center"/>
    </xf>
    <xf numFmtId="0" fontId="3" fillId="0" borderId="71" xfId="0" applyFont="1" applyBorder="1" applyAlignment="1">
      <alignment horizontal="left" wrapText="1"/>
    </xf>
    <xf numFmtId="3" fontId="3" fillId="0" borderId="42" xfId="0" applyNumberFormat="1" applyFont="1" applyBorder="1" applyAlignment="1">
      <alignment horizontal="center"/>
    </xf>
    <xf numFmtId="49" fontId="12" fillId="0" borderId="53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0" fontId="3" fillId="0" borderId="72" xfId="0" applyFont="1" applyBorder="1" applyAlignment="1">
      <alignment horizontal="left" wrapText="1"/>
    </xf>
    <xf numFmtId="49" fontId="3" fillId="0" borderId="73" xfId="0" applyNumberFormat="1" applyFont="1" applyBorder="1" applyAlignment="1">
      <alignment horizontal="center" wrapText="1"/>
    </xf>
    <xf numFmtId="3" fontId="3" fillId="0" borderId="34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10" fontId="3" fillId="0" borderId="36" xfId="0" applyNumberFormat="1" applyFont="1" applyBorder="1" applyAlignment="1">
      <alignment horizontal="center"/>
    </xf>
    <xf numFmtId="3" fontId="3" fillId="0" borderId="54" xfId="0" applyNumberFormat="1" applyFont="1" applyBorder="1" applyAlignment="1">
      <alignment horizontal="center"/>
    </xf>
    <xf numFmtId="4" fontId="3" fillId="0" borderId="54" xfId="0" applyNumberFormat="1" applyFont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0" fontId="2" fillId="6" borderId="18" xfId="0" applyFont="1" applyFill="1" applyBorder="1" applyAlignment="1">
      <alignment horizontal="center" wrapText="1"/>
    </xf>
    <xf numFmtId="49" fontId="2" fillId="6" borderId="43" xfId="0" applyNumberFormat="1" applyFont="1" applyFill="1" applyBorder="1" applyAlignment="1">
      <alignment horizontal="center" wrapText="1"/>
    </xf>
    <xf numFmtId="3" fontId="2" fillId="6" borderId="57" xfId="0" applyNumberFormat="1" applyFont="1" applyFill="1" applyBorder="1" applyAlignment="1">
      <alignment horizontal="center"/>
    </xf>
    <xf numFmtId="4" fontId="2" fillId="6" borderId="57" xfId="0" applyNumberFormat="1" applyFont="1" applyFill="1" applyBorder="1" applyAlignment="1">
      <alignment horizontal="right" vertical="center"/>
    </xf>
    <xf numFmtId="4" fontId="2" fillId="6" borderId="8" xfId="0" applyNumberFormat="1" applyFont="1" applyFill="1" applyBorder="1" applyAlignment="1">
      <alignment horizontal="right" vertical="center"/>
    </xf>
    <xf numFmtId="49" fontId="2" fillId="10" borderId="59" xfId="0" applyNumberFormat="1" applyFont="1" applyFill="1" applyBorder="1" applyAlignment="1">
      <alignment horizontal="center"/>
    </xf>
    <xf numFmtId="49" fontId="2" fillId="10" borderId="19" xfId="0" applyNumberFormat="1" applyFont="1" applyFill="1" applyBorder="1" applyAlignment="1">
      <alignment horizontal="center"/>
    </xf>
    <xf numFmtId="0" fontId="18" fillId="10" borderId="70" xfId="0" applyFont="1" applyFill="1" applyBorder="1" applyAlignment="1">
      <alignment horizontal="left" wrapText="1"/>
    </xf>
    <xf numFmtId="49" fontId="18" fillId="10" borderId="49" xfId="0" applyNumberFormat="1" applyFont="1" applyFill="1" applyBorder="1" applyAlignment="1">
      <alignment horizontal="center" wrapText="1"/>
    </xf>
    <xf numFmtId="3" fontId="18" fillId="10" borderId="19" xfId="0" applyNumberFormat="1" applyFont="1" applyFill="1" applyBorder="1" applyAlignment="1">
      <alignment horizontal="center"/>
    </xf>
    <xf numFmtId="10" fontId="18" fillId="10" borderId="13" xfId="0" applyNumberFormat="1" applyFont="1" applyFill="1" applyBorder="1" applyAlignment="1">
      <alignment horizontal="center"/>
    </xf>
    <xf numFmtId="4" fontId="18" fillId="10" borderId="55" xfId="0" applyNumberFormat="1" applyFont="1" applyFill="1" applyBorder="1" applyAlignment="1">
      <alignment horizontal="right" vertical="center"/>
    </xf>
    <xf numFmtId="4" fontId="18" fillId="10" borderId="13" xfId="0" applyNumberFormat="1" applyFont="1" applyFill="1" applyBorder="1" applyAlignment="1">
      <alignment horizontal="right" vertical="center"/>
    </xf>
    <xf numFmtId="0" fontId="2" fillId="10" borderId="42" xfId="0" applyFont="1" applyFill="1" applyBorder="1" applyAlignment="1">
      <alignment wrapText="1"/>
    </xf>
    <xf numFmtId="0" fontId="2" fillId="10" borderId="0" xfId="0" applyFont="1" applyFill="1" applyAlignment="1"/>
    <xf numFmtId="4" fontId="1" fillId="0" borderId="2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0" fontId="1" fillId="0" borderId="71" xfId="0" applyFont="1" applyBorder="1" applyAlignment="1">
      <alignment horizontal="left" wrapText="1"/>
    </xf>
    <xf numFmtId="49" fontId="1" fillId="0" borderId="22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10" fontId="1" fillId="0" borderId="14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49" fontId="1" fillId="0" borderId="73" xfId="0" applyNumberFormat="1" applyFont="1" applyBorder="1" applyAlignment="1">
      <alignment horizontal="center" wrapText="1"/>
    </xf>
    <xf numFmtId="4" fontId="1" fillId="0" borderId="34" xfId="0" applyNumberFormat="1" applyFont="1" applyBorder="1" applyAlignment="1">
      <alignment horizontal="center"/>
    </xf>
    <xf numFmtId="4" fontId="1" fillId="0" borderId="35" xfId="0" applyNumberFormat="1" applyFont="1" applyBorder="1" applyAlignment="1">
      <alignment horizontal="center"/>
    </xf>
    <xf numFmtId="10" fontId="1" fillId="0" borderId="36" xfId="0" applyNumberFormat="1" applyFont="1" applyBorder="1" applyAlignment="1">
      <alignment horizontal="center"/>
    </xf>
    <xf numFmtId="165" fontId="1" fillId="0" borderId="36" xfId="0" applyNumberFormat="1" applyFont="1" applyBorder="1" applyAlignment="1">
      <alignment horizontal="center"/>
    </xf>
    <xf numFmtId="10" fontId="3" fillId="0" borderId="54" xfId="0" applyNumberFormat="1" applyFont="1" applyBorder="1" applyAlignment="1">
      <alignment horizontal="center"/>
    </xf>
    <xf numFmtId="4" fontId="1" fillId="0" borderId="54" xfId="0" applyNumberFormat="1" applyFont="1" applyBorder="1" applyAlignment="1">
      <alignment horizontal="right" vertical="center"/>
    </xf>
    <xf numFmtId="4" fontId="1" fillId="0" borderId="36" xfId="0" applyNumberFormat="1" applyFont="1" applyBorder="1" applyAlignment="1">
      <alignment horizontal="right" vertical="center"/>
    </xf>
    <xf numFmtId="0" fontId="26" fillId="7" borderId="71" xfId="0" applyFont="1" applyFill="1" applyBorder="1" applyAlignment="1">
      <alignment horizontal="left" wrapText="1"/>
    </xf>
    <xf numFmtId="49" fontId="26" fillId="7" borderId="41" xfId="0" applyNumberFormat="1" applyFont="1" applyFill="1" applyBorder="1" applyAlignment="1">
      <alignment horizontal="center" wrapText="1"/>
    </xf>
    <xf numFmtId="3" fontId="1" fillId="7" borderId="25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10" fontId="1" fillId="7" borderId="12" xfId="0" applyNumberFormat="1" applyFont="1" applyFill="1" applyBorder="1" applyAlignment="1">
      <alignment horizontal="center"/>
    </xf>
    <xf numFmtId="0" fontId="1" fillId="0" borderId="74" xfId="0" applyFont="1" applyBorder="1" applyAlignment="1">
      <alignment horizontal="left" wrapText="1"/>
    </xf>
    <xf numFmtId="10" fontId="3" fillId="0" borderId="42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49" fontId="2" fillId="10" borderId="58" xfId="0" applyNumberFormat="1" applyFont="1" applyFill="1" applyBorder="1" applyAlignment="1">
      <alignment horizontal="center"/>
    </xf>
    <xf numFmtId="49" fontId="2" fillId="10" borderId="25" xfId="0" applyNumberFormat="1" applyFont="1" applyFill="1" applyBorder="1" applyAlignment="1">
      <alignment horizontal="center"/>
    </xf>
    <xf numFmtId="0" fontId="18" fillId="10" borderId="74" xfId="0" applyFont="1" applyFill="1" applyBorder="1" applyAlignment="1">
      <alignment horizontal="left" wrapText="1"/>
    </xf>
    <xf numFmtId="49" fontId="18" fillId="10" borderId="41" xfId="0" applyNumberFormat="1" applyFont="1" applyFill="1" applyBorder="1" applyAlignment="1">
      <alignment horizontal="center" wrapText="1"/>
    </xf>
    <xf numFmtId="3" fontId="18" fillId="10" borderId="25" xfId="0" applyNumberFormat="1" applyFont="1" applyFill="1" applyBorder="1" applyAlignment="1">
      <alignment horizontal="center"/>
    </xf>
    <xf numFmtId="10" fontId="18" fillId="10" borderId="12" xfId="0" applyNumberFormat="1" applyFont="1" applyFill="1" applyBorder="1" applyAlignment="1">
      <alignment horizontal="center"/>
    </xf>
    <xf numFmtId="10" fontId="18" fillId="10" borderId="42" xfId="0" applyNumberFormat="1" applyFont="1" applyFill="1" applyBorder="1" applyAlignment="1">
      <alignment horizontal="center"/>
    </xf>
    <xf numFmtId="3" fontId="1" fillId="0" borderId="42" xfId="0" applyNumberFormat="1" applyFont="1" applyBorder="1" applyAlignment="1">
      <alignment horizontal="center"/>
    </xf>
    <xf numFmtId="49" fontId="12" fillId="0" borderId="60" xfId="0" applyNumberFormat="1" applyFont="1" applyBorder="1" applyAlignment="1">
      <alignment horizontal="center"/>
    </xf>
    <xf numFmtId="0" fontId="3" fillId="0" borderId="74" xfId="0" applyFont="1" applyBorder="1" applyAlignment="1">
      <alignment horizontal="left" wrapText="1"/>
    </xf>
    <xf numFmtId="3" fontId="3" fillId="0" borderId="26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49" fontId="2" fillId="0" borderId="60" xfId="0" applyNumberFormat="1" applyFont="1" applyBorder="1" applyAlignment="1">
      <alignment horizontal="center"/>
    </xf>
    <xf numFmtId="0" fontId="3" fillId="0" borderId="74" xfId="0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center"/>
    </xf>
    <xf numFmtId="49" fontId="2" fillId="0" borderId="53" xfId="0" applyNumberFormat="1" applyFont="1" applyBorder="1" applyAlignment="1">
      <alignment horizontal="center"/>
    </xf>
    <xf numFmtId="4" fontId="3" fillId="0" borderId="34" xfId="0" applyNumberFormat="1" applyFont="1" applyBorder="1" applyAlignment="1">
      <alignment horizontal="center"/>
    </xf>
    <xf numFmtId="3" fontId="2" fillId="6" borderId="8" xfId="0" applyNumberFormat="1" applyFont="1" applyFill="1" applyBorder="1" applyAlignment="1">
      <alignment horizontal="center"/>
    </xf>
    <xf numFmtId="10" fontId="18" fillId="10" borderId="55" xfId="0" applyNumberFormat="1" applyFont="1" applyFill="1" applyBorder="1" applyAlignment="1">
      <alignment horizontal="center"/>
    </xf>
    <xf numFmtId="168" fontId="1" fillId="0" borderId="42" xfId="0" applyNumberFormat="1" applyFont="1" applyBorder="1" applyAlignment="1">
      <alignment horizontal="center"/>
    </xf>
    <xf numFmtId="168" fontId="3" fillId="0" borderId="42" xfId="0" applyNumberFormat="1" applyFont="1" applyBorder="1" applyAlignment="1">
      <alignment horizontal="center"/>
    </xf>
    <xf numFmtId="0" fontId="25" fillId="7" borderId="42" xfId="0" applyFont="1" applyFill="1" applyBorder="1" applyAlignment="1">
      <alignment horizontal="left" wrapText="1"/>
    </xf>
    <xf numFmtId="49" fontId="25" fillId="7" borderId="27" xfId="0" applyNumberFormat="1" applyFont="1" applyFill="1" applyBorder="1" applyAlignment="1">
      <alignment horizontal="center" wrapText="1"/>
    </xf>
    <xf numFmtId="10" fontId="3" fillId="7" borderId="27" xfId="0" applyNumberFormat="1" applyFont="1" applyFill="1" applyBorder="1" applyAlignment="1">
      <alignment horizontal="center"/>
    </xf>
    <xf numFmtId="10" fontId="3" fillId="7" borderId="25" xfId="0" applyNumberFormat="1" applyFont="1" applyFill="1" applyBorder="1" applyAlignment="1">
      <alignment horizontal="center"/>
    </xf>
    <xf numFmtId="4" fontId="3" fillId="7" borderId="42" xfId="0" applyNumberFormat="1" applyFont="1" applyFill="1" applyBorder="1" applyAlignment="1">
      <alignment horizontal="right"/>
    </xf>
    <xf numFmtId="4" fontId="3" fillId="7" borderId="12" xfId="0" applyNumberFormat="1" applyFont="1" applyFill="1" applyBorder="1" applyAlignment="1">
      <alignment horizontal="right"/>
    </xf>
    <xf numFmtId="0" fontId="3" fillId="0" borderId="42" xfId="0" applyFont="1" applyBorder="1" applyAlignment="1">
      <alignment horizontal="left" wrapText="1"/>
    </xf>
    <xf numFmtId="49" fontId="3" fillId="0" borderId="27" xfId="0" applyNumberFormat="1" applyFont="1" applyBorder="1" applyAlignment="1">
      <alignment horizontal="center" wrapText="1"/>
    </xf>
    <xf numFmtId="10" fontId="3" fillId="0" borderId="27" xfId="0" applyNumberFormat="1" applyFont="1" applyBorder="1" applyAlignment="1">
      <alignment horizontal="center"/>
    </xf>
    <xf numFmtId="0" fontId="3" fillId="0" borderId="54" xfId="0" applyFont="1" applyBorder="1" applyAlignment="1">
      <alignment horizontal="left" wrapText="1"/>
    </xf>
    <xf numFmtId="49" fontId="3" fillId="0" borderId="47" xfId="0" applyNumberFormat="1" applyFont="1" applyBorder="1" applyAlignment="1">
      <alignment horizontal="center" wrapText="1"/>
    </xf>
    <xf numFmtId="10" fontId="3" fillId="0" borderId="47" xfId="0" applyNumberFormat="1" applyFont="1" applyBorder="1" applyAlignment="1">
      <alignment horizontal="center"/>
    </xf>
    <xf numFmtId="4" fontId="3" fillId="0" borderId="54" xfId="0" applyNumberFormat="1" applyFont="1" applyBorder="1" applyAlignment="1">
      <alignment horizontal="right"/>
    </xf>
    <xf numFmtId="4" fontId="3" fillId="0" borderId="36" xfId="0" applyNumberFormat="1" applyFont="1" applyBorder="1" applyAlignment="1">
      <alignment horizontal="right"/>
    </xf>
    <xf numFmtId="49" fontId="12" fillId="6" borderId="7" xfId="0" applyNumberFormat="1" applyFont="1" applyFill="1" applyBorder="1" applyAlignment="1">
      <alignment horizontal="center"/>
    </xf>
    <xf numFmtId="49" fontId="12" fillId="6" borderId="18" xfId="0" applyNumberFormat="1" applyFont="1" applyFill="1" applyBorder="1" applyAlignment="1">
      <alignment horizontal="center"/>
    </xf>
    <xf numFmtId="0" fontId="12" fillId="6" borderId="57" xfId="0" applyFont="1" applyFill="1" applyBorder="1" applyAlignment="1">
      <alignment horizontal="center" wrapText="1"/>
    </xf>
    <xf numFmtId="49" fontId="12" fillId="6" borderId="39" xfId="0" applyNumberFormat="1" applyFont="1" applyFill="1" applyBorder="1" applyAlignment="1">
      <alignment horizontal="center" wrapText="1"/>
    </xf>
    <xf numFmtId="3" fontId="12" fillId="6" borderId="4" xfId="0" applyNumberFormat="1" applyFont="1" applyFill="1" applyBorder="1" applyAlignment="1">
      <alignment horizontal="center"/>
    </xf>
    <xf numFmtId="4" fontId="12" fillId="6" borderId="5" xfId="0" applyNumberFormat="1" applyFont="1" applyFill="1" applyBorder="1" applyAlignment="1">
      <alignment horizontal="center"/>
    </xf>
    <xf numFmtId="10" fontId="12" fillId="6" borderId="39" xfId="0" applyNumberFormat="1" applyFont="1" applyFill="1" applyBorder="1" applyAlignment="1">
      <alignment horizontal="center"/>
    </xf>
    <xf numFmtId="10" fontId="12" fillId="6" borderId="8" xfId="0" applyNumberFormat="1" applyFont="1" applyFill="1" applyBorder="1" applyAlignment="1">
      <alignment horizontal="center"/>
    </xf>
    <xf numFmtId="3" fontId="12" fillId="6" borderId="8" xfId="0" applyNumberFormat="1" applyFont="1" applyFill="1" applyBorder="1" applyAlignment="1">
      <alignment horizontal="center"/>
    </xf>
    <xf numFmtId="4" fontId="12" fillId="6" borderId="57" xfId="0" applyNumberFormat="1" applyFont="1" applyFill="1" applyBorder="1" applyAlignment="1">
      <alignment horizontal="right"/>
    </xf>
    <xf numFmtId="4" fontId="12" fillId="6" borderId="8" xfId="0" applyNumberFormat="1" applyFont="1" applyFill="1" applyBorder="1" applyAlignment="1">
      <alignment horizontal="right"/>
    </xf>
    <xf numFmtId="49" fontId="12" fillId="0" borderId="59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0" fontId="3" fillId="0" borderId="55" xfId="0" applyFont="1" applyBorder="1" applyAlignment="1">
      <alignment wrapText="1"/>
    </xf>
    <xf numFmtId="49" fontId="3" fillId="0" borderId="40" xfId="0" applyNumberFormat="1" applyFont="1" applyBorder="1" applyAlignment="1">
      <alignment horizontal="center" wrapText="1"/>
    </xf>
    <xf numFmtId="3" fontId="3" fillId="0" borderId="19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10" fontId="3" fillId="0" borderId="40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4" fontId="3" fillId="0" borderId="55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9" fontId="12" fillId="0" borderId="20" xfId="0" applyNumberFormat="1" applyFont="1" applyBorder="1" applyAlignment="1">
      <alignment horizontal="center"/>
    </xf>
    <xf numFmtId="0" fontId="3" fillId="0" borderId="54" xfId="0" applyFont="1" applyBorder="1" applyAlignment="1">
      <alignment wrapText="1"/>
    </xf>
    <xf numFmtId="0" fontId="3" fillId="0" borderId="17" xfId="0" applyFont="1" applyBorder="1" applyAlignment="1">
      <alignment wrapText="1"/>
    </xf>
    <xf numFmtId="49" fontId="2" fillId="12" borderId="7" xfId="0" applyNumberFormat="1" applyFont="1" applyFill="1" applyBorder="1" applyAlignment="1">
      <alignment horizontal="center"/>
    </xf>
    <xf numFmtId="0" fontId="2" fillId="8" borderId="57" xfId="0" applyFont="1" applyFill="1" applyBorder="1" applyAlignment="1">
      <alignment horizontal="center" wrapText="1"/>
    </xf>
    <xf numFmtId="49" fontId="2" fillId="8" borderId="39" xfId="0" applyNumberFormat="1" applyFont="1" applyFill="1" applyBorder="1" applyAlignment="1">
      <alignment horizontal="center" wrapText="1"/>
    </xf>
    <xf numFmtId="0" fontId="1" fillId="6" borderId="62" xfId="0" applyFont="1" applyFill="1" applyBorder="1" applyAlignment="1">
      <alignment wrapText="1"/>
    </xf>
    <xf numFmtId="0" fontId="1" fillId="12" borderId="0" xfId="0" applyFont="1" applyFill="1" applyAlignment="1"/>
    <xf numFmtId="49" fontId="2" fillId="12" borderId="59" xfId="0" applyNumberFormat="1" applyFont="1" applyFill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0" fontId="13" fillId="13" borderId="55" xfId="0" applyFont="1" applyFill="1" applyBorder="1" applyAlignment="1">
      <alignment horizontal="left" wrapText="1"/>
    </xf>
    <xf numFmtId="49" fontId="13" fillId="14" borderId="40" xfId="0" applyNumberFormat="1" applyFont="1" applyFill="1" applyBorder="1" applyAlignment="1">
      <alignment horizontal="center" wrapText="1"/>
    </xf>
    <xf numFmtId="3" fontId="12" fillId="14" borderId="19" xfId="0" applyNumberFormat="1" applyFont="1" applyFill="1" applyBorder="1" applyAlignment="1">
      <alignment horizontal="center"/>
    </xf>
    <xf numFmtId="4" fontId="12" fillId="14" borderId="3" xfId="0" applyNumberFormat="1" applyFont="1" applyFill="1" applyBorder="1" applyAlignment="1">
      <alignment horizontal="center"/>
    </xf>
    <xf numFmtId="10" fontId="12" fillId="14" borderId="40" xfId="0" applyNumberFormat="1" applyFont="1" applyFill="1" applyBorder="1" applyAlignment="1">
      <alignment horizontal="center"/>
    </xf>
    <xf numFmtId="10" fontId="12" fillId="14" borderId="13" xfId="0" applyNumberFormat="1" applyFont="1" applyFill="1" applyBorder="1" applyAlignment="1">
      <alignment horizontal="center"/>
    </xf>
    <xf numFmtId="10" fontId="12" fillId="14" borderId="19" xfId="0" applyNumberFormat="1" applyFont="1" applyFill="1" applyBorder="1" applyAlignment="1">
      <alignment horizontal="center"/>
    </xf>
    <xf numFmtId="4" fontId="2" fillId="14" borderId="55" xfId="0" applyNumberFormat="1" applyFont="1" applyFill="1" applyBorder="1" applyAlignment="1">
      <alignment horizontal="right"/>
    </xf>
    <xf numFmtId="4" fontId="2" fillId="14" borderId="13" xfId="0" applyNumberFormat="1" applyFont="1" applyFill="1" applyBorder="1" applyAlignment="1">
      <alignment horizontal="right"/>
    </xf>
    <xf numFmtId="4" fontId="12" fillId="14" borderId="42" xfId="0" applyNumberFormat="1" applyFont="1" applyFill="1" applyBorder="1" applyAlignment="1">
      <alignment wrapText="1"/>
    </xf>
    <xf numFmtId="49" fontId="2" fillId="12" borderId="58" xfId="0" applyNumberFormat="1" applyFont="1" applyFill="1" applyBorder="1" applyAlignment="1">
      <alignment horizontal="center"/>
    </xf>
    <xf numFmtId="49" fontId="12" fillId="2" borderId="25" xfId="0" applyNumberFormat="1" applyFont="1" applyFill="1" applyBorder="1" applyAlignment="1">
      <alignment horizontal="center"/>
    </xf>
    <xf numFmtId="0" fontId="3" fillId="5" borderId="42" xfId="0" applyFont="1" applyFill="1" applyBorder="1" applyAlignment="1">
      <alignment horizontal="left" wrapText="1"/>
    </xf>
    <xf numFmtId="49" fontId="3" fillId="2" borderId="27" xfId="0" applyNumberFormat="1" applyFont="1" applyFill="1" applyBorder="1" applyAlignment="1">
      <alignment horizontal="center" wrapText="1"/>
    </xf>
    <xf numFmtId="3" fontId="3" fillId="2" borderId="25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0" fontId="3" fillId="2" borderId="27" xfId="0" applyNumberFormat="1" applyFont="1" applyFill="1" applyBorder="1" applyAlignment="1">
      <alignment horizontal="center"/>
    </xf>
    <xf numFmtId="10" fontId="3" fillId="2" borderId="12" xfId="0" applyNumberFormat="1" applyFont="1" applyFill="1" applyBorder="1" applyAlignment="1">
      <alignment horizontal="center"/>
    </xf>
    <xf numFmtId="10" fontId="3" fillId="2" borderId="25" xfId="0" applyNumberFormat="1" applyFont="1" applyFill="1" applyBorder="1" applyAlignment="1">
      <alignment horizontal="center"/>
    </xf>
    <xf numFmtId="4" fontId="1" fillId="2" borderId="42" xfId="0" applyNumberFormat="1" applyFont="1" applyFill="1" applyBorder="1" applyAlignment="1">
      <alignment horizontal="right"/>
    </xf>
    <xf numFmtId="4" fontId="1" fillId="2" borderId="12" xfId="0" applyNumberFormat="1" applyFont="1" applyFill="1" applyBorder="1" applyAlignment="1">
      <alignment horizontal="right"/>
    </xf>
    <xf numFmtId="0" fontId="3" fillId="2" borderId="42" xfId="0" applyFont="1" applyFill="1" applyBorder="1" applyAlignment="1">
      <alignment wrapText="1"/>
    </xf>
    <xf numFmtId="49" fontId="2" fillId="2" borderId="25" xfId="0" applyNumberFormat="1" applyFont="1" applyFill="1" applyBorder="1" applyAlignment="1">
      <alignment horizontal="center"/>
    </xf>
    <xf numFmtId="0" fontId="18" fillId="13" borderId="42" xfId="0" applyFont="1" applyFill="1" applyBorder="1" applyAlignment="1">
      <alignment horizontal="left" wrapText="1"/>
    </xf>
    <xf numFmtId="49" fontId="18" fillId="14" borderId="27" xfId="0" applyNumberFormat="1" applyFont="1" applyFill="1" applyBorder="1" applyAlignment="1">
      <alignment horizontal="center" wrapText="1"/>
    </xf>
    <xf numFmtId="3" fontId="18" fillId="14" borderId="25" xfId="0" applyNumberFormat="1" applyFont="1" applyFill="1" applyBorder="1" applyAlignment="1">
      <alignment horizontal="center"/>
    </xf>
    <xf numFmtId="4" fontId="18" fillId="14" borderId="1" xfId="0" applyNumberFormat="1" applyFont="1" applyFill="1" applyBorder="1" applyAlignment="1">
      <alignment horizontal="center"/>
    </xf>
    <xf numFmtId="10" fontId="18" fillId="14" borderId="27" xfId="0" applyNumberFormat="1" applyFont="1" applyFill="1" applyBorder="1" applyAlignment="1">
      <alignment horizontal="center"/>
    </xf>
    <xf numFmtId="10" fontId="18" fillId="14" borderId="12" xfId="0" applyNumberFormat="1" applyFont="1" applyFill="1" applyBorder="1" applyAlignment="1">
      <alignment horizontal="center"/>
    </xf>
    <xf numFmtId="10" fontId="18" fillId="14" borderId="25" xfId="0" applyNumberFormat="1" applyFont="1" applyFill="1" applyBorder="1" applyAlignment="1">
      <alignment horizontal="center"/>
    </xf>
    <xf numFmtId="4" fontId="18" fillId="14" borderId="42" xfId="0" applyNumberFormat="1" applyFont="1" applyFill="1" applyBorder="1" applyAlignment="1">
      <alignment horizontal="right"/>
    </xf>
    <xf numFmtId="4" fontId="18" fillId="14" borderId="1" xfId="0" applyNumberFormat="1" applyFont="1" applyFill="1" applyBorder="1" applyAlignment="1">
      <alignment horizontal="right"/>
    </xf>
    <xf numFmtId="4" fontId="2" fillId="14" borderId="42" xfId="0" applyNumberFormat="1" applyFont="1" applyFill="1" applyBorder="1" applyAlignment="1">
      <alignment wrapText="1"/>
    </xf>
    <xf numFmtId="0" fontId="2" fillId="12" borderId="0" xfId="0" applyFont="1" applyFill="1" applyAlignment="1"/>
    <xf numFmtId="0" fontId="1" fillId="5" borderId="42" xfId="2" applyFont="1" applyFill="1" applyBorder="1" applyAlignment="1">
      <alignment horizontal="left" wrapText="1"/>
    </xf>
    <xf numFmtId="0" fontId="18" fillId="11" borderId="42" xfId="0" applyFont="1" applyFill="1" applyBorder="1" applyAlignment="1">
      <alignment horizontal="left" wrapText="1"/>
    </xf>
    <xf numFmtId="49" fontId="18" fillId="10" borderId="27" xfId="0" applyNumberFormat="1" applyFont="1" applyFill="1" applyBorder="1" applyAlignment="1">
      <alignment horizontal="center" wrapText="1"/>
    </xf>
    <xf numFmtId="10" fontId="18" fillId="10" borderId="27" xfId="0" applyNumberFormat="1" applyFont="1" applyFill="1" applyBorder="1" applyAlignment="1">
      <alignment horizontal="center"/>
    </xf>
    <xf numFmtId="10" fontId="18" fillId="10" borderId="25" xfId="0" applyNumberFormat="1" applyFont="1" applyFill="1" applyBorder="1" applyAlignment="1">
      <alignment horizontal="center"/>
    </xf>
    <xf numFmtId="3" fontId="18" fillId="10" borderId="42" xfId="0" applyNumberFormat="1" applyFont="1" applyFill="1" applyBorder="1" applyAlignment="1">
      <alignment horizontal="center"/>
    </xf>
    <xf numFmtId="3" fontId="18" fillId="10" borderId="1" xfId="0" applyNumberFormat="1" applyFont="1" applyFill="1" applyBorder="1" applyAlignment="1">
      <alignment horizontal="center"/>
    </xf>
    <xf numFmtId="4" fontId="1" fillId="14" borderId="42" xfId="0" applyNumberFormat="1" applyFont="1" applyFill="1" applyBorder="1" applyAlignment="1">
      <alignment wrapText="1"/>
    </xf>
    <xf numFmtId="3" fontId="13" fillId="10" borderId="25" xfId="0" applyNumberFormat="1" applyFont="1" applyFill="1" applyBorder="1" applyAlignment="1">
      <alignment horizontal="center"/>
    </xf>
    <xf numFmtId="10" fontId="13" fillId="10" borderId="27" xfId="0" applyNumberFormat="1" applyFont="1" applyFill="1" applyBorder="1" applyAlignment="1">
      <alignment horizontal="center"/>
    </xf>
    <xf numFmtId="10" fontId="13" fillId="10" borderId="12" xfId="0" applyNumberFormat="1" applyFont="1" applyFill="1" applyBorder="1" applyAlignment="1">
      <alignment horizontal="center"/>
    </xf>
    <xf numFmtId="10" fontId="13" fillId="10" borderId="25" xfId="0" applyNumberFormat="1" applyFont="1" applyFill="1" applyBorder="1" applyAlignment="1">
      <alignment horizontal="center"/>
    </xf>
    <xf numFmtId="4" fontId="18" fillId="10" borderId="42" xfId="0" applyNumberFormat="1" applyFont="1" applyFill="1" applyBorder="1" applyAlignment="1">
      <alignment horizontal="right"/>
    </xf>
    <xf numFmtId="4" fontId="18" fillId="10" borderId="12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3" fillId="5" borderId="54" xfId="0" applyFont="1" applyFill="1" applyBorder="1" applyAlignment="1">
      <alignment horizontal="left" wrapText="1"/>
    </xf>
    <xf numFmtId="4" fontId="1" fillId="0" borderId="54" xfId="0" applyNumberFormat="1" applyFont="1" applyBorder="1" applyAlignment="1">
      <alignment horizontal="right"/>
    </xf>
    <xf numFmtId="4" fontId="1" fillId="0" borderId="36" xfId="0" applyNumberFormat="1" applyFont="1" applyBorder="1" applyAlignment="1">
      <alignment horizontal="right"/>
    </xf>
    <xf numFmtId="0" fontId="1" fillId="0" borderId="17" xfId="0" applyFont="1" applyBorder="1" applyAlignment="1">
      <alignment wrapText="1"/>
    </xf>
    <xf numFmtId="49" fontId="2" fillId="6" borderId="59" xfId="0" applyNumberFormat="1" applyFont="1" applyFill="1" applyBorder="1" applyAlignment="1">
      <alignment horizontal="center"/>
    </xf>
    <xf numFmtId="0" fontId="12" fillId="8" borderId="57" xfId="0" applyFont="1" applyFill="1" applyBorder="1" applyAlignment="1">
      <alignment horizontal="center" wrapText="1"/>
    </xf>
    <xf numFmtId="0" fontId="1" fillId="0" borderId="62" xfId="0" applyFont="1" applyBorder="1" applyAlignment="1">
      <alignment wrapText="1"/>
    </xf>
    <xf numFmtId="49" fontId="2" fillId="7" borderId="58" xfId="0" applyNumberFormat="1" applyFont="1" applyFill="1" applyBorder="1" applyAlignment="1">
      <alignment horizontal="center"/>
    </xf>
    <xf numFmtId="49" fontId="12" fillId="7" borderId="19" xfId="0" applyNumberFormat="1" applyFont="1" applyFill="1" applyBorder="1" applyAlignment="1">
      <alignment horizontal="center"/>
    </xf>
    <xf numFmtId="0" fontId="25" fillId="9" borderId="55" xfId="0" applyFont="1" applyFill="1" applyBorder="1" applyAlignment="1">
      <alignment horizontal="left" wrapText="1"/>
    </xf>
    <xf numFmtId="49" fontId="25" fillId="7" borderId="40" xfId="0" applyNumberFormat="1" applyFont="1" applyFill="1" applyBorder="1" applyAlignment="1">
      <alignment horizontal="center" wrapText="1"/>
    </xf>
    <xf numFmtId="3" fontId="3" fillId="7" borderId="19" xfId="0" applyNumberFormat="1" applyFont="1" applyFill="1" applyBorder="1" applyAlignment="1">
      <alignment horizontal="center"/>
    </xf>
    <xf numFmtId="4" fontId="3" fillId="7" borderId="3" xfId="0" applyNumberFormat="1" applyFont="1" applyFill="1" applyBorder="1" applyAlignment="1">
      <alignment horizontal="center"/>
    </xf>
    <xf numFmtId="10" fontId="3" fillId="7" borderId="40" xfId="0" applyNumberFormat="1" applyFont="1" applyFill="1" applyBorder="1" applyAlignment="1">
      <alignment horizontal="center"/>
    </xf>
    <xf numFmtId="10" fontId="3" fillId="7" borderId="13" xfId="0" applyNumberFormat="1" applyFont="1" applyFill="1" applyBorder="1" applyAlignment="1">
      <alignment horizontal="center"/>
    </xf>
    <xf numFmtId="10" fontId="3" fillId="7" borderId="19" xfId="0" applyNumberFormat="1" applyFont="1" applyFill="1" applyBorder="1" applyAlignment="1">
      <alignment horizontal="center"/>
    </xf>
    <xf numFmtId="4" fontId="3" fillId="7" borderId="55" xfId="0" applyNumberFormat="1" applyFont="1" applyFill="1" applyBorder="1" applyAlignment="1">
      <alignment horizontal="right"/>
    </xf>
    <xf numFmtId="4" fontId="3" fillId="7" borderId="13" xfId="0" applyNumberFormat="1" applyFont="1" applyFill="1" applyBorder="1" applyAlignment="1">
      <alignment horizontal="right"/>
    </xf>
    <xf numFmtId="4" fontId="2" fillId="14" borderId="55" xfId="0" applyNumberFormat="1" applyFont="1" applyFill="1" applyBorder="1" applyAlignment="1">
      <alignment wrapText="1"/>
    </xf>
    <xf numFmtId="0" fontId="3" fillId="5" borderId="42" xfId="2" applyFont="1" applyFill="1" applyBorder="1" applyAlignment="1">
      <alignment horizontal="left" wrapText="1"/>
    </xf>
    <xf numFmtId="49" fontId="12" fillId="10" borderId="25" xfId="0" applyNumberFormat="1" applyFont="1" applyFill="1" applyBorder="1" applyAlignment="1">
      <alignment horizontal="center"/>
    </xf>
    <xf numFmtId="0" fontId="13" fillId="9" borderId="42" xfId="0" applyFont="1" applyFill="1" applyBorder="1" applyAlignment="1">
      <alignment horizontal="left" wrapText="1"/>
    </xf>
    <xf numFmtId="49" fontId="13" fillId="7" borderId="27" xfId="0" applyNumberFormat="1" applyFont="1" applyFill="1" applyBorder="1" applyAlignment="1">
      <alignment horizontal="center" wrapText="1"/>
    </xf>
    <xf numFmtId="3" fontId="13" fillId="7" borderId="25" xfId="0" applyNumberFormat="1" applyFont="1" applyFill="1" applyBorder="1" applyAlignment="1">
      <alignment horizontal="center"/>
    </xf>
    <xf numFmtId="4" fontId="13" fillId="7" borderId="1" xfId="0" applyNumberFormat="1" applyFont="1" applyFill="1" applyBorder="1" applyAlignment="1">
      <alignment horizontal="center"/>
    </xf>
    <xf numFmtId="10" fontId="13" fillId="7" borderId="27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10" fontId="13" fillId="7" borderId="25" xfId="0" applyNumberFormat="1" applyFont="1" applyFill="1" applyBorder="1" applyAlignment="1">
      <alignment horizontal="center"/>
    </xf>
    <xf numFmtId="4" fontId="13" fillId="10" borderId="42" xfId="0" applyNumberFormat="1" applyFont="1" applyFill="1" applyBorder="1" applyAlignment="1">
      <alignment horizontal="right"/>
    </xf>
    <xf numFmtId="4" fontId="13" fillId="10" borderId="12" xfId="0" applyNumberFormat="1" applyFont="1" applyFill="1" applyBorder="1" applyAlignment="1">
      <alignment horizontal="right"/>
    </xf>
    <xf numFmtId="49" fontId="3" fillId="7" borderId="27" xfId="0" applyNumberFormat="1" applyFont="1" applyFill="1" applyBorder="1" applyAlignment="1">
      <alignment horizontal="center" wrapText="1"/>
    </xf>
    <xf numFmtId="0" fontId="3" fillId="0" borderId="62" xfId="0" applyFont="1" applyBorder="1" applyAlignment="1">
      <alignment wrapText="1"/>
    </xf>
    <xf numFmtId="0" fontId="12" fillId="6" borderId="55" xfId="0" applyFont="1" applyFill="1" applyBorder="1" applyAlignment="1">
      <alignment horizontal="center" wrapText="1"/>
    </xf>
    <xf numFmtId="49" fontId="12" fillId="6" borderId="40" xfId="0" applyNumberFormat="1" applyFont="1" applyFill="1" applyBorder="1" applyAlignment="1">
      <alignment horizontal="center" wrapText="1"/>
    </xf>
    <xf numFmtId="3" fontId="12" fillId="6" borderId="19" xfId="0" applyNumberFormat="1" applyFont="1" applyFill="1" applyBorder="1" applyAlignment="1">
      <alignment horizontal="center"/>
    </xf>
    <xf numFmtId="4" fontId="12" fillId="6" borderId="3" xfId="0" applyNumberFormat="1" applyFont="1" applyFill="1" applyBorder="1" applyAlignment="1">
      <alignment horizontal="center"/>
    </xf>
    <xf numFmtId="10" fontId="12" fillId="6" borderId="40" xfId="0" applyNumberFormat="1" applyFont="1" applyFill="1" applyBorder="1" applyAlignment="1">
      <alignment horizontal="center"/>
    </xf>
    <xf numFmtId="10" fontId="12" fillId="6" borderId="13" xfId="0" applyNumberFormat="1" applyFont="1" applyFill="1" applyBorder="1" applyAlignment="1">
      <alignment horizontal="center"/>
    </xf>
    <xf numFmtId="3" fontId="12" fillId="6" borderId="13" xfId="0" applyNumberFormat="1" applyFont="1" applyFill="1" applyBorder="1" applyAlignment="1">
      <alignment horizontal="center"/>
    </xf>
    <xf numFmtId="4" fontId="12" fillId="6" borderId="55" xfId="0" applyNumberFormat="1" applyFont="1" applyFill="1" applyBorder="1" applyAlignment="1">
      <alignment horizontal="right"/>
    </xf>
    <xf numFmtId="4" fontId="12" fillId="6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10" fontId="3" fillId="0" borderId="2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9" fontId="2" fillId="0" borderId="59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1" fillId="0" borderId="70" xfId="0" applyFont="1" applyBorder="1" applyAlignment="1">
      <alignment wrapText="1"/>
    </xf>
    <xf numFmtId="49" fontId="1" fillId="0" borderId="49" xfId="0" applyNumberFormat="1" applyFont="1" applyBorder="1" applyAlignment="1">
      <alignment horizontal="center" wrapText="1"/>
    </xf>
    <xf numFmtId="3" fontId="1" fillId="0" borderId="19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1" fillId="0" borderId="13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3" fontId="1" fillId="0" borderId="55" xfId="0" applyNumberFormat="1" applyFont="1" applyBorder="1" applyAlignment="1">
      <alignment horizontal="center"/>
    </xf>
    <xf numFmtId="4" fontId="1" fillId="0" borderId="55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/>
    </xf>
    <xf numFmtId="0" fontId="1" fillId="0" borderId="54" xfId="0" applyFont="1" applyBorder="1" applyAlignment="1">
      <alignment wrapText="1"/>
    </xf>
    <xf numFmtId="10" fontId="1" fillId="0" borderId="47" xfId="0" applyNumberFormat="1" applyFont="1" applyBorder="1" applyAlignment="1">
      <alignment horizontal="center"/>
    </xf>
    <xf numFmtId="0" fontId="1" fillId="0" borderId="55" xfId="0" applyFont="1" applyBorder="1" applyAlignment="1">
      <alignment horizontal="left" wrapText="1"/>
    </xf>
    <xf numFmtId="49" fontId="1" fillId="0" borderId="40" xfId="0" applyNumberFormat="1" applyFont="1" applyBorder="1" applyAlignment="1">
      <alignment horizontal="center" wrapText="1"/>
    </xf>
    <xf numFmtId="10" fontId="1" fillId="0" borderId="40" xfId="0" applyNumberFormat="1" applyFont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55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9" fontId="1" fillId="0" borderId="47" xfId="0" applyNumberFormat="1" applyFont="1" applyBorder="1" applyAlignment="1">
      <alignment horizontal="center" wrapText="1"/>
    </xf>
    <xf numFmtId="49" fontId="2" fillId="6" borderId="58" xfId="0" applyNumberFormat="1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1" fillId="0" borderId="55" xfId="0" applyFont="1" applyBorder="1" applyAlignment="1">
      <alignment wrapText="1"/>
    </xf>
    <xf numFmtId="4" fontId="1" fillId="0" borderId="19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3" fontId="1" fillId="0" borderId="26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49" fontId="2" fillId="6" borderId="61" xfId="0" applyNumberFormat="1" applyFont="1" applyFill="1" applyBorder="1" applyAlignment="1">
      <alignment horizontal="center"/>
    </xf>
    <xf numFmtId="4" fontId="2" fillId="6" borderId="5" xfId="0" applyNumberFormat="1" applyFont="1" applyFill="1" applyBorder="1" applyAlignment="1">
      <alignment horizontal="right"/>
    </xf>
    <xf numFmtId="0" fontId="1" fillId="0" borderId="63" xfId="0" applyFont="1" applyBorder="1" applyAlignment="1">
      <alignment wrapText="1"/>
    </xf>
    <xf numFmtId="49" fontId="12" fillId="10" borderId="58" xfId="0" applyNumberFormat="1" applyFont="1" applyFill="1" applyBorder="1" applyAlignment="1">
      <alignment horizontal="center"/>
    </xf>
    <xf numFmtId="49" fontId="12" fillId="10" borderId="19" xfId="0" applyNumberFormat="1" applyFont="1" applyFill="1" applyBorder="1" applyAlignment="1">
      <alignment horizontal="center"/>
    </xf>
    <xf numFmtId="0" fontId="18" fillId="11" borderId="55" xfId="0" applyFont="1" applyFill="1" applyBorder="1" applyAlignment="1">
      <alignment horizontal="center" wrapText="1"/>
    </xf>
    <xf numFmtId="49" fontId="18" fillId="11" borderId="40" xfId="0" applyNumberFormat="1" applyFont="1" applyFill="1" applyBorder="1" applyAlignment="1">
      <alignment horizontal="center" wrapText="1"/>
    </xf>
    <xf numFmtId="10" fontId="18" fillId="10" borderId="40" xfId="0" applyNumberFormat="1" applyFont="1" applyFill="1" applyBorder="1" applyAlignment="1">
      <alignment horizontal="center"/>
    </xf>
    <xf numFmtId="10" fontId="18" fillId="10" borderId="19" xfId="0" applyNumberFormat="1" applyFont="1" applyFill="1" applyBorder="1" applyAlignment="1">
      <alignment horizontal="center"/>
    </xf>
    <xf numFmtId="4" fontId="18" fillId="10" borderId="55" xfId="0" applyNumberFormat="1" applyFont="1" applyFill="1" applyBorder="1" applyAlignment="1">
      <alignment horizontal="right"/>
    </xf>
    <xf numFmtId="4" fontId="18" fillId="10" borderId="13" xfId="0" applyNumberFormat="1" applyFont="1" applyFill="1" applyBorder="1" applyAlignment="1">
      <alignment horizontal="right"/>
    </xf>
    <xf numFmtId="0" fontId="2" fillId="10" borderId="64" xfId="0" applyFont="1" applyFill="1" applyBorder="1" applyAlignment="1">
      <alignment wrapText="1"/>
    </xf>
    <xf numFmtId="0" fontId="12" fillId="10" borderId="0" xfId="0" applyFont="1" applyFill="1" applyAlignment="1"/>
    <xf numFmtId="0" fontId="18" fillId="11" borderId="42" xfId="0" applyFont="1" applyFill="1" applyBorder="1" applyAlignment="1">
      <alignment horizontal="center" wrapText="1"/>
    </xf>
    <xf numFmtId="49" fontId="18" fillId="11" borderId="27" xfId="0" applyNumberFormat="1" applyFont="1" applyFill="1" applyBorder="1" applyAlignment="1">
      <alignment horizontal="center" wrapText="1"/>
    </xf>
    <xf numFmtId="4" fontId="18" fillId="10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right"/>
    </xf>
    <xf numFmtId="4" fontId="1" fillId="0" borderId="64" xfId="0" applyNumberFormat="1" applyFont="1" applyBorder="1" applyAlignment="1">
      <alignment wrapText="1"/>
    </xf>
    <xf numFmtId="4" fontId="1" fillId="0" borderId="68" xfId="0" applyNumberFormat="1" applyFont="1" applyBorder="1" applyAlignment="1">
      <alignment wrapText="1"/>
    </xf>
    <xf numFmtId="4" fontId="1" fillId="0" borderId="65" xfId="0" applyNumberFormat="1" applyFont="1" applyBorder="1" applyAlignment="1">
      <alignment wrapText="1"/>
    </xf>
    <xf numFmtId="0" fontId="13" fillId="11" borderId="42" xfId="0" applyFont="1" applyFill="1" applyBorder="1" applyAlignment="1">
      <alignment horizontal="center" wrapText="1"/>
    </xf>
    <xf numFmtId="49" fontId="13" fillId="11" borderId="27" xfId="0" applyNumberFormat="1" applyFont="1" applyFill="1" applyBorder="1" applyAlignment="1">
      <alignment horizontal="center" wrapText="1"/>
    </xf>
    <xf numFmtId="4" fontId="1" fillId="0" borderId="22" xfId="0" applyNumberFormat="1" applyFont="1" applyBorder="1" applyAlignment="1">
      <alignment wrapText="1"/>
    </xf>
    <xf numFmtId="49" fontId="3" fillId="5" borderId="17" xfId="0" applyNumberFormat="1" applyFont="1" applyFill="1" applyBorder="1" applyAlignment="1">
      <alignment horizontal="left" wrapText="1"/>
    </xf>
    <xf numFmtId="4" fontId="3" fillId="0" borderId="26" xfId="0" applyNumberFormat="1" applyFont="1" applyFill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49" fontId="2" fillId="6" borderId="20" xfId="0" applyNumberFormat="1" applyFont="1" applyFill="1" applyBorder="1" applyAlignment="1">
      <alignment horizontal="center"/>
    </xf>
    <xf numFmtId="4" fontId="2" fillId="14" borderId="62" xfId="0" applyNumberFormat="1" applyFont="1" applyFill="1" applyBorder="1" applyAlignment="1">
      <alignment wrapText="1"/>
    </xf>
    <xf numFmtId="0" fontId="1" fillId="5" borderId="55" xfId="0" applyFont="1" applyFill="1" applyBorder="1" applyAlignment="1">
      <alignment wrapText="1"/>
    </xf>
    <xf numFmtId="49" fontId="1" fillId="5" borderId="40" xfId="0" applyNumberFormat="1" applyFont="1" applyFill="1" applyBorder="1" applyAlignment="1">
      <alignment horizontal="center" wrapText="1"/>
    </xf>
    <xf numFmtId="0" fontId="1" fillId="0" borderId="66" xfId="0" applyFont="1" applyBorder="1" applyAlignment="1">
      <alignment wrapText="1"/>
    </xf>
    <xf numFmtId="0" fontId="1" fillId="5" borderId="54" xfId="0" applyFont="1" applyFill="1" applyBorder="1" applyAlignment="1">
      <alignment wrapText="1"/>
    </xf>
    <xf numFmtId="49" fontId="3" fillId="5" borderId="47" xfId="0" applyNumberFormat="1" applyFont="1" applyFill="1" applyBorder="1" applyAlignment="1">
      <alignment horizontal="center" wrapText="1"/>
    </xf>
    <xf numFmtId="0" fontId="1" fillId="0" borderId="65" xfId="0" applyFont="1" applyBorder="1" applyAlignment="1">
      <alignment wrapText="1"/>
    </xf>
    <xf numFmtId="49" fontId="12" fillId="8" borderId="39" xfId="0" applyNumberFormat="1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left" wrapText="1"/>
    </xf>
    <xf numFmtId="0" fontId="3" fillId="0" borderId="66" xfId="0" applyFont="1" applyBorder="1" applyAlignment="1">
      <alignment wrapText="1"/>
    </xf>
    <xf numFmtId="0" fontId="3" fillId="0" borderId="65" xfId="0" applyFont="1" applyBorder="1" applyAlignment="1">
      <alignment wrapText="1"/>
    </xf>
    <xf numFmtId="49" fontId="12" fillId="0" borderId="15" xfId="0" applyNumberFormat="1" applyFont="1" applyBorder="1" applyAlignment="1">
      <alignment horizontal="center"/>
    </xf>
    <xf numFmtId="0" fontId="3" fillId="0" borderId="21" xfId="0" applyFont="1" applyBorder="1" applyAlignment="1">
      <alignment horizontal="left" wrapText="1"/>
    </xf>
    <xf numFmtId="49" fontId="3" fillId="5" borderId="46" xfId="0" applyNumberFormat="1" applyFont="1" applyFill="1" applyBorder="1" applyAlignment="1">
      <alignment horizontal="center" wrapText="1"/>
    </xf>
    <xf numFmtId="3" fontId="3" fillId="0" borderId="11" xfId="0" applyNumberFormat="1" applyFont="1" applyBorder="1" applyAlignment="1">
      <alignment horizontal="center"/>
    </xf>
    <xf numFmtId="4" fontId="3" fillId="0" borderId="33" xfId="0" applyNumberFormat="1" applyFont="1" applyBorder="1" applyAlignment="1">
      <alignment horizontal="center"/>
    </xf>
    <xf numFmtId="10" fontId="3" fillId="0" borderId="46" xfId="0" applyNumberFormat="1" applyFont="1" applyBorder="1" applyAlignment="1">
      <alignment horizontal="center"/>
    </xf>
    <xf numFmtId="10" fontId="3" fillId="0" borderId="56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right"/>
    </xf>
    <xf numFmtId="4" fontId="3" fillId="0" borderId="56" xfId="0" applyNumberFormat="1" applyFont="1" applyBorder="1" applyAlignment="1">
      <alignment horizontal="right"/>
    </xf>
    <xf numFmtId="0" fontId="3" fillId="0" borderId="67" xfId="0" applyFont="1" applyBorder="1" applyAlignment="1">
      <alignment wrapText="1"/>
    </xf>
    <xf numFmtId="165" fontId="1" fillId="0" borderId="40" xfId="0" applyNumberFormat="1" applyFont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165" fontId="1" fillId="0" borderId="27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0" fontId="1" fillId="0" borderId="54" xfId="0" applyFont="1" applyBorder="1" applyAlignment="1">
      <alignment horizontal="left" wrapText="1"/>
    </xf>
    <xf numFmtId="165" fontId="1" fillId="0" borderId="47" xfId="0" applyNumberFormat="1" applyFont="1" applyBorder="1" applyAlignment="1">
      <alignment horizontal="center"/>
    </xf>
    <xf numFmtId="0" fontId="12" fillId="8" borderId="57" xfId="0" applyFont="1" applyFill="1" applyBorder="1" applyAlignment="1">
      <alignment horizontal="left" wrapText="1"/>
    </xf>
    <xf numFmtId="49" fontId="3" fillId="5" borderId="40" xfId="0" applyNumberFormat="1" applyFont="1" applyFill="1" applyBorder="1" applyAlignment="1">
      <alignment horizontal="center" wrapText="1"/>
    </xf>
    <xf numFmtId="3" fontId="3" fillId="0" borderId="19" xfId="0" applyNumberFormat="1" applyFont="1" applyFill="1" applyBorder="1" applyAlignment="1">
      <alignment horizontal="center"/>
    </xf>
    <xf numFmtId="4" fontId="12" fillId="14" borderId="62" xfId="0" applyNumberFormat="1" applyFont="1" applyFill="1" applyBorder="1" applyAlignment="1">
      <alignment wrapText="1"/>
    </xf>
    <xf numFmtId="0" fontId="3" fillId="0" borderId="55" xfId="0" applyFont="1" applyBorder="1" applyAlignment="1">
      <alignment horizontal="left" wrapText="1"/>
    </xf>
    <xf numFmtId="0" fontId="1" fillId="0" borderId="23" xfId="0" applyFont="1" applyBorder="1" applyAlignment="1">
      <alignment wrapText="1"/>
    </xf>
    <xf numFmtId="49" fontId="2" fillId="6" borderId="57" xfId="0" applyNumberFormat="1" applyFont="1" applyFill="1" applyBorder="1" applyAlignment="1">
      <alignment horizontal="left" wrapText="1"/>
    </xf>
    <xf numFmtId="3" fontId="2" fillId="6" borderId="39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center" wrapText="1"/>
    </xf>
    <xf numFmtId="4" fontId="2" fillId="6" borderId="21" xfId="0" applyNumberFormat="1" applyFont="1" applyFill="1" applyBorder="1" applyAlignment="1">
      <alignment horizontal="right"/>
    </xf>
    <xf numFmtId="4" fontId="2" fillId="6" borderId="33" xfId="0" applyNumberFormat="1" applyFont="1" applyFill="1" applyBorder="1" applyAlignment="1">
      <alignment horizontal="right"/>
    </xf>
    <xf numFmtId="0" fontId="1" fillId="0" borderId="67" xfId="0" applyFont="1" applyBorder="1" applyAlignment="1">
      <alignment wrapText="1"/>
    </xf>
    <xf numFmtId="49" fontId="18" fillId="3" borderId="7" xfId="0" applyNumberFormat="1" applyFont="1" applyFill="1" applyBorder="1" applyAlignment="1">
      <alignment horizontal="center"/>
    </xf>
    <xf numFmtId="49" fontId="18" fillId="3" borderId="10" xfId="0" applyNumberFormat="1" applyFont="1" applyFill="1" applyBorder="1" applyAlignment="1">
      <alignment horizontal="center"/>
    </xf>
    <xf numFmtId="49" fontId="18" fillId="3" borderId="50" xfId="0" applyNumberFormat="1" applyFont="1" applyFill="1" applyBorder="1" applyAlignment="1">
      <alignment horizontal="center" wrapText="1"/>
    </xf>
    <xf numFmtId="0" fontId="18" fillId="3" borderId="50" xfId="0" applyFont="1" applyFill="1" applyBorder="1" applyAlignment="1">
      <alignment horizontal="center"/>
    </xf>
    <xf numFmtId="3" fontId="18" fillId="3" borderId="50" xfId="0" applyNumberFormat="1" applyFont="1" applyFill="1" applyBorder="1" applyAlignment="1">
      <alignment horizontal="center"/>
    </xf>
    <xf numFmtId="4" fontId="18" fillId="3" borderId="50" xfId="0" applyNumberFormat="1" applyFont="1" applyFill="1" applyBorder="1" applyAlignment="1">
      <alignment horizontal="center"/>
    </xf>
    <xf numFmtId="10" fontId="18" fillId="3" borderId="45" xfId="0" applyNumberFormat="1" applyFont="1" applyFill="1" applyBorder="1" applyAlignment="1">
      <alignment horizontal="center"/>
    </xf>
    <xf numFmtId="3" fontId="18" fillId="3" borderId="38" xfId="0" applyNumberFormat="1" applyFont="1" applyFill="1" applyBorder="1" applyAlignment="1">
      <alignment horizontal="center"/>
    </xf>
    <xf numFmtId="10" fontId="18" fillId="3" borderId="69" xfId="0" applyNumberFormat="1" applyFont="1" applyFill="1" applyBorder="1" applyAlignment="1">
      <alignment horizontal="center"/>
    </xf>
    <xf numFmtId="4" fontId="18" fillId="3" borderId="75" xfId="0" applyNumberFormat="1" applyFont="1" applyFill="1" applyBorder="1" applyAlignment="1">
      <alignment horizontal="right"/>
    </xf>
    <xf numFmtId="4" fontId="18" fillId="3" borderId="50" xfId="0" applyNumberFormat="1" applyFont="1" applyFill="1" applyBorder="1" applyAlignment="1">
      <alignment horizontal="right"/>
    </xf>
    <xf numFmtId="49" fontId="18" fillId="2" borderId="7" xfId="0" applyNumberFormat="1" applyFont="1" applyFill="1" applyBorder="1" applyAlignment="1">
      <alignment horizontal="center"/>
    </xf>
    <xf numFmtId="49" fontId="18" fillId="2" borderId="5" xfId="0" applyNumberFormat="1" applyFont="1" applyFill="1" applyBorder="1" applyAlignment="1">
      <alignment horizontal="center" wrapText="1"/>
    </xf>
    <xf numFmtId="4" fontId="18" fillId="2" borderId="57" xfId="0" applyNumberFormat="1" applyFont="1" applyFill="1" applyBorder="1" applyAlignment="1">
      <alignment horizontal="right"/>
    </xf>
    <xf numFmtId="4" fontId="18" fillId="2" borderId="5" xfId="0" applyNumberFormat="1" applyFont="1" applyFill="1" applyBorder="1" applyAlignment="1">
      <alignment horizontal="right"/>
    </xf>
    <xf numFmtId="49" fontId="18" fillId="3" borderId="32" xfId="0" applyNumberFormat="1" applyFont="1" applyFill="1" applyBorder="1" applyAlignment="1">
      <alignment horizontal="center"/>
    </xf>
    <xf numFmtId="49" fontId="18" fillId="3" borderId="3" xfId="0" applyNumberFormat="1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/>
    </xf>
    <xf numFmtId="3" fontId="18" fillId="3" borderId="3" xfId="0" applyNumberFormat="1" applyFont="1" applyFill="1" applyBorder="1" applyAlignment="1">
      <alignment horizontal="center"/>
    </xf>
    <xf numFmtId="4" fontId="18" fillId="3" borderId="3" xfId="0" applyNumberFormat="1" applyFont="1" applyFill="1" applyBorder="1" applyAlignment="1">
      <alignment horizontal="center"/>
    </xf>
    <xf numFmtId="3" fontId="18" fillId="3" borderId="13" xfId="0" applyNumberFormat="1" applyFont="1" applyFill="1" applyBorder="1" applyAlignment="1">
      <alignment horizontal="center"/>
    </xf>
    <xf numFmtId="4" fontId="18" fillId="3" borderId="55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165" fontId="26" fillId="0" borderId="1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wrapText="1"/>
    </xf>
    <xf numFmtId="165" fontId="1" fillId="0" borderId="6" xfId="0" applyNumberFormat="1" applyFont="1" applyBorder="1" applyAlignment="1">
      <alignment horizontal="center"/>
    </xf>
    <xf numFmtId="165" fontId="26" fillId="0" borderId="1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" fontId="26" fillId="0" borderId="1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 wrapText="1"/>
    </xf>
    <xf numFmtId="4" fontId="26" fillId="0" borderId="6" xfId="0" applyNumberFormat="1" applyFont="1" applyBorder="1" applyAlignment="1">
      <alignment horizontal="center"/>
    </xf>
    <xf numFmtId="4" fontId="18" fillId="3" borderId="57" xfId="0" applyNumberFormat="1" applyFont="1" applyFill="1" applyBorder="1" applyAlignment="1">
      <alignment horizontal="center"/>
    </xf>
    <xf numFmtId="4" fontId="18" fillId="3" borderId="8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9" fontId="2" fillId="4" borderId="58" xfId="0" applyNumberFormat="1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center"/>
    </xf>
    <xf numFmtId="4" fontId="2" fillId="4" borderId="42" xfId="0" applyNumberFormat="1" applyFont="1" applyFill="1" applyBorder="1" applyAlignment="1">
      <alignment horizontal="center"/>
    </xf>
    <xf numFmtId="49" fontId="2" fillId="4" borderId="60" xfId="0" applyNumberFormat="1" applyFont="1" applyFill="1" applyBorder="1" applyAlignment="1">
      <alignment horizontal="center"/>
    </xf>
    <xf numFmtId="49" fontId="18" fillId="0" borderId="53" xfId="0" applyNumberFormat="1" applyFont="1" applyBorder="1" applyAlignment="1"/>
    <xf numFmtId="0" fontId="18" fillId="0" borderId="35" xfId="0" applyFont="1" applyBorder="1" applyAlignment="1"/>
    <xf numFmtId="0" fontId="18" fillId="0" borderId="35" xfId="0" applyFont="1" applyBorder="1" applyAlignment="1">
      <alignment horizontal="center"/>
    </xf>
    <xf numFmtId="4" fontId="18" fillId="0" borderId="42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0" fontId="18" fillId="0" borderId="42" xfId="0" applyFont="1" applyBorder="1" applyAlignment="1">
      <alignment wrapText="1"/>
    </xf>
    <xf numFmtId="0" fontId="18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167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top" wrapText="1"/>
    </xf>
    <xf numFmtId="3" fontId="22" fillId="6" borderId="1" xfId="0" applyNumberFormat="1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167" fontId="2" fillId="7" borderId="1" xfId="1" applyNumberFormat="1" applyFont="1" applyFill="1" applyBorder="1" applyAlignment="1">
      <alignment horizontal="center" vertical="center" wrapText="1"/>
    </xf>
    <xf numFmtId="167" fontId="18" fillId="7" borderId="1" xfId="1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top" wrapText="1"/>
    </xf>
    <xf numFmtId="0" fontId="22" fillId="2" borderId="27" xfId="0" applyFont="1" applyFill="1" applyBorder="1" applyAlignment="1">
      <alignment vertical="center" wrapText="1"/>
    </xf>
    <xf numFmtId="167" fontId="1" fillId="2" borderId="1" xfId="1" applyNumberFormat="1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0" fontId="1" fillId="0" borderId="27" xfId="3" applyFont="1" applyBorder="1" applyAlignment="1" applyProtection="1">
      <alignment vertical="top" wrapText="1"/>
      <protection hidden="1"/>
    </xf>
    <xf numFmtId="0" fontId="22" fillId="0" borderId="27" xfId="3" applyFont="1" applyBorder="1" applyAlignment="1" applyProtection="1">
      <alignment vertical="center" wrapText="1"/>
      <protection hidden="1"/>
    </xf>
    <xf numFmtId="0" fontId="1" fillId="0" borderId="27" xfId="3" applyNumberFormat="1" applyFont="1" applyFill="1" applyBorder="1" applyAlignment="1" applyProtection="1">
      <alignment vertical="top" wrapText="1"/>
      <protection hidden="1"/>
    </xf>
    <xf numFmtId="0" fontId="22" fillId="0" borderId="27" xfId="3" applyNumberFormat="1" applyFont="1" applyFill="1" applyBorder="1" applyAlignment="1" applyProtection="1">
      <alignment vertical="center" wrapText="1"/>
      <protection hidden="1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center" vertical="center"/>
    </xf>
    <xf numFmtId="49" fontId="2" fillId="6" borderId="5" xfId="0" applyNumberFormat="1" applyFont="1" applyFill="1" applyBorder="1" applyAlignment="1">
      <alignment horizontal="center" wrapText="1"/>
    </xf>
    <xf numFmtId="10" fontId="2" fillId="6" borderId="5" xfId="0" applyNumberFormat="1" applyFont="1" applyFill="1" applyBorder="1" applyAlignment="1">
      <alignment horizontal="center"/>
    </xf>
    <xf numFmtId="0" fontId="1" fillId="5" borderId="55" xfId="2" applyFont="1" applyFill="1" applyBorder="1" applyAlignment="1">
      <alignment horizontal="left" wrapText="1"/>
    </xf>
    <xf numFmtId="49" fontId="1" fillId="0" borderId="3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left" wrapText="1"/>
    </xf>
    <xf numFmtId="3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49" fontId="1" fillId="5" borderId="1" xfId="0" applyNumberFormat="1" applyFont="1" applyFill="1" applyBorder="1" applyAlignment="1">
      <alignment horizontal="left" wrapText="1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49" fontId="12" fillId="0" borderId="34" xfId="0" applyNumberFormat="1" applyFont="1" applyBorder="1" applyAlignment="1">
      <alignment horizontal="center"/>
    </xf>
    <xf numFmtId="49" fontId="1" fillId="2" borderId="35" xfId="0" applyNumberFormat="1" applyFont="1" applyFill="1" applyBorder="1" applyAlignment="1">
      <alignment horizontal="left" wrapText="1"/>
    </xf>
    <xf numFmtId="49" fontId="1" fillId="5" borderId="35" xfId="0" applyNumberFormat="1" applyFont="1" applyFill="1" applyBorder="1" applyAlignment="1">
      <alignment horizontal="center" wrapText="1"/>
    </xf>
    <xf numFmtId="3" fontId="1" fillId="0" borderId="35" xfId="0" applyNumberFormat="1" applyFont="1" applyBorder="1" applyAlignment="1">
      <alignment horizontal="center"/>
    </xf>
    <xf numFmtId="10" fontId="1" fillId="0" borderId="35" xfId="0" applyNumberFormat="1" applyFont="1" applyBorder="1" applyAlignment="1">
      <alignment horizontal="center"/>
    </xf>
    <xf numFmtId="4" fontId="1" fillId="2" borderId="35" xfId="0" applyNumberFormat="1" applyFont="1" applyFill="1" applyBorder="1" applyAlignment="1">
      <alignment horizontal="right"/>
    </xf>
    <xf numFmtId="0" fontId="1" fillId="0" borderId="36" xfId="0" applyFont="1" applyBorder="1" applyAlignment="1">
      <alignment wrapText="1"/>
    </xf>
    <xf numFmtId="49" fontId="12" fillId="6" borderId="76" xfId="0" applyNumberFormat="1" applyFont="1" applyFill="1" applyBorder="1" applyAlignment="1">
      <alignment horizontal="center"/>
    </xf>
    <xf numFmtId="49" fontId="12" fillId="6" borderId="21" xfId="0" applyNumberFormat="1" applyFont="1" applyFill="1" applyBorder="1" applyAlignment="1">
      <alignment horizontal="left" wrapText="1"/>
    </xf>
    <xf numFmtId="49" fontId="12" fillId="8" borderId="46" xfId="0" applyNumberFormat="1" applyFont="1" applyFill="1" applyBorder="1" applyAlignment="1">
      <alignment horizontal="center" wrapText="1"/>
    </xf>
    <xf numFmtId="3" fontId="12" fillId="6" borderId="11" xfId="0" applyNumberFormat="1" applyFont="1" applyFill="1" applyBorder="1" applyAlignment="1">
      <alignment horizontal="center"/>
    </xf>
    <xf numFmtId="4" fontId="12" fillId="6" borderId="33" xfId="0" applyNumberFormat="1" applyFont="1" applyFill="1" applyBorder="1" applyAlignment="1">
      <alignment horizontal="center"/>
    </xf>
    <xf numFmtId="3" fontId="12" fillId="6" borderId="46" xfId="0" applyNumberFormat="1" applyFont="1" applyFill="1" applyBorder="1" applyAlignment="1">
      <alignment horizontal="center"/>
    </xf>
    <xf numFmtId="3" fontId="12" fillId="6" borderId="56" xfId="0" applyNumberFormat="1" applyFont="1" applyFill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1" fillId="5" borderId="3" xfId="0" applyNumberFormat="1" applyFont="1" applyFill="1" applyBorder="1" applyAlignment="1">
      <alignment horizontal="center" wrapText="1"/>
    </xf>
    <xf numFmtId="0" fontId="1" fillId="0" borderId="13" xfId="0" applyFont="1" applyBorder="1" applyAlignment="1">
      <alignment wrapText="1"/>
    </xf>
    <xf numFmtId="49" fontId="1" fillId="2" borderId="3" xfId="0" applyNumberFormat="1" applyFont="1" applyFill="1" applyBorder="1" applyAlignment="1">
      <alignment horizontal="left" wrapText="1"/>
    </xf>
    <xf numFmtId="4" fontId="1" fillId="2" borderId="3" xfId="0" applyNumberFormat="1" applyFont="1" applyFill="1" applyBorder="1" applyAlignment="1">
      <alignment horizontal="right"/>
    </xf>
    <xf numFmtId="4" fontId="1" fillId="0" borderId="25" xfId="0" applyNumberFormat="1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9" fontId="1" fillId="0" borderId="71" xfId="0" applyNumberFormat="1" applyFont="1" applyBorder="1" applyAlignment="1">
      <alignment wrapText="1"/>
    </xf>
    <xf numFmtId="49" fontId="18" fillId="3" borderId="5" xfId="0" applyNumberFormat="1" applyFont="1" applyFill="1" applyBorder="1" applyAlignment="1">
      <alignment horizontal="center" wrapText="1"/>
    </xf>
    <xf numFmtId="0" fontId="18" fillId="3" borderId="5" xfId="0" applyFont="1" applyFill="1" applyBorder="1" applyAlignment="1">
      <alignment horizontal="center"/>
    </xf>
    <xf numFmtId="3" fontId="18" fillId="3" borderId="5" xfId="0" applyNumberFormat="1" applyFont="1" applyFill="1" applyBorder="1" applyAlignment="1">
      <alignment horizontal="center"/>
    </xf>
    <xf numFmtId="4" fontId="18" fillId="3" borderId="5" xfId="0" applyNumberFormat="1" applyFont="1" applyFill="1" applyBorder="1" applyAlignment="1">
      <alignment horizontal="center"/>
    </xf>
    <xf numFmtId="3" fontId="18" fillId="3" borderId="8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wrapText="1"/>
    </xf>
    <xf numFmtId="165" fontId="1" fillId="0" borderId="3" xfId="0" applyNumberFormat="1" applyFont="1" applyBorder="1" applyAlignment="1">
      <alignment horizontal="center"/>
    </xf>
    <xf numFmtId="4" fontId="26" fillId="0" borderId="13" xfId="0" applyNumberFormat="1" applyFont="1" applyBorder="1" applyAlignment="1">
      <alignment horizontal="center"/>
    </xf>
    <xf numFmtId="0" fontId="1" fillId="5" borderId="54" xfId="0" applyFont="1" applyFill="1" applyBorder="1" applyAlignment="1">
      <alignment horizontal="left" wrapText="1"/>
    </xf>
    <xf numFmtId="49" fontId="28" fillId="0" borderId="1" xfId="0" applyNumberFormat="1" applyFont="1" applyBorder="1" applyAlignment="1">
      <alignment vertical="distributed" wrapText="1"/>
    </xf>
    <xf numFmtId="49" fontId="28" fillId="0" borderId="1" xfId="0" applyNumberFormat="1" applyFont="1" applyBorder="1" applyAlignment="1">
      <alignment horizontal="center" vertical="top" wrapText="1"/>
    </xf>
    <xf numFmtId="49" fontId="28" fillId="0" borderId="1" xfId="0" applyNumberFormat="1" applyFont="1" applyBorder="1" applyAlignment="1">
      <alignment horizontal="center" vertical="distributed" wrapText="1"/>
    </xf>
    <xf numFmtId="3" fontId="15" fillId="2" borderId="1" xfId="0" applyNumberFormat="1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vertical="distributed" wrapText="1"/>
    </xf>
    <xf numFmtId="3" fontId="16" fillId="2" borderId="1" xfId="0" applyNumberFormat="1" applyFont="1" applyFill="1" applyBorder="1" applyAlignment="1">
      <alignment vertical="top" wrapText="1"/>
    </xf>
    <xf numFmtId="0" fontId="22" fillId="0" borderId="1" xfId="0" applyFont="1" applyBorder="1" applyAlignment="1">
      <alignment wrapText="1"/>
    </xf>
    <xf numFmtId="4" fontId="1" fillId="2" borderId="6" xfId="0" applyNumberFormat="1" applyFont="1" applyFill="1" applyBorder="1" applyAlignment="1">
      <alignment horizontal="center"/>
    </xf>
    <xf numFmtId="4" fontId="1" fillId="2" borderId="35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49" xfId="0" applyFont="1" applyBorder="1" applyAlignment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23" fillId="2" borderId="6" xfId="0" applyFont="1" applyFill="1" applyBorder="1" applyAlignment="1">
      <alignment horizontal="left" vertical="top" wrapText="1"/>
    </xf>
    <xf numFmtId="0" fontId="23" fillId="2" borderId="9" xfId="0" applyFont="1" applyFill="1" applyBorder="1" applyAlignment="1">
      <alignment horizontal="left" vertical="top" wrapText="1"/>
    </xf>
    <xf numFmtId="0" fontId="23" fillId="2" borderId="3" xfId="0" applyFont="1" applyFill="1" applyBorder="1" applyAlignment="1">
      <alignment horizontal="left" vertical="top" wrapText="1"/>
    </xf>
    <xf numFmtId="0" fontId="2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" fontId="18" fillId="0" borderId="35" xfId="0" applyNumberFormat="1" applyFont="1" applyBorder="1" applyAlignment="1">
      <alignment horizontal="center"/>
    </xf>
    <xf numFmtId="4" fontId="18" fillId="0" borderId="3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4" fontId="18" fillId="2" borderId="5" xfId="0" applyNumberFormat="1" applyFont="1" applyFill="1" applyBorder="1" applyAlignment="1">
      <alignment horizontal="center"/>
    </xf>
    <xf numFmtId="4" fontId="18" fillId="2" borderId="8" xfId="0" applyNumberFormat="1" applyFont="1" applyFill="1" applyBorder="1" applyAlignment="1">
      <alignment horizontal="center"/>
    </xf>
    <xf numFmtId="49" fontId="2" fillId="0" borderId="50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" fontId="15" fillId="2" borderId="1" xfId="0" applyNumberFormat="1" applyFont="1" applyFill="1" applyBorder="1" applyAlignment="1">
      <alignment vertical="distributed" wrapText="1"/>
    </xf>
    <xf numFmtId="4" fontId="15" fillId="0" borderId="1" xfId="0" applyNumberFormat="1" applyFont="1" applyBorder="1" applyAlignment="1">
      <alignment vertical="distributed" wrapText="1"/>
    </xf>
  </cellXfs>
  <cellStyles count="5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4" xr:uid="{00000000-0005-0000-0000-000003000000}"/>
    <cellStyle name="Финансовый" xfId="1" builtinId="3"/>
  </cellStyles>
  <dxfs count="0"/>
  <tableStyles count="0" defaultTableStyle="TableStyleMedium9" defaultPivotStyle="PivotStyleLight16"/>
  <colors>
    <mruColors>
      <color rgb="FFF8F8F8"/>
      <color rgb="FFFEF9F4"/>
      <color rgb="FFFEF2E8"/>
      <color rgb="FFFFF8EF"/>
      <color rgb="FFF8F7F2"/>
      <color rgb="FFFDFCF5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2"/>
  <sheetViews>
    <sheetView tabSelected="1" view="pageBreakPreview" topLeftCell="B1" zoomScale="115" zoomScaleSheetLayoutView="115" workbookViewId="0">
      <selection activeCell="D122" sqref="D122"/>
    </sheetView>
  </sheetViews>
  <sheetFormatPr defaultRowHeight="15" x14ac:dyDescent="0.25"/>
  <cols>
    <col min="1" max="1" width="6.5703125" hidden="1" customWidth="1"/>
    <col min="2" max="2" width="49.28515625" customWidth="1"/>
    <col min="3" max="3" width="19.85546875" customWidth="1"/>
    <col min="4" max="4" width="17.28515625" customWidth="1"/>
    <col min="5" max="5" width="14.85546875" customWidth="1"/>
    <col min="6" max="6" width="15.42578125" customWidth="1"/>
    <col min="7" max="7" width="20.85546875" customWidth="1"/>
  </cols>
  <sheetData>
    <row r="1" spans="1:7" ht="66" customHeight="1" x14ac:dyDescent="0.25">
      <c r="A1" s="752" t="s">
        <v>274</v>
      </c>
      <c r="B1" s="752"/>
      <c r="C1" s="752"/>
      <c r="D1" s="752"/>
      <c r="E1" s="752"/>
      <c r="F1" s="752"/>
      <c r="G1" s="752"/>
    </row>
    <row r="2" spans="1:7" ht="78" customHeight="1" x14ac:dyDescent="0.25">
      <c r="A2" s="753" t="s">
        <v>435</v>
      </c>
      <c r="B2" s="753"/>
      <c r="C2" s="753"/>
      <c r="D2" s="753"/>
      <c r="E2" s="753"/>
      <c r="F2" s="753"/>
      <c r="G2" s="753"/>
    </row>
    <row r="3" spans="1:7" x14ac:dyDescent="0.25">
      <c r="A3" s="754" t="s">
        <v>275</v>
      </c>
      <c r="B3" s="754"/>
      <c r="C3" s="754"/>
      <c r="D3" s="754"/>
      <c r="E3" s="754"/>
      <c r="F3" s="754"/>
      <c r="G3" s="755"/>
    </row>
    <row r="4" spans="1:7" ht="15" customHeight="1" x14ac:dyDescent="0.25">
      <c r="A4" s="750" t="s">
        <v>0</v>
      </c>
      <c r="B4" s="760" t="s">
        <v>78</v>
      </c>
      <c r="C4" s="146"/>
      <c r="D4" s="145" t="s">
        <v>44</v>
      </c>
      <c r="E4" s="145" t="s">
        <v>255</v>
      </c>
      <c r="F4" s="145" t="s">
        <v>276</v>
      </c>
      <c r="G4" s="750" t="s">
        <v>83</v>
      </c>
    </row>
    <row r="5" spans="1:7" ht="37.5" customHeight="1" x14ac:dyDescent="0.25">
      <c r="A5" s="751"/>
      <c r="B5" s="761"/>
      <c r="C5" s="147"/>
      <c r="D5" s="148" t="s">
        <v>77</v>
      </c>
      <c r="E5" s="148" t="s">
        <v>77</v>
      </c>
      <c r="F5" s="148" t="s">
        <v>77</v>
      </c>
      <c r="G5" s="751"/>
    </row>
    <row r="6" spans="1:7" x14ac:dyDescent="0.25">
      <c r="A6" s="134"/>
      <c r="B6" s="134" t="s">
        <v>79</v>
      </c>
      <c r="C6" s="134"/>
      <c r="D6" s="149">
        <f>D8+D14</f>
        <v>9700890</v>
      </c>
      <c r="E6" s="149">
        <f t="shared" ref="E6:F6" si="0">E8+E14</f>
        <v>0</v>
      </c>
      <c r="F6" s="149">
        <f t="shared" si="0"/>
        <v>0</v>
      </c>
      <c r="G6" s="150"/>
    </row>
    <row r="7" spans="1:7" x14ac:dyDescent="0.25">
      <c r="A7" s="135"/>
      <c r="B7" s="135" t="s">
        <v>80</v>
      </c>
      <c r="C7" s="135"/>
      <c r="D7" s="151"/>
      <c r="E7" s="152"/>
      <c r="F7" s="152"/>
      <c r="G7" s="135"/>
    </row>
    <row r="8" spans="1:7" x14ac:dyDescent="0.25">
      <c r="A8" s="136"/>
      <c r="B8" s="136" t="s">
        <v>203</v>
      </c>
      <c r="C8" s="136"/>
      <c r="D8" s="153">
        <f>D9+D10</f>
        <v>9000000</v>
      </c>
      <c r="E8" s="153">
        <f t="shared" ref="E8:F8" si="1">E9</f>
        <v>0</v>
      </c>
      <c r="F8" s="153">
        <f t="shared" si="1"/>
        <v>0</v>
      </c>
      <c r="G8" s="154"/>
    </row>
    <row r="9" spans="1:7" ht="22.5" x14ac:dyDescent="0.25">
      <c r="A9" s="136"/>
      <c r="B9" s="31" t="s">
        <v>417</v>
      </c>
      <c r="C9" s="155" t="s">
        <v>419</v>
      </c>
      <c r="D9" s="156">
        <v>7000000</v>
      </c>
      <c r="E9" s="157"/>
      <c r="F9" s="157"/>
      <c r="G9" s="756" t="s">
        <v>418</v>
      </c>
    </row>
    <row r="10" spans="1:7" ht="25.5" x14ac:dyDescent="0.25">
      <c r="A10" s="135"/>
      <c r="B10" s="135" t="s">
        <v>444</v>
      </c>
      <c r="C10" s="158" t="s">
        <v>445</v>
      </c>
      <c r="D10" s="151">
        <v>2000000</v>
      </c>
      <c r="E10" s="152"/>
      <c r="F10" s="152"/>
      <c r="G10" s="757"/>
    </row>
    <row r="11" spans="1:7" hidden="1" x14ac:dyDescent="0.25">
      <c r="A11" s="135"/>
      <c r="B11" s="135"/>
      <c r="C11" s="135"/>
      <c r="D11" s="151"/>
      <c r="E11" s="152"/>
      <c r="F11" s="152"/>
      <c r="G11" s="757"/>
    </row>
    <row r="12" spans="1:7" hidden="1" x14ac:dyDescent="0.25">
      <c r="A12" s="135"/>
      <c r="B12" s="135"/>
      <c r="C12" s="135"/>
      <c r="D12" s="151"/>
      <c r="E12" s="152"/>
      <c r="F12" s="152"/>
      <c r="G12" s="757"/>
    </row>
    <row r="13" spans="1:7" hidden="1" x14ac:dyDescent="0.25">
      <c r="A13" s="135"/>
      <c r="B13" s="135"/>
      <c r="C13" s="135"/>
      <c r="D13" s="151"/>
      <c r="E13" s="152"/>
      <c r="F13" s="152"/>
      <c r="G13" s="758"/>
    </row>
    <row r="14" spans="1:7" s="138" customFormat="1" x14ac:dyDescent="0.25">
      <c r="A14" s="137"/>
      <c r="B14" s="136" t="s">
        <v>204</v>
      </c>
      <c r="C14" s="136"/>
      <c r="D14" s="153">
        <f>D15+D16+D17+D18+D19+D20+D21</f>
        <v>700890</v>
      </c>
      <c r="E14" s="153">
        <f t="shared" ref="E14:F14" si="2">E15+E16+E17+E18+E19+E20+E21</f>
        <v>0</v>
      </c>
      <c r="F14" s="153">
        <f t="shared" si="2"/>
        <v>0</v>
      </c>
      <c r="G14" s="136"/>
    </row>
    <row r="15" spans="1:7" ht="31.5" customHeight="1" x14ac:dyDescent="0.25">
      <c r="A15" s="119"/>
      <c r="B15" s="135" t="s">
        <v>447</v>
      </c>
      <c r="C15" s="159" t="s">
        <v>449</v>
      </c>
      <c r="D15" s="151">
        <v>2900000</v>
      </c>
      <c r="E15" s="152"/>
      <c r="F15" s="152"/>
      <c r="G15" s="768" t="s">
        <v>488</v>
      </c>
    </row>
    <row r="16" spans="1:7" ht="22.5" x14ac:dyDescent="0.25">
      <c r="A16" s="119"/>
      <c r="B16" s="135" t="s">
        <v>448</v>
      </c>
      <c r="C16" s="158" t="s">
        <v>450</v>
      </c>
      <c r="D16" s="151">
        <v>3700000</v>
      </c>
      <c r="E16" s="152"/>
      <c r="F16" s="152"/>
      <c r="G16" s="769"/>
    </row>
    <row r="17" spans="1:7" ht="22.5" x14ac:dyDescent="0.25">
      <c r="A17" s="119"/>
      <c r="B17" s="135" t="s">
        <v>446</v>
      </c>
      <c r="C17" s="158" t="s">
        <v>453</v>
      </c>
      <c r="D17" s="151">
        <v>-2356000</v>
      </c>
      <c r="E17" s="160"/>
      <c r="F17" s="160"/>
      <c r="G17" s="769"/>
    </row>
    <row r="18" spans="1:7" ht="25.5" x14ac:dyDescent="0.25">
      <c r="A18" s="119"/>
      <c r="B18" s="135" t="s">
        <v>434</v>
      </c>
      <c r="C18" s="158" t="s">
        <v>436</v>
      </c>
      <c r="D18" s="151">
        <v>-190000</v>
      </c>
      <c r="E18" s="152"/>
      <c r="F18" s="152"/>
      <c r="G18" s="769"/>
    </row>
    <row r="19" spans="1:7" ht="22.5" x14ac:dyDescent="0.25">
      <c r="A19" s="119"/>
      <c r="B19" s="135" t="s">
        <v>223</v>
      </c>
      <c r="C19" s="158" t="s">
        <v>451</v>
      </c>
      <c r="D19" s="151">
        <v>4970000</v>
      </c>
      <c r="E19" s="152"/>
      <c r="F19" s="152"/>
      <c r="G19" s="769"/>
    </row>
    <row r="20" spans="1:7" ht="22.5" x14ac:dyDescent="0.25">
      <c r="A20" s="119"/>
      <c r="B20" s="135" t="s">
        <v>224</v>
      </c>
      <c r="C20" s="161" t="s">
        <v>452</v>
      </c>
      <c r="D20" s="151">
        <v>-16100000</v>
      </c>
      <c r="E20" s="152"/>
      <c r="F20" s="152"/>
      <c r="G20" s="769"/>
    </row>
    <row r="21" spans="1:7" ht="22.5" x14ac:dyDescent="0.25">
      <c r="A21" s="119"/>
      <c r="B21" s="135" t="s">
        <v>225</v>
      </c>
      <c r="C21" s="158" t="s">
        <v>489</v>
      </c>
      <c r="D21" s="151">
        <v>7776890</v>
      </c>
      <c r="E21" s="152"/>
      <c r="F21" s="152"/>
      <c r="G21" s="135"/>
    </row>
    <row r="22" spans="1:7" x14ac:dyDescent="0.25">
      <c r="A22" s="117"/>
      <c r="B22" s="134" t="s">
        <v>205</v>
      </c>
      <c r="C22" s="134"/>
      <c r="D22" s="149">
        <f>D23+D123</f>
        <v>-2173155</v>
      </c>
      <c r="E22" s="149">
        <f t="shared" ref="E22:F22" si="3">E23+E123</f>
        <v>54258256</v>
      </c>
      <c r="F22" s="149">
        <f t="shared" si="3"/>
        <v>19070057</v>
      </c>
      <c r="G22" s="118"/>
    </row>
    <row r="23" spans="1:7" ht="25.5" x14ac:dyDescent="0.25">
      <c r="A23" s="117"/>
      <c r="B23" s="134" t="s">
        <v>409</v>
      </c>
      <c r="C23" s="134"/>
      <c r="D23" s="149">
        <f>D24+D26+D35+D72</f>
        <v>-2173155</v>
      </c>
      <c r="E23" s="149">
        <f t="shared" ref="E23:F23" si="4">E24+E26+E35+E72</f>
        <v>54258256</v>
      </c>
      <c r="F23" s="149">
        <f t="shared" si="4"/>
        <v>19070057</v>
      </c>
      <c r="G23" s="118"/>
    </row>
    <row r="24" spans="1:7" ht="31.5" customHeight="1" x14ac:dyDescent="0.25">
      <c r="A24" s="117"/>
      <c r="B24" s="668" t="s">
        <v>213</v>
      </c>
      <c r="C24" s="669"/>
      <c r="D24" s="149">
        <f>D25</f>
        <v>3000000</v>
      </c>
      <c r="E24" s="149">
        <f t="shared" ref="E24:F24" si="5">E25</f>
        <v>0</v>
      </c>
      <c r="F24" s="149">
        <f t="shared" si="5"/>
        <v>0</v>
      </c>
      <c r="G24" s="134"/>
    </row>
    <row r="25" spans="1:7" ht="56.25" customHeight="1" x14ac:dyDescent="0.25">
      <c r="A25" s="117"/>
      <c r="B25" s="671" t="s">
        <v>420</v>
      </c>
      <c r="C25" s="672" t="s">
        <v>503</v>
      </c>
      <c r="D25" s="673">
        <v>3000000</v>
      </c>
      <c r="E25" s="670"/>
      <c r="F25" s="670"/>
      <c r="G25" s="150" t="s">
        <v>504</v>
      </c>
    </row>
    <row r="26" spans="1:7" ht="40.5" x14ac:dyDescent="0.25">
      <c r="A26" s="121"/>
      <c r="B26" s="136" t="s">
        <v>81</v>
      </c>
      <c r="C26" s="162"/>
      <c r="D26" s="153">
        <f>D27+D28+D29+D30+D31+D32+D33+D34</f>
        <v>2495307</v>
      </c>
      <c r="E26" s="153">
        <f>E29+E31+E32+E33</f>
        <v>0</v>
      </c>
      <c r="F26" s="153">
        <f>F29+F31+F32+F33</f>
        <v>0</v>
      </c>
      <c r="G26" s="154"/>
    </row>
    <row r="27" spans="1:7" ht="30" customHeight="1" x14ac:dyDescent="0.25">
      <c r="A27" s="121"/>
      <c r="B27" s="31" t="s">
        <v>506</v>
      </c>
      <c r="C27" s="163" t="s">
        <v>505</v>
      </c>
      <c r="D27" s="156">
        <v>-567</v>
      </c>
      <c r="E27" s="156"/>
      <c r="F27" s="156"/>
      <c r="G27" s="674"/>
    </row>
    <row r="28" spans="1:7" ht="25.5" x14ac:dyDescent="0.25">
      <c r="A28" s="121"/>
      <c r="B28" s="31" t="s">
        <v>454</v>
      </c>
      <c r="C28" s="163" t="s">
        <v>455</v>
      </c>
      <c r="D28" s="156">
        <v>2944268</v>
      </c>
      <c r="E28" s="164"/>
      <c r="F28" s="164"/>
      <c r="G28" s="765" t="s">
        <v>388</v>
      </c>
    </row>
    <row r="29" spans="1:7" ht="38.25" x14ac:dyDescent="0.25">
      <c r="A29" s="121"/>
      <c r="B29" s="31" t="s">
        <v>456</v>
      </c>
      <c r="C29" s="163" t="s">
        <v>457</v>
      </c>
      <c r="D29" s="156">
        <v>225070</v>
      </c>
      <c r="E29" s="156">
        <v>0</v>
      </c>
      <c r="F29" s="156"/>
      <c r="G29" s="766"/>
    </row>
    <row r="30" spans="1:7" ht="15" hidden="1" customHeight="1" x14ac:dyDescent="0.25">
      <c r="A30" s="121"/>
      <c r="B30" s="31"/>
      <c r="C30" s="163"/>
      <c r="D30" s="156"/>
      <c r="E30" s="156"/>
      <c r="F30" s="156"/>
      <c r="G30" s="766"/>
    </row>
    <row r="31" spans="1:7" ht="15" hidden="1" customHeight="1" x14ac:dyDescent="0.25">
      <c r="A31" s="119"/>
      <c r="B31" s="135"/>
      <c r="C31" s="159"/>
      <c r="D31" s="151"/>
      <c r="E31" s="165"/>
      <c r="F31" s="166"/>
      <c r="G31" s="766"/>
    </row>
    <row r="32" spans="1:7" ht="15" hidden="1" customHeight="1" x14ac:dyDescent="0.25">
      <c r="A32" s="119"/>
      <c r="B32" s="135"/>
      <c r="C32" s="159"/>
      <c r="D32" s="151"/>
      <c r="E32" s="165"/>
      <c r="F32" s="166"/>
      <c r="G32" s="766"/>
    </row>
    <row r="33" spans="1:7" ht="10.5" hidden="1" customHeight="1" x14ac:dyDescent="0.25">
      <c r="A33" s="119"/>
      <c r="B33" s="135"/>
      <c r="C33" s="159"/>
      <c r="D33" s="151"/>
      <c r="E33" s="165"/>
      <c r="F33" s="166"/>
      <c r="G33" s="766"/>
    </row>
    <row r="34" spans="1:7" ht="38.25" customHeight="1" x14ac:dyDescent="0.25">
      <c r="A34" s="123"/>
      <c r="B34" s="167" t="s">
        <v>537</v>
      </c>
      <c r="C34" s="747" t="s">
        <v>538</v>
      </c>
      <c r="D34" s="156">
        <v>-673464</v>
      </c>
      <c r="E34" s="168"/>
      <c r="F34" s="168"/>
      <c r="G34" s="767"/>
    </row>
    <row r="35" spans="1:7" ht="27" x14ac:dyDescent="0.25">
      <c r="A35" s="121"/>
      <c r="B35" s="136" t="s">
        <v>82</v>
      </c>
      <c r="C35" s="136"/>
      <c r="D35" s="153">
        <f>D36+D37+D38+D39+D40+D41+D42+D43+D44+D45+D46+D47+D48+D49+D50+D51+D52+D53+D54+D55+D56+D57+D58+D59+D60+D61+D62+D63+D64+D65+D66</f>
        <v>-1094728</v>
      </c>
      <c r="E35" s="153">
        <f t="shared" ref="E35:F35" si="6">E36+E38+E39+E40+E41+E42+E43+E44+E45+E46+E47+E48+E49+E50+E51+E52+E53+E54+E55+E57+E61+E62+E63+E64+E65+E66</f>
        <v>0</v>
      </c>
      <c r="F35" s="153">
        <f t="shared" si="6"/>
        <v>0</v>
      </c>
      <c r="G35" s="122"/>
    </row>
    <row r="36" spans="1:7" ht="25.5" x14ac:dyDescent="0.25">
      <c r="A36" s="121"/>
      <c r="B36" s="31" t="s">
        <v>226</v>
      </c>
      <c r="C36" s="155" t="s">
        <v>421</v>
      </c>
      <c r="D36" s="169">
        <v>4816000</v>
      </c>
      <c r="E36" s="129"/>
      <c r="F36" s="129"/>
      <c r="G36" s="765" t="s">
        <v>388</v>
      </c>
    </row>
    <row r="37" spans="1:7" ht="25.5" x14ac:dyDescent="0.25">
      <c r="A37" s="121"/>
      <c r="B37" s="31" t="s">
        <v>523</v>
      </c>
      <c r="C37" s="155" t="s">
        <v>518</v>
      </c>
      <c r="D37" s="169">
        <v>1700000</v>
      </c>
      <c r="E37" s="129"/>
      <c r="F37" s="129"/>
      <c r="G37" s="766"/>
    </row>
    <row r="38" spans="1:7" ht="51" x14ac:dyDescent="0.25">
      <c r="A38" s="121"/>
      <c r="B38" s="31" t="s">
        <v>458</v>
      </c>
      <c r="C38" s="155" t="s">
        <v>459</v>
      </c>
      <c r="D38" s="169">
        <v>-2384160</v>
      </c>
      <c r="E38" s="129"/>
      <c r="F38" s="129"/>
      <c r="G38" s="766"/>
    </row>
    <row r="39" spans="1:7" ht="38.25" x14ac:dyDescent="0.25">
      <c r="A39" s="121"/>
      <c r="B39" s="31" t="s">
        <v>461</v>
      </c>
      <c r="C39" s="155" t="s">
        <v>460</v>
      </c>
      <c r="D39" s="169">
        <f>80000+3048</f>
        <v>83048</v>
      </c>
      <c r="E39" s="129"/>
      <c r="F39" s="129"/>
      <c r="G39" s="766"/>
    </row>
    <row r="40" spans="1:7" ht="51" x14ac:dyDescent="0.25">
      <c r="A40" s="121"/>
      <c r="B40" s="31" t="s">
        <v>462</v>
      </c>
      <c r="C40" s="155" t="s">
        <v>470</v>
      </c>
      <c r="D40" s="169">
        <v>-4412532</v>
      </c>
      <c r="E40" s="129"/>
      <c r="F40" s="129"/>
      <c r="G40" s="766"/>
    </row>
    <row r="41" spans="1:7" ht="25.5" x14ac:dyDescent="0.25">
      <c r="A41" s="121"/>
      <c r="B41" s="31" t="s">
        <v>463</v>
      </c>
      <c r="C41" s="155" t="s">
        <v>471</v>
      </c>
      <c r="D41" s="169">
        <v>-912577</v>
      </c>
      <c r="E41" s="129"/>
      <c r="F41" s="129"/>
      <c r="G41" s="766"/>
    </row>
    <row r="42" spans="1:7" ht="25.5" x14ac:dyDescent="0.25">
      <c r="A42" s="121"/>
      <c r="B42" s="31" t="s">
        <v>464</v>
      </c>
      <c r="C42" s="155" t="s">
        <v>472</v>
      </c>
      <c r="D42" s="169">
        <f>12095533+1301410</f>
        <v>13396943</v>
      </c>
      <c r="E42" s="129"/>
      <c r="F42" s="129"/>
      <c r="G42" s="766"/>
    </row>
    <row r="43" spans="1:7" ht="25.5" x14ac:dyDescent="0.25">
      <c r="A43" s="121"/>
      <c r="B43" s="31" t="s">
        <v>465</v>
      </c>
      <c r="C43" s="155" t="s">
        <v>473</v>
      </c>
      <c r="D43" s="169">
        <f>8916179+1848017</f>
        <v>10764196</v>
      </c>
      <c r="E43" s="129"/>
      <c r="F43" s="129"/>
      <c r="G43" s="766"/>
    </row>
    <row r="44" spans="1:7" ht="27.75" customHeight="1" x14ac:dyDescent="0.25">
      <c r="A44" s="121"/>
      <c r="B44" s="31" t="s">
        <v>466</v>
      </c>
      <c r="C44" s="155" t="s">
        <v>474</v>
      </c>
      <c r="D44" s="169">
        <v>-767984</v>
      </c>
      <c r="E44" s="129"/>
      <c r="F44" s="129"/>
      <c r="G44" s="766"/>
    </row>
    <row r="45" spans="1:7" ht="38.25" x14ac:dyDescent="0.25">
      <c r="A45" s="121"/>
      <c r="B45" s="31" t="s">
        <v>467</v>
      </c>
      <c r="C45" s="155" t="s">
        <v>475</v>
      </c>
      <c r="D45" s="169">
        <v>-7912004</v>
      </c>
      <c r="E45" s="129"/>
      <c r="F45" s="129"/>
      <c r="G45" s="766"/>
    </row>
    <row r="46" spans="1:7" ht="17.25" customHeight="1" x14ac:dyDescent="0.25">
      <c r="A46" s="121"/>
      <c r="B46" s="31" t="s">
        <v>468</v>
      </c>
      <c r="C46" s="155" t="s">
        <v>476</v>
      </c>
      <c r="D46" s="169">
        <v>-2176798</v>
      </c>
      <c r="E46" s="129"/>
      <c r="F46" s="129"/>
      <c r="G46" s="766"/>
    </row>
    <row r="47" spans="1:7" ht="63.75" customHeight="1" x14ac:dyDescent="0.25">
      <c r="A47" s="121"/>
      <c r="B47" s="31" t="s">
        <v>469</v>
      </c>
      <c r="C47" s="155" t="s">
        <v>477</v>
      </c>
      <c r="D47" s="169">
        <v>1527941</v>
      </c>
      <c r="E47" s="129"/>
      <c r="F47" s="129"/>
      <c r="G47" s="766"/>
    </row>
    <row r="48" spans="1:7" ht="16.5" customHeight="1" x14ac:dyDescent="0.25">
      <c r="A48" s="119"/>
      <c r="B48" s="170" t="s">
        <v>479</v>
      </c>
      <c r="C48" s="171" t="s">
        <v>478</v>
      </c>
      <c r="D48" s="172">
        <v>-2650000</v>
      </c>
      <c r="E48" s="124"/>
      <c r="F48" s="124"/>
      <c r="G48" s="759" t="s">
        <v>388</v>
      </c>
    </row>
    <row r="49" spans="1:7" ht="51" x14ac:dyDescent="0.25">
      <c r="A49" s="119"/>
      <c r="B49" s="170" t="s">
        <v>392</v>
      </c>
      <c r="C49" s="171" t="s">
        <v>393</v>
      </c>
      <c r="D49" s="172">
        <v>-390000</v>
      </c>
      <c r="E49" s="124"/>
      <c r="F49" s="124"/>
      <c r="G49" s="759"/>
    </row>
    <row r="50" spans="1:7" ht="38.25" x14ac:dyDescent="0.25">
      <c r="A50" s="119"/>
      <c r="B50" s="170" t="s">
        <v>512</v>
      </c>
      <c r="C50" s="171" t="s">
        <v>507</v>
      </c>
      <c r="D50" s="172">
        <v>-410686</v>
      </c>
      <c r="E50" s="124"/>
      <c r="F50" s="124"/>
      <c r="G50" s="759"/>
    </row>
    <row r="51" spans="1:7" ht="38.25" x14ac:dyDescent="0.25">
      <c r="A51" s="119"/>
      <c r="B51" s="170" t="s">
        <v>513</v>
      </c>
      <c r="C51" s="171" t="s">
        <v>508</v>
      </c>
      <c r="D51" s="172">
        <v>-120000</v>
      </c>
      <c r="E51" s="124"/>
      <c r="F51" s="124"/>
      <c r="G51" s="759"/>
    </row>
    <row r="52" spans="1:7" ht="25.5" x14ac:dyDescent="0.25">
      <c r="A52" s="119"/>
      <c r="B52" s="170" t="s">
        <v>481</v>
      </c>
      <c r="C52" s="171" t="s">
        <v>480</v>
      </c>
      <c r="D52" s="172">
        <v>-36808</v>
      </c>
      <c r="E52" s="124"/>
      <c r="F52" s="124"/>
      <c r="G52" s="759"/>
    </row>
    <row r="53" spans="1:7" ht="51" x14ac:dyDescent="0.25">
      <c r="A53" s="119"/>
      <c r="B53" s="170" t="s">
        <v>514</v>
      </c>
      <c r="C53" s="171" t="s">
        <v>509</v>
      </c>
      <c r="D53" s="172">
        <v>-890</v>
      </c>
      <c r="E53" s="124"/>
      <c r="F53" s="124"/>
      <c r="G53" s="759"/>
    </row>
    <row r="54" spans="1:7" ht="28.5" customHeight="1" x14ac:dyDescent="0.25">
      <c r="A54" s="119"/>
      <c r="B54" s="170" t="s">
        <v>395</v>
      </c>
      <c r="C54" s="171" t="s">
        <v>394</v>
      </c>
      <c r="D54" s="172">
        <v>-750000</v>
      </c>
      <c r="E54" s="124"/>
      <c r="F54" s="124"/>
      <c r="G54" s="759"/>
    </row>
    <row r="55" spans="1:7" ht="42.75" customHeight="1" x14ac:dyDescent="0.25">
      <c r="A55" s="119"/>
      <c r="B55" s="170" t="s">
        <v>482</v>
      </c>
      <c r="C55" s="171" t="s">
        <v>277</v>
      </c>
      <c r="D55" s="172">
        <v>2552376</v>
      </c>
      <c r="E55" s="124"/>
      <c r="F55" s="124"/>
      <c r="G55" s="759"/>
    </row>
    <row r="56" spans="1:7" ht="55.5" customHeight="1" x14ac:dyDescent="0.25">
      <c r="A56" s="119"/>
      <c r="B56" s="170" t="s">
        <v>524</v>
      </c>
      <c r="C56" s="171" t="s">
        <v>519</v>
      </c>
      <c r="D56" s="172">
        <v>14107</v>
      </c>
      <c r="E56" s="124"/>
      <c r="F56" s="124"/>
      <c r="G56" s="759"/>
    </row>
    <row r="57" spans="1:7" ht="72" customHeight="1" x14ac:dyDescent="0.25">
      <c r="A57" s="119"/>
      <c r="B57" s="170" t="s">
        <v>391</v>
      </c>
      <c r="C57" s="171" t="s">
        <v>390</v>
      </c>
      <c r="D57" s="172">
        <v>45737</v>
      </c>
      <c r="E57" s="120"/>
      <c r="F57" s="120"/>
      <c r="G57" s="759"/>
    </row>
    <row r="58" spans="1:7" ht="43.5" customHeight="1" x14ac:dyDescent="0.25">
      <c r="A58" s="119"/>
      <c r="B58" s="170" t="s">
        <v>525</v>
      </c>
      <c r="C58" s="171" t="s">
        <v>520</v>
      </c>
      <c r="D58" s="172">
        <v>-920000</v>
      </c>
      <c r="E58" s="120"/>
      <c r="F58" s="120"/>
      <c r="G58" s="759"/>
    </row>
    <row r="59" spans="1:7" ht="44.25" customHeight="1" x14ac:dyDescent="0.25">
      <c r="A59" s="119"/>
      <c r="B59" s="170" t="s">
        <v>526</v>
      </c>
      <c r="C59" s="171" t="s">
        <v>521</v>
      </c>
      <c r="D59" s="172">
        <v>-251364</v>
      </c>
      <c r="E59" s="120"/>
      <c r="F59" s="120"/>
      <c r="G59" s="759"/>
    </row>
    <row r="60" spans="1:7" ht="72" customHeight="1" x14ac:dyDescent="0.25">
      <c r="A60" s="119"/>
      <c r="B60" s="170" t="s">
        <v>527</v>
      </c>
      <c r="C60" s="171" t="s">
        <v>522</v>
      </c>
      <c r="D60" s="172">
        <v>-84633</v>
      </c>
      <c r="E60" s="120"/>
      <c r="F60" s="120"/>
      <c r="G60" s="759"/>
    </row>
    <row r="61" spans="1:7" ht="38.25" x14ac:dyDescent="0.25">
      <c r="A61" s="119"/>
      <c r="B61" s="170" t="s">
        <v>422</v>
      </c>
      <c r="C61" s="171" t="s">
        <v>278</v>
      </c>
      <c r="D61" s="172">
        <v>-11905317</v>
      </c>
      <c r="E61" s="124"/>
      <c r="F61" s="124"/>
      <c r="G61" s="759"/>
    </row>
    <row r="62" spans="1:7" ht="58.5" customHeight="1" x14ac:dyDescent="0.25">
      <c r="A62" s="119"/>
      <c r="B62" s="167" t="s">
        <v>279</v>
      </c>
      <c r="C62" s="173" t="s">
        <v>280</v>
      </c>
      <c r="D62" s="172">
        <f>(-173100-252176)</f>
        <v>-425276</v>
      </c>
      <c r="E62" s="120"/>
      <c r="F62" s="120"/>
      <c r="G62" s="759"/>
    </row>
    <row r="63" spans="1:7" ht="54.75" customHeight="1" x14ac:dyDescent="0.25">
      <c r="A63" s="119"/>
      <c r="B63" s="170" t="s">
        <v>484</v>
      </c>
      <c r="C63" s="171" t="s">
        <v>483</v>
      </c>
      <c r="D63" s="172">
        <v>-2900238</v>
      </c>
      <c r="E63" s="124"/>
      <c r="F63" s="124"/>
      <c r="G63" s="759"/>
    </row>
    <row r="64" spans="1:7" ht="30.75" customHeight="1" x14ac:dyDescent="0.25">
      <c r="A64" s="119"/>
      <c r="B64" s="170" t="s">
        <v>511</v>
      </c>
      <c r="C64" s="171" t="s">
        <v>510</v>
      </c>
      <c r="D64" s="172">
        <v>-4207</v>
      </c>
      <c r="E64" s="124"/>
      <c r="F64" s="124"/>
      <c r="G64" s="759"/>
    </row>
    <row r="65" spans="1:7" ht="51" x14ac:dyDescent="0.25">
      <c r="A65" s="119"/>
      <c r="B65" s="170" t="s">
        <v>486</v>
      </c>
      <c r="C65" s="171" t="s">
        <v>485</v>
      </c>
      <c r="D65" s="172">
        <v>3247000</v>
      </c>
      <c r="E65" s="124"/>
      <c r="F65" s="124"/>
      <c r="G65" s="759"/>
    </row>
    <row r="66" spans="1:7" ht="26.25" customHeight="1" x14ac:dyDescent="0.25">
      <c r="A66" s="119"/>
      <c r="B66" s="170" t="s">
        <v>246</v>
      </c>
      <c r="C66" s="171" t="s">
        <v>487</v>
      </c>
      <c r="D66" s="172">
        <v>173398</v>
      </c>
      <c r="E66" s="120"/>
      <c r="F66" s="120"/>
      <c r="G66" s="759"/>
    </row>
    <row r="67" spans="1:7" hidden="1" x14ac:dyDescent="0.25">
      <c r="A67" s="119"/>
      <c r="B67" s="126"/>
      <c r="C67" s="126"/>
      <c r="D67" s="125"/>
      <c r="E67" s="124"/>
      <c r="F67" s="124"/>
      <c r="G67" s="759"/>
    </row>
    <row r="68" spans="1:7" hidden="1" x14ac:dyDescent="0.25">
      <c r="A68" s="119"/>
      <c r="B68" s="126"/>
      <c r="C68" s="126"/>
      <c r="D68" s="130"/>
      <c r="E68" s="124"/>
      <c r="F68" s="124"/>
      <c r="G68" s="759"/>
    </row>
    <row r="69" spans="1:7" hidden="1" x14ac:dyDescent="0.25">
      <c r="A69" s="119"/>
      <c r="B69" s="126"/>
      <c r="C69" s="126"/>
      <c r="D69" s="130"/>
      <c r="E69" s="124"/>
      <c r="F69" s="124"/>
      <c r="G69" s="759"/>
    </row>
    <row r="70" spans="1:7" hidden="1" x14ac:dyDescent="0.25">
      <c r="A70" s="119"/>
      <c r="B70" s="126"/>
      <c r="C70" s="126"/>
      <c r="D70" s="130"/>
      <c r="E70" s="124"/>
      <c r="F70" s="124"/>
      <c r="G70" s="759"/>
    </row>
    <row r="71" spans="1:7" hidden="1" x14ac:dyDescent="0.25">
      <c r="A71" s="119"/>
      <c r="B71" s="126"/>
      <c r="C71" s="126"/>
      <c r="D71" s="130"/>
      <c r="E71" s="124"/>
      <c r="F71" s="124"/>
      <c r="G71" s="131"/>
    </row>
    <row r="72" spans="1:7" x14ac:dyDescent="0.25">
      <c r="A72" s="132"/>
      <c r="B72" s="679" t="s">
        <v>84</v>
      </c>
      <c r="C72" s="679"/>
      <c r="D72" s="680">
        <f>D73+D122</f>
        <v>-6573734</v>
      </c>
      <c r="E72" s="680">
        <f t="shared" ref="E72:F72" si="7">E73</f>
        <v>54258256</v>
      </c>
      <c r="F72" s="680">
        <f t="shared" si="7"/>
        <v>19070057</v>
      </c>
      <c r="G72" s="154"/>
    </row>
    <row r="73" spans="1:7" ht="39.75" customHeight="1" x14ac:dyDescent="0.25">
      <c r="A73" s="133"/>
      <c r="B73" s="136" t="s">
        <v>196</v>
      </c>
      <c r="C73" s="136"/>
      <c r="D73" s="681">
        <f>D80+D81+D82+D83+D84+D87+D91+D92+D93+D94+D95+D98+D99+D103+D104+D105+D106+D107+D108+D109+D111+D112+D114+D117+D118+D119+D120</f>
        <v>-6466587</v>
      </c>
      <c r="E73" s="681">
        <f>SUM(E74:E121)</f>
        <v>54258256</v>
      </c>
      <c r="F73" s="681">
        <f>SUM(F74:F121)</f>
        <v>19070057</v>
      </c>
      <c r="G73" s="154"/>
    </row>
    <row r="74" spans="1:7" ht="38.25" hidden="1" x14ac:dyDescent="0.25">
      <c r="A74" s="133"/>
      <c r="B74" s="682" t="s">
        <v>337</v>
      </c>
      <c r="C74" s="683" t="s">
        <v>284</v>
      </c>
      <c r="D74" s="684"/>
      <c r="E74" s="684"/>
      <c r="F74" s="684"/>
      <c r="G74" s="678"/>
    </row>
    <row r="75" spans="1:7" ht="63.75" hidden="1" x14ac:dyDescent="0.25">
      <c r="A75" s="133"/>
      <c r="B75" s="682" t="s">
        <v>287</v>
      </c>
      <c r="C75" s="683" t="s">
        <v>285</v>
      </c>
      <c r="D75" s="684"/>
      <c r="E75" s="684"/>
      <c r="F75" s="684"/>
      <c r="G75" s="678"/>
    </row>
    <row r="76" spans="1:7" ht="51" hidden="1" x14ac:dyDescent="0.25">
      <c r="A76" s="133"/>
      <c r="B76" s="682" t="s">
        <v>353</v>
      </c>
      <c r="C76" s="683" t="s">
        <v>351</v>
      </c>
      <c r="D76" s="684"/>
      <c r="E76" s="684"/>
      <c r="F76" s="684"/>
      <c r="G76" s="762"/>
    </row>
    <row r="77" spans="1:7" ht="63.75" hidden="1" x14ac:dyDescent="0.25">
      <c r="A77" s="133"/>
      <c r="B77" s="682" t="s">
        <v>259</v>
      </c>
      <c r="C77" s="683" t="s">
        <v>283</v>
      </c>
      <c r="D77" s="684"/>
      <c r="E77" s="685"/>
      <c r="F77" s="685"/>
      <c r="G77" s="763"/>
    </row>
    <row r="78" spans="1:7" ht="25.5" hidden="1" x14ac:dyDescent="0.25">
      <c r="A78" s="133"/>
      <c r="B78" s="682" t="s">
        <v>354</v>
      </c>
      <c r="C78" s="683" t="s">
        <v>352</v>
      </c>
      <c r="D78" s="684"/>
      <c r="E78" s="685"/>
      <c r="F78" s="685"/>
      <c r="G78" s="763"/>
    </row>
    <row r="79" spans="1:7" ht="51" hidden="1" x14ac:dyDescent="0.25">
      <c r="A79" s="133"/>
      <c r="B79" s="682" t="s">
        <v>256</v>
      </c>
      <c r="C79" s="683" t="s">
        <v>286</v>
      </c>
      <c r="D79" s="684"/>
      <c r="E79" s="685"/>
      <c r="F79" s="685"/>
      <c r="G79" s="763"/>
    </row>
    <row r="80" spans="1:7" ht="63.75" x14ac:dyDescent="0.25">
      <c r="A80" s="133"/>
      <c r="B80" s="682" t="s">
        <v>530</v>
      </c>
      <c r="C80" s="683" t="s">
        <v>285</v>
      </c>
      <c r="D80" s="684">
        <v>-239680</v>
      </c>
      <c r="E80" s="685"/>
      <c r="F80" s="685"/>
      <c r="G80" s="763"/>
    </row>
    <row r="81" spans="1:7" ht="63.75" x14ac:dyDescent="0.25">
      <c r="A81" s="133"/>
      <c r="B81" s="682" t="s">
        <v>288</v>
      </c>
      <c r="C81" s="683" t="s">
        <v>289</v>
      </c>
      <c r="D81" s="156">
        <v>-460000</v>
      </c>
      <c r="E81" s="685"/>
      <c r="F81" s="685"/>
      <c r="G81" s="763"/>
    </row>
    <row r="82" spans="1:7" ht="38.25" x14ac:dyDescent="0.25">
      <c r="A82" s="133"/>
      <c r="B82" s="682" t="s">
        <v>356</v>
      </c>
      <c r="C82" s="683" t="s">
        <v>355</v>
      </c>
      <c r="D82" s="156">
        <v>-200000</v>
      </c>
      <c r="E82" s="685"/>
      <c r="F82" s="685"/>
      <c r="G82" s="763"/>
    </row>
    <row r="83" spans="1:7" ht="38.25" x14ac:dyDescent="0.25">
      <c r="A83" s="133"/>
      <c r="B83" s="682" t="s">
        <v>268</v>
      </c>
      <c r="C83" s="683" t="s">
        <v>290</v>
      </c>
      <c r="D83" s="156">
        <v>-423653</v>
      </c>
      <c r="E83" s="156">
        <v>-6721120</v>
      </c>
      <c r="F83" s="685"/>
      <c r="G83" s="763"/>
    </row>
    <row r="84" spans="1:7" ht="38.25" x14ac:dyDescent="0.25">
      <c r="A84" s="133"/>
      <c r="B84" s="682" t="s">
        <v>338</v>
      </c>
      <c r="C84" s="683" t="s">
        <v>322</v>
      </c>
      <c r="D84" s="156">
        <v>1035343</v>
      </c>
      <c r="E84" s="685"/>
      <c r="F84" s="685"/>
      <c r="G84" s="763"/>
    </row>
    <row r="85" spans="1:7" ht="38.25" hidden="1" x14ac:dyDescent="0.25">
      <c r="A85" s="133"/>
      <c r="B85" s="682" t="s">
        <v>291</v>
      </c>
      <c r="C85" s="683" t="s">
        <v>292</v>
      </c>
      <c r="D85" s="729"/>
      <c r="E85" s="685"/>
      <c r="F85" s="685"/>
      <c r="G85" s="763"/>
    </row>
    <row r="86" spans="1:7" ht="38.25" hidden="1" x14ac:dyDescent="0.25">
      <c r="A86" s="133"/>
      <c r="B86" s="682" t="s">
        <v>339</v>
      </c>
      <c r="C86" s="683" t="s">
        <v>323</v>
      </c>
      <c r="D86" s="729"/>
      <c r="E86" s="685"/>
      <c r="F86" s="685"/>
      <c r="G86" s="763"/>
    </row>
    <row r="87" spans="1:7" ht="25.5" x14ac:dyDescent="0.25">
      <c r="A87" s="119"/>
      <c r="B87" s="686" t="s">
        <v>85</v>
      </c>
      <c r="C87" s="687" t="s">
        <v>293</v>
      </c>
      <c r="D87" s="172">
        <v>-91563</v>
      </c>
      <c r="E87" s="166"/>
      <c r="F87" s="166"/>
      <c r="G87" s="763"/>
    </row>
    <row r="88" spans="1:7" ht="25.5" hidden="1" x14ac:dyDescent="0.25">
      <c r="A88" s="119"/>
      <c r="B88" s="686" t="s">
        <v>242</v>
      </c>
      <c r="C88" s="687" t="s">
        <v>294</v>
      </c>
      <c r="D88" s="125"/>
      <c r="E88" s="166"/>
      <c r="F88" s="166"/>
      <c r="G88" s="763"/>
    </row>
    <row r="89" spans="1:7" ht="27.75" customHeight="1" x14ac:dyDescent="0.25">
      <c r="A89" s="119"/>
      <c r="B89" s="686" t="s">
        <v>269</v>
      </c>
      <c r="C89" s="687" t="s">
        <v>295</v>
      </c>
      <c r="D89" s="125"/>
      <c r="E89" s="156">
        <v>-3300000</v>
      </c>
      <c r="F89" s="166"/>
      <c r="G89" s="763"/>
    </row>
    <row r="90" spans="1:7" ht="30" hidden="1" customHeight="1" x14ac:dyDescent="0.25">
      <c r="A90" s="119"/>
      <c r="B90" s="686" t="s">
        <v>270</v>
      </c>
      <c r="C90" s="687" t="s">
        <v>324</v>
      </c>
      <c r="D90" s="125"/>
      <c r="E90" s="166"/>
      <c r="F90" s="166"/>
      <c r="G90" s="763"/>
    </row>
    <row r="91" spans="1:7" ht="38.25" x14ac:dyDescent="0.25">
      <c r="A91" s="119"/>
      <c r="B91" s="686" t="s">
        <v>271</v>
      </c>
      <c r="C91" s="687" t="s">
        <v>296</v>
      </c>
      <c r="D91" s="172">
        <v>-1018832</v>
      </c>
      <c r="E91" s="156">
        <v>-1592850</v>
      </c>
      <c r="F91" s="166"/>
      <c r="G91" s="763"/>
    </row>
    <row r="92" spans="1:7" ht="25.5" x14ac:dyDescent="0.25">
      <c r="A92" s="119"/>
      <c r="B92" s="686" t="s">
        <v>272</v>
      </c>
      <c r="C92" s="687" t="s">
        <v>297</v>
      </c>
      <c r="D92" s="172">
        <v>1740884</v>
      </c>
      <c r="E92" s="156">
        <v>-2332030</v>
      </c>
      <c r="F92" s="166"/>
      <c r="G92" s="763"/>
    </row>
    <row r="93" spans="1:7" ht="51" x14ac:dyDescent="0.25">
      <c r="A93" s="119"/>
      <c r="B93" s="170" t="s">
        <v>298</v>
      </c>
      <c r="C93" s="171" t="s">
        <v>299</v>
      </c>
      <c r="D93" s="172">
        <v>-390000</v>
      </c>
      <c r="E93" s="166"/>
      <c r="F93" s="166"/>
      <c r="G93" s="763"/>
    </row>
    <row r="94" spans="1:7" ht="25.5" x14ac:dyDescent="0.25">
      <c r="A94" s="119"/>
      <c r="B94" s="170" t="s">
        <v>300</v>
      </c>
      <c r="C94" s="171" t="s">
        <v>301</v>
      </c>
      <c r="D94" s="172">
        <v>-53555</v>
      </c>
      <c r="E94" s="166"/>
      <c r="F94" s="166"/>
      <c r="G94" s="763"/>
    </row>
    <row r="95" spans="1:7" ht="38.25" x14ac:dyDescent="0.25">
      <c r="A95" s="119"/>
      <c r="B95" s="170" t="s">
        <v>302</v>
      </c>
      <c r="C95" s="171" t="s">
        <v>303</v>
      </c>
      <c r="D95" s="172">
        <v>-719831</v>
      </c>
      <c r="E95" s="166"/>
      <c r="F95" s="166"/>
      <c r="G95" s="763"/>
    </row>
    <row r="96" spans="1:7" ht="51" hidden="1" x14ac:dyDescent="0.25">
      <c r="A96" s="119"/>
      <c r="B96" s="170" t="s">
        <v>380</v>
      </c>
      <c r="C96" s="171" t="s">
        <v>336</v>
      </c>
      <c r="D96" s="125"/>
      <c r="E96" s="166"/>
      <c r="F96" s="166"/>
      <c r="G96" s="763"/>
    </row>
    <row r="97" spans="1:7" ht="38.25" hidden="1" x14ac:dyDescent="0.25">
      <c r="A97" s="119"/>
      <c r="B97" s="170" t="s">
        <v>304</v>
      </c>
      <c r="C97" s="171" t="s">
        <v>305</v>
      </c>
      <c r="D97" s="125"/>
      <c r="E97" s="166"/>
      <c r="F97" s="166"/>
      <c r="G97" s="763"/>
    </row>
    <row r="98" spans="1:7" ht="51" x14ac:dyDescent="0.25">
      <c r="A98" s="119"/>
      <c r="B98" s="170" t="s">
        <v>306</v>
      </c>
      <c r="C98" s="171" t="s">
        <v>307</v>
      </c>
      <c r="D98" s="172">
        <v>25000</v>
      </c>
      <c r="E98" s="166"/>
      <c r="F98" s="166"/>
      <c r="G98" s="763"/>
    </row>
    <row r="99" spans="1:7" ht="38.25" x14ac:dyDescent="0.25">
      <c r="A99" s="119"/>
      <c r="B99" s="170" t="s">
        <v>86</v>
      </c>
      <c r="C99" s="171" t="s">
        <v>308</v>
      </c>
      <c r="D99" s="172">
        <v>-1293131</v>
      </c>
      <c r="E99" s="166">
        <v>8620000</v>
      </c>
      <c r="F99" s="166"/>
      <c r="G99" s="763"/>
    </row>
    <row r="100" spans="1:7" ht="25.5" hidden="1" x14ac:dyDescent="0.25">
      <c r="A100" s="119"/>
      <c r="B100" s="688" t="s">
        <v>340</v>
      </c>
      <c r="C100" s="689" t="s">
        <v>325</v>
      </c>
      <c r="D100" s="125"/>
      <c r="E100" s="166"/>
      <c r="F100" s="166"/>
      <c r="G100" s="763"/>
    </row>
    <row r="101" spans="1:7" ht="38.25" hidden="1" x14ac:dyDescent="0.25">
      <c r="A101" s="119"/>
      <c r="B101" s="170" t="s">
        <v>341</v>
      </c>
      <c r="C101" s="171" t="s">
        <v>326</v>
      </c>
      <c r="D101" s="730"/>
      <c r="E101" s="166"/>
      <c r="F101" s="166"/>
      <c r="G101" s="763"/>
    </row>
    <row r="102" spans="1:7" ht="25.5" hidden="1" x14ac:dyDescent="0.25">
      <c r="A102" s="119"/>
      <c r="B102" s="170" t="s">
        <v>350</v>
      </c>
      <c r="C102" s="171" t="s">
        <v>335</v>
      </c>
      <c r="D102" s="730"/>
      <c r="E102" s="166"/>
      <c r="F102" s="166"/>
      <c r="G102" s="763"/>
    </row>
    <row r="103" spans="1:7" ht="38.25" x14ac:dyDescent="0.25">
      <c r="A103" s="119"/>
      <c r="B103" s="170" t="s">
        <v>342</v>
      </c>
      <c r="C103" s="171" t="s">
        <v>327</v>
      </c>
      <c r="D103" s="690">
        <v>-100000</v>
      </c>
      <c r="E103" s="166"/>
      <c r="F103" s="166"/>
      <c r="G103" s="763"/>
    </row>
    <row r="104" spans="1:7" ht="38.25" x14ac:dyDescent="0.25">
      <c r="A104" s="119"/>
      <c r="B104" s="170" t="s">
        <v>309</v>
      </c>
      <c r="C104" s="171" t="s">
        <v>381</v>
      </c>
      <c r="D104" s="172">
        <v>-49363</v>
      </c>
      <c r="E104" s="166"/>
      <c r="F104" s="166"/>
      <c r="G104" s="763"/>
    </row>
    <row r="105" spans="1:7" ht="51" x14ac:dyDescent="0.25">
      <c r="A105" s="119"/>
      <c r="B105" s="170" t="s">
        <v>310</v>
      </c>
      <c r="C105" s="171" t="s">
        <v>311</v>
      </c>
      <c r="D105" s="172">
        <v>-184198</v>
      </c>
      <c r="E105" s="166"/>
      <c r="F105" s="166"/>
      <c r="G105" s="763"/>
    </row>
    <row r="106" spans="1:7" ht="38.25" x14ac:dyDescent="0.25">
      <c r="A106" s="119"/>
      <c r="B106" s="170" t="s">
        <v>312</v>
      </c>
      <c r="C106" s="171" t="s">
        <v>313</v>
      </c>
      <c r="D106" s="172">
        <v>-500000</v>
      </c>
      <c r="E106" s="166"/>
      <c r="F106" s="166"/>
      <c r="G106" s="763"/>
    </row>
    <row r="107" spans="1:7" ht="38.25" x14ac:dyDescent="0.25">
      <c r="A107" s="119"/>
      <c r="B107" s="170" t="s">
        <v>314</v>
      </c>
      <c r="C107" s="171" t="s">
        <v>315</v>
      </c>
      <c r="D107" s="172">
        <v>-23100</v>
      </c>
      <c r="E107" s="166"/>
      <c r="F107" s="166"/>
      <c r="G107" s="763"/>
    </row>
    <row r="108" spans="1:7" ht="25.5" x14ac:dyDescent="0.25">
      <c r="A108" s="119"/>
      <c r="B108" s="170" t="s">
        <v>87</v>
      </c>
      <c r="C108" s="171" t="s">
        <v>316</v>
      </c>
      <c r="D108" s="172">
        <v>2298832</v>
      </c>
      <c r="E108" s="166"/>
      <c r="F108" s="166"/>
      <c r="G108" s="763"/>
    </row>
    <row r="109" spans="1:7" ht="38.25" x14ac:dyDescent="0.25">
      <c r="A109" s="119"/>
      <c r="B109" s="170" t="s">
        <v>317</v>
      </c>
      <c r="C109" s="171" t="s">
        <v>318</v>
      </c>
      <c r="D109" s="172">
        <v>1458</v>
      </c>
      <c r="E109" s="166"/>
      <c r="F109" s="166"/>
      <c r="G109" s="763"/>
    </row>
    <row r="110" spans="1:7" ht="25.5" hidden="1" x14ac:dyDescent="0.25">
      <c r="A110" s="119"/>
      <c r="B110" s="170" t="s">
        <v>343</v>
      </c>
      <c r="C110" s="171" t="s">
        <v>328</v>
      </c>
      <c r="D110" s="125"/>
      <c r="E110" s="166"/>
      <c r="F110" s="166"/>
      <c r="G110" s="763"/>
    </row>
    <row r="111" spans="1:7" ht="38.25" x14ac:dyDescent="0.25">
      <c r="A111" s="119"/>
      <c r="B111" s="170" t="s">
        <v>319</v>
      </c>
      <c r="C111" s="171" t="s">
        <v>320</v>
      </c>
      <c r="D111" s="172">
        <v>-74200</v>
      </c>
      <c r="E111" s="166"/>
      <c r="F111" s="166"/>
      <c r="G111" s="763"/>
    </row>
    <row r="112" spans="1:7" ht="38.25" x14ac:dyDescent="0.25">
      <c r="A112" s="119"/>
      <c r="B112" s="170" t="s">
        <v>344</v>
      </c>
      <c r="C112" s="171" t="s">
        <v>329</v>
      </c>
      <c r="D112" s="172">
        <v>67671</v>
      </c>
      <c r="E112" s="166"/>
      <c r="F112" s="166"/>
      <c r="G112" s="763"/>
    </row>
    <row r="113" spans="1:7" ht="63.75" hidden="1" x14ac:dyDescent="0.25">
      <c r="A113" s="119"/>
      <c r="B113" s="170" t="s">
        <v>345</v>
      </c>
      <c r="C113" s="171" t="s">
        <v>330</v>
      </c>
      <c r="D113" s="125"/>
      <c r="E113" s="166"/>
      <c r="F113" s="166"/>
      <c r="G113" s="763"/>
    </row>
    <row r="114" spans="1:7" ht="37.5" customHeight="1" x14ac:dyDescent="0.25">
      <c r="A114" s="119"/>
      <c r="B114" s="170" t="s">
        <v>257</v>
      </c>
      <c r="C114" s="171" t="s">
        <v>321</v>
      </c>
      <c r="D114" s="172">
        <v>-917206</v>
      </c>
      <c r="E114" s="166">
        <v>40514199</v>
      </c>
      <c r="F114" s="166"/>
      <c r="G114" s="763"/>
    </row>
    <row r="115" spans="1:7" ht="25.5" hidden="1" x14ac:dyDescent="0.25">
      <c r="A115" s="119"/>
      <c r="B115" s="170" t="s">
        <v>346</v>
      </c>
      <c r="C115" s="171" t="s">
        <v>331</v>
      </c>
      <c r="D115" s="125"/>
      <c r="E115" s="166"/>
      <c r="F115" s="166"/>
      <c r="G115" s="763"/>
    </row>
    <row r="116" spans="1:7" ht="25.5" hidden="1" x14ac:dyDescent="0.25">
      <c r="A116" s="119"/>
      <c r="B116" s="170" t="s">
        <v>424</v>
      </c>
      <c r="C116" s="171" t="s">
        <v>423</v>
      </c>
      <c r="D116" s="125"/>
      <c r="E116" s="166"/>
      <c r="F116" s="166"/>
      <c r="G116" s="763"/>
    </row>
    <row r="117" spans="1:7" ht="63.75" hidden="1" x14ac:dyDescent="0.25">
      <c r="A117" s="119"/>
      <c r="B117" s="170" t="s">
        <v>347</v>
      </c>
      <c r="C117" s="171" t="s">
        <v>332</v>
      </c>
      <c r="D117" s="125"/>
      <c r="E117" s="166"/>
      <c r="F117" s="166"/>
      <c r="G117" s="763"/>
    </row>
    <row r="118" spans="1:7" ht="38.25" x14ac:dyDescent="0.25">
      <c r="A118" s="119"/>
      <c r="B118" s="170" t="s">
        <v>396</v>
      </c>
      <c r="C118" s="171" t="s">
        <v>397</v>
      </c>
      <c r="D118" s="172">
        <v>-289048</v>
      </c>
      <c r="E118" s="166"/>
      <c r="F118" s="166"/>
      <c r="G118" s="764"/>
    </row>
    <row r="119" spans="1:7" ht="51" x14ac:dyDescent="0.25">
      <c r="A119" s="119"/>
      <c r="B119" s="170" t="s">
        <v>348</v>
      </c>
      <c r="C119" s="171" t="s">
        <v>333</v>
      </c>
      <c r="D119" s="172">
        <v>-376151</v>
      </c>
      <c r="E119" s="166"/>
      <c r="F119" s="166"/>
      <c r="G119" s="678"/>
    </row>
    <row r="120" spans="1:7" ht="25.5" x14ac:dyDescent="0.25">
      <c r="A120" s="119"/>
      <c r="B120" s="691" t="s">
        <v>349</v>
      </c>
      <c r="C120" s="171" t="s">
        <v>334</v>
      </c>
      <c r="D120" s="172">
        <v>-4232264</v>
      </c>
      <c r="E120" s="166">
        <v>0</v>
      </c>
      <c r="F120" s="166">
        <v>0</v>
      </c>
      <c r="G120" s="678"/>
    </row>
    <row r="121" spans="1:7" ht="51" x14ac:dyDescent="0.25">
      <c r="A121" s="119"/>
      <c r="B121" s="691" t="s">
        <v>517</v>
      </c>
      <c r="C121" s="171" t="s">
        <v>516</v>
      </c>
      <c r="D121" s="125"/>
      <c r="E121" s="166">
        <v>19070057</v>
      </c>
      <c r="F121" s="166">
        <v>19070057</v>
      </c>
      <c r="G121" s="678"/>
    </row>
    <row r="122" spans="1:7" ht="24.75" customHeight="1" x14ac:dyDescent="0.25">
      <c r="A122" s="119"/>
      <c r="B122" s="675" t="s">
        <v>281</v>
      </c>
      <c r="C122" s="676" t="s">
        <v>282</v>
      </c>
      <c r="D122" s="677">
        <v>-107147</v>
      </c>
      <c r="E122" s="166">
        <v>0</v>
      </c>
      <c r="F122" s="166">
        <v>0</v>
      </c>
      <c r="G122" s="678"/>
    </row>
    <row r="123" spans="1:7" ht="1.5" hidden="1" customHeight="1" x14ac:dyDescent="0.25">
      <c r="A123" s="119"/>
      <c r="B123" s="140" t="s">
        <v>408</v>
      </c>
      <c r="C123" s="142" t="s">
        <v>407</v>
      </c>
      <c r="D123" s="141"/>
      <c r="E123" s="124"/>
      <c r="F123" s="124"/>
      <c r="G123" s="143"/>
    </row>
    <row r="124" spans="1:7" hidden="1" x14ac:dyDescent="0.25">
      <c r="A124" s="119"/>
      <c r="B124" s="126"/>
      <c r="C124" s="126"/>
      <c r="D124" s="125"/>
      <c r="E124" s="124"/>
      <c r="F124" s="124"/>
      <c r="G124" s="139"/>
    </row>
    <row r="125" spans="1:7" hidden="1" x14ac:dyDescent="0.25">
      <c r="A125" s="119"/>
      <c r="B125" s="126"/>
      <c r="C125" s="126"/>
      <c r="D125" s="125"/>
      <c r="E125" s="124"/>
      <c r="F125" s="124"/>
      <c r="G125" s="139"/>
    </row>
    <row r="126" spans="1:7" hidden="1" x14ac:dyDescent="0.25">
      <c r="A126" s="119"/>
      <c r="B126" s="127"/>
      <c r="C126" s="127"/>
      <c r="D126" s="125"/>
      <c r="E126" s="124"/>
      <c r="F126" s="124"/>
      <c r="G126" s="139"/>
    </row>
    <row r="127" spans="1:7" hidden="1" x14ac:dyDescent="0.25">
      <c r="A127" s="119"/>
      <c r="B127" s="126"/>
      <c r="C127" s="126"/>
      <c r="D127" s="125"/>
      <c r="E127" s="124"/>
      <c r="F127" s="124"/>
      <c r="G127" s="139"/>
    </row>
    <row r="128" spans="1:7" hidden="1" x14ac:dyDescent="0.25">
      <c r="A128" s="119"/>
      <c r="B128" s="126"/>
      <c r="C128" s="126"/>
      <c r="D128" s="125"/>
      <c r="E128" s="124"/>
      <c r="F128" s="124"/>
      <c r="G128" s="139"/>
    </row>
    <row r="129" spans="1:7" hidden="1" x14ac:dyDescent="0.25">
      <c r="A129" s="119"/>
      <c r="B129" s="126"/>
      <c r="C129" s="126"/>
      <c r="D129" s="125"/>
      <c r="E129" s="124"/>
      <c r="F129" s="124"/>
      <c r="G129" s="139"/>
    </row>
    <row r="130" spans="1:7" hidden="1" x14ac:dyDescent="0.25">
      <c r="A130" s="119"/>
      <c r="B130" s="126"/>
      <c r="C130" s="126"/>
      <c r="D130" s="125"/>
      <c r="E130" s="124"/>
      <c r="F130" s="124"/>
      <c r="G130" s="139"/>
    </row>
    <row r="131" spans="1:7" x14ac:dyDescent="0.25">
      <c r="A131" s="116"/>
      <c r="B131" s="692" t="s">
        <v>17</v>
      </c>
      <c r="C131" s="692"/>
      <c r="D131" s="693">
        <f>D6+D22</f>
        <v>7527735</v>
      </c>
      <c r="E131" s="693">
        <f t="shared" ref="E131:F131" si="8">E6+E22</f>
        <v>54258256</v>
      </c>
      <c r="F131" s="693">
        <f t="shared" si="8"/>
        <v>19070057</v>
      </c>
      <c r="G131" s="128"/>
    </row>
    <row r="132" spans="1:7" x14ac:dyDescent="0.25">
      <c r="B132" s="144"/>
      <c r="C132" s="144"/>
      <c r="D132" s="144"/>
      <c r="E132" s="144"/>
      <c r="F132" s="144"/>
      <c r="G132" s="144"/>
    </row>
  </sheetData>
  <mergeCells count="12">
    <mergeCell ref="G9:G13"/>
    <mergeCell ref="G48:G70"/>
    <mergeCell ref="B4:B5"/>
    <mergeCell ref="G76:G118"/>
    <mergeCell ref="G28:G34"/>
    <mergeCell ref="G36:G47"/>
    <mergeCell ref="G15:G20"/>
    <mergeCell ref="A4:A5"/>
    <mergeCell ref="A1:G1"/>
    <mergeCell ref="A2:G2"/>
    <mergeCell ref="G4:G5"/>
    <mergeCell ref="A3:G3"/>
  </mergeCells>
  <pageMargins left="0.70866141732283472" right="0.70866141732283472" top="0.74803149606299213" bottom="0.74803149606299213" header="0.31496062992125984" footer="0.31496062992125984"/>
  <pageSetup paperSize="9" scale="95" fitToHeight="3" orientation="landscape" r:id="rId1"/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6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786" t="s">
        <v>88</v>
      </c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</row>
    <row r="2" spans="1:31" x14ac:dyDescent="0.2">
      <c r="A2" s="788"/>
      <c r="B2" s="789"/>
      <c r="C2" s="799" t="s">
        <v>45</v>
      </c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788" t="s">
        <v>17</v>
      </c>
      <c r="T2" s="813" t="s">
        <v>43</v>
      </c>
      <c r="U2" s="814"/>
      <c r="V2" s="814"/>
      <c r="W2" s="814"/>
      <c r="X2" s="814"/>
      <c r="Y2" s="815"/>
      <c r="Z2" s="813" t="s">
        <v>44</v>
      </c>
      <c r="AA2" s="814"/>
      <c r="AB2" s="814"/>
      <c r="AC2" s="814"/>
      <c r="AD2" s="814"/>
      <c r="AE2" s="815"/>
    </row>
    <row r="3" spans="1:31" ht="13.5" thickBot="1" x14ac:dyDescent="0.25">
      <c r="A3" s="790"/>
      <c r="B3" s="791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9" t="s">
        <v>21</v>
      </c>
      <c r="S3" s="777"/>
      <c r="T3" s="816" t="s">
        <v>40</v>
      </c>
      <c r="U3" s="817"/>
      <c r="V3" s="817"/>
      <c r="W3" s="817"/>
      <c r="X3" s="817"/>
      <c r="Y3" s="818"/>
      <c r="Z3" s="819" t="s">
        <v>40</v>
      </c>
      <c r="AA3" s="819"/>
      <c r="AB3" s="819"/>
      <c r="AC3" s="819"/>
      <c r="AD3" s="819"/>
      <c r="AE3" s="819"/>
    </row>
    <row r="4" spans="1:31" x14ac:dyDescent="0.2">
      <c r="A4" s="794" t="s">
        <v>0</v>
      </c>
      <c r="B4" s="792" t="s">
        <v>1</v>
      </c>
      <c r="C4" s="797" t="s">
        <v>18</v>
      </c>
      <c r="D4" s="797"/>
      <c r="E4" s="797"/>
      <c r="F4" s="787" t="s">
        <v>5</v>
      </c>
      <c r="G4" s="787"/>
      <c r="H4" s="787"/>
      <c r="I4" s="787"/>
      <c r="J4" s="787"/>
      <c r="K4" s="787" t="s">
        <v>16</v>
      </c>
      <c r="L4" s="787"/>
      <c r="M4" s="787"/>
      <c r="N4" s="787"/>
      <c r="O4" s="787"/>
      <c r="P4" s="787" t="s">
        <v>15</v>
      </c>
      <c r="Q4" s="787"/>
      <c r="R4" s="787"/>
      <c r="S4" s="798"/>
      <c r="T4" s="820" t="s">
        <v>46</v>
      </c>
      <c r="U4" s="821"/>
      <c r="V4" s="820" t="s">
        <v>41</v>
      </c>
      <c r="W4" s="821"/>
      <c r="X4" s="820" t="s">
        <v>42</v>
      </c>
      <c r="Y4" s="821"/>
      <c r="Z4" s="820" t="s">
        <v>46</v>
      </c>
      <c r="AA4" s="821"/>
      <c r="AB4" s="820" t="s">
        <v>41</v>
      </c>
      <c r="AC4" s="821"/>
      <c r="AD4" s="820" t="s">
        <v>42</v>
      </c>
      <c r="AE4" s="821"/>
    </row>
    <row r="5" spans="1:31" x14ac:dyDescent="0.2">
      <c r="A5" s="795"/>
      <c r="B5" s="792"/>
      <c r="C5" s="771" t="s">
        <v>27</v>
      </c>
      <c r="D5" s="771" t="s">
        <v>28</v>
      </c>
      <c r="E5" s="771" t="s">
        <v>29</v>
      </c>
      <c r="F5" s="771" t="s">
        <v>27</v>
      </c>
      <c r="G5" s="771" t="s">
        <v>28</v>
      </c>
      <c r="H5" s="771" t="s">
        <v>29</v>
      </c>
      <c r="I5" s="780" t="s">
        <v>4</v>
      </c>
      <c r="J5" s="780"/>
      <c r="K5" s="771" t="s">
        <v>27</v>
      </c>
      <c r="L5" s="771" t="s">
        <v>28</v>
      </c>
      <c r="M5" s="771" t="s">
        <v>29</v>
      </c>
      <c r="N5" s="780" t="s">
        <v>4</v>
      </c>
      <c r="O5" s="780"/>
      <c r="P5" s="771" t="s">
        <v>27</v>
      </c>
      <c r="Q5" s="771" t="s">
        <v>28</v>
      </c>
      <c r="R5" s="771" t="s">
        <v>29</v>
      </c>
      <c r="S5" s="798"/>
      <c r="T5" s="801" t="s">
        <v>2</v>
      </c>
      <c r="U5" s="803" t="s">
        <v>3</v>
      </c>
      <c r="V5" s="801" t="s">
        <v>2</v>
      </c>
      <c r="W5" s="803" t="s">
        <v>3</v>
      </c>
      <c r="X5" s="801" t="s">
        <v>2</v>
      </c>
      <c r="Y5" s="803" t="s">
        <v>3</v>
      </c>
      <c r="Z5" s="801" t="s">
        <v>2</v>
      </c>
      <c r="AA5" s="803" t="s">
        <v>3</v>
      </c>
      <c r="AB5" s="801" t="s">
        <v>2</v>
      </c>
      <c r="AC5" s="803" t="s">
        <v>3</v>
      </c>
      <c r="AD5" s="801" t="s">
        <v>2</v>
      </c>
      <c r="AE5" s="803" t="s">
        <v>3</v>
      </c>
    </row>
    <row r="6" spans="1:31" ht="52.5" customHeight="1" thickBot="1" x14ac:dyDescent="0.25">
      <c r="A6" s="796"/>
      <c r="B6" s="793"/>
      <c r="C6" s="772"/>
      <c r="D6" s="772"/>
      <c r="E6" s="772"/>
      <c r="F6" s="772"/>
      <c r="G6" s="772"/>
      <c r="H6" s="772"/>
      <c r="I6" s="28" t="s">
        <v>2</v>
      </c>
      <c r="J6" s="28" t="s">
        <v>3</v>
      </c>
      <c r="K6" s="772"/>
      <c r="L6" s="772"/>
      <c r="M6" s="772"/>
      <c r="N6" s="28" t="s">
        <v>2</v>
      </c>
      <c r="O6" s="28" t="s">
        <v>3</v>
      </c>
      <c r="P6" s="772"/>
      <c r="Q6" s="772"/>
      <c r="R6" s="772"/>
      <c r="S6" s="798"/>
      <c r="T6" s="802"/>
      <c r="U6" s="804"/>
      <c r="V6" s="802"/>
      <c r="W6" s="804"/>
      <c r="X6" s="802"/>
      <c r="Y6" s="804"/>
      <c r="Z6" s="802"/>
      <c r="AA6" s="804"/>
      <c r="AB6" s="802"/>
      <c r="AC6" s="804"/>
      <c r="AD6" s="802"/>
      <c r="AE6" s="804"/>
    </row>
    <row r="7" spans="1:31" ht="13.7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8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776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806"/>
      <c r="T8" s="103"/>
      <c r="U8" s="104"/>
      <c r="V8" s="103"/>
      <c r="W8" s="104"/>
      <c r="X8" s="103">
        <v>600000</v>
      </c>
      <c r="Y8" s="104"/>
      <c r="Z8" s="103"/>
      <c r="AA8" s="104"/>
      <c r="AB8" s="103"/>
      <c r="AC8" s="104"/>
      <c r="AD8" s="103">
        <v>600000</v>
      </c>
      <c r="AE8" s="104"/>
    </row>
    <row r="9" spans="1:31" x14ac:dyDescent="0.2">
      <c r="A9" s="776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806"/>
      <c r="T9" s="57"/>
      <c r="U9" s="105"/>
      <c r="V9" s="57"/>
      <c r="W9" s="105"/>
      <c r="X9" s="57">
        <v>6000000</v>
      </c>
      <c r="Y9" s="105"/>
      <c r="Z9" s="57"/>
      <c r="AA9" s="105"/>
      <c r="AB9" s="57"/>
      <c r="AC9" s="105"/>
      <c r="AD9" s="57">
        <v>6600000</v>
      </c>
      <c r="AE9" s="105"/>
    </row>
    <row r="10" spans="1:31" x14ac:dyDescent="0.2">
      <c r="A10" s="776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806"/>
      <c r="T10" s="57"/>
      <c r="U10" s="105"/>
      <c r="V10" s="57"/>
      <c r="W10" s="105"/>
      <c r="X10" s="57"/>
      <c r="Y10" s="105"/>
      <c r="Z10" s="57"/>
      <c r="AA10" s="105"/>
      <c r="AB10" s="57"/>
      <c r="AC10" s="105"/>
      <c r="AD10" s="57"/>
      <c r="AE10" s="105"/>
    </row>
    <row r="11" spans="1:31" ht="25.5" x14ac:dyDescent="0.2">
      <c r="A11" s="776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7"/>
      <c r="L11" s="77"/>
      <c r="M11" s="78"/>
      <c r="N11" s="9"/>
      <c r="O11" s="9"/>
      <c r="P11" s="9">
        <v>0</v>
      </c>
      <c r="Q11" s="9">
        <v>2050048</v>
      </c>
      <c r="R11" s="1"/>
      <c r="S11" s="806"/>
      <c r="T11" s="57"/>
      <c r="U11" s="105"/>
      <c r="V11" s="57"/>
      <c r="W11" s="105"/>
      <c r="X11" s="57">
        <v>1500000</v>
      </c>
      <c r="Y11" s="105"/>
      <c r="Z11" s="57"/>
      <c r="AA11" s="105"/>
      <c r="AB11" s="57"/>
      <c r="AC11" s="105"/>
      <c r="AD11" s="57">
        <v>1500000</v>
      </c>
      <c r="AE11" s="105"/>
    </row>
    <row r="12" spans="1:31" ht="16.5" customHeight="1" x14ac:dyDescent="0.2">
      <c r="A12" s="776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806"/>
      <c r="T12" s="57"/>
      <c r="U12" s="105"/>
      <c r="V12" s="57"/>
      <c r="W12" s="105"/>
      <c r="X12" s="57"/>
      <c r="Y12" s="105"/>
      <c r="Z12" s="57"/>
      <c r="AA12" s="105"/>
      <c r="AB12" s="57"/>
      <c r="AC12" s="105"/>
      <c r="AD12" s="57"/>
      <c r="AE12" s="105"/>
    </row>
    <row r="13" spans="1:31" ht="25.5" x14ac:dyDescent="0.2">
      <c r="A13" s="776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806"/>
      <c r="T13" s="57"/>
      <c r="U13" s="105"/>
      <c r="V13" s="57"/>
      <c r="W13" s="105"/>
      <c r="X13" s="57"/>
      <c r="Y13" s="105"/>
      <c r="Z13" s="57"/>
      <c r="AA13" s="105"/>
      <c r="AB13" s="57"/>
      <c r="AC13" s="105"/>
      <c r="AD13" s="57"/>
      <c r="AE13" s="105"/>
    </row>
    <row r="14" spans="1:31" ht="25.5" x14ac:dyDescent="0.2">
      <c r="A14" s="776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806"/>
      <c r="T14" s="57"/>
      <c r="U14" s="105"/>
      <c r="V14" s="57"/>
      <c r="W14" s="105"/>
      <c r="X14" s="57"/>
      <c r="Y14" s="105"/>
      <c r="Z14" s="57"/>
      <c r="AA14" s="105"/>
      <c r="AB14" s="57"/>
      <c r="AC14" s="105"/>
      <c r="AD14" s="57"/>
      <c r="AE14" s="105"/>
    </row>
    <row r="15" spans="1:31" ht="20.25" customHeight="1" x14ac:dyDescent="0.2">
      <c r="A15" s="776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7"/>
      <c r="L15" s="79"/>
      <c r="M15" s="78"/>
      <c r="N15" s="9"/>
      <c r="O15" s="9"/>
      <c r="P15" s="9">
        <v>0</v>
      </c>
      <c r="Q15" s="9">
        <v>240000</v>
      </c>
      <c r="R15" s="1"/>
      <c r="S15" s="806"/>
      <c r="T15" s="57"/>
      <c r="U15" s="105"/>
      <c r="V15" s="57"/>
      <c r="W15" s="105"/>
      <c r="X15" s="57"/>
      <c r="Y15" s="105"/>
      <c r="Z15" s="57"/>
      <c r="AA15" s="105"/>
      <c r="AB15" s="57"/>
      <c r="AC15" s="105"/>
      <c r="AD15" s="57"/>
      <c r="AE15" s="105"/>
    </row>
    <row r="16" spans="1:31" x14ac:dyDescent="0.2">
      <c r="A16" s="776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7"/>
      <c r="L16" s="9"/>
      <c r="M16" s="78"/>
      <c r="N16" s="9"/>
      <c r="O16" s="9"/>
      <c r="P16" s="9">
        <v>0</v>
      </c>
      <c r="Q16" s="9">
        <v>1000000</v>
      </c>
      <c r="R16" s="1"/>
      <c r="S16" s="806"/>
      <c r="T16" s="57"/>
      <c r="U16" s="105"/>
      <c r="V16" s="57"/>
      <c r="W16" s="105"/>
      <c r="X16" s="57">
        <v>800000</v>
      </c>
      <c r="Y16" s="105"/>
      <c r="Z16" s="57"/>
      <c r="AA16" s="105"/>
      <c r="AB16" s="57"/>
      <c r="AC16" s="105"/>
      <c r="AD16" s="57">
        <v>800000</v>
      </c>
      <c r="AE16" s="105"/>
    </row>
    <row r="17" spans="1:31" x14ac:dyDescent="0.2">
      <c r="A17" s="776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7"/>
      <c r="L17" s="77"/>
      <c r="M17" s="78"/>
      <c r="N17" s="9"/>
      <c r="O17" s="9"/>
      <c r="P17" s="9">
        <v>0</v>
      </c>
      <c r="Q17" s="9">
        <v>500000</v>
      </c>
      <c r="R17" s="1"/>
      <c r="S17" s="806"/>
      <c r="T17" s="57"/>
      <c r="U17" s="105"/>
      <c r="V17" s="57"/>
      <c r="W17" s="105"/>
      <c r="X17" s="57">
        <v>500000</v>
      </c>
      <c r="Y17" s="105"/>
      <c r="Z17" s="57"/>
      <c r="AA17" s="105"/>
      <c r="AB17" s="57"/>
      <c r="AC17" s="105"/>
      <c r="AD17" s="57">
        <v>500000</v>
      </c>
      <c r="AE17" s="105"/>
    </row>
    <row r="18" spans="1:31" ht="14.25" customHeight="1" x14ac:dyDescent="0.2">
      <c r="A18" s="776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7"/>
      <c r="L18" s="77"/>
      <c r="M18" s="78"/>
      <c r="N18" s="9"/>
      <c r="O18" s="9"/>
      <c r="P18" s="9">
        <v>0</v>
      </c>
      <c r="Q18" s="9">
        <v>12000000</v>
      </c>
      <c r="R18" s="1"/>
      <c r="S18" s="806"/>
      <c r="T18" s="57"/>
      <c r="U18" s="105"/>
      <c r="V18" s="57"/>
      <c r="W18" s="105"/>
      <c r="X18" s="57">
        <v>12840000</v>
      </c>
      <c r="Y18" s="105"/>
      <c r="Z18" s="57"/>
      <c r="AA18" s="105"/>
      <c r="AB18" s="57"/>
      <c r="AC18" s="105"/>
      <c r="AD18" s="57">
        <v>13738800</v>
      </c>
      <c r="AE18" s="105"/>
    </row>
    <row r="19" spans="1:31" x14ac:dyDescent="0.2">
      <c r="A19" s="776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7"/>
      <c r="L19" s="77"/>
      <c r="M19" s="78"/>
      <c r="N19" s="9"/>
      <c r="O19" s="9"/>
      <c r="P19" s="9">
        <v>0</v>
      </c>
      <c r="Q19" s="9">
        <v>2000000</v>
      </c>
      <c r="R19" s="1"/>
      <c r="S19" s="806"/>
      <c r="T19" s="57"/>
      <c r="U19" s="105"/>
      <c r="V19" s="57"/>
      <c r="W19" s="105"/>
      <c r="X19" s="57">
        <v>2000000</v>
      </c>
      <c r="Y19" s="105"/>
      <c r="Z19" s="57"/>
      <c r="AA19" s="105"/>
      <c r="AB19" s="57"/>
      <c r="AC19" s="105"/>
      <c r="AD19" s="57">
        <v>2000000</v>
      </c>
      <c r="AE19" s="105"/>
    </row>
    <row r="20" spans="1:31" x14ac:dyDescent="0.2">
      <c r="A20" s="776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7"/>
      <c r="L20" s="77"/>
      <c r="M20" s="78"/>
      <c r="N20" s="9"/>
      <c r="O20" s="9"/>
      <c r="P20" s="9">
        <v>0</v>
      </c>
      <c r="Q20" s="23">
        <v>7235000</v>
      </c>
      <c r="R20" s="1"/>
      <c r="S20" s="806"/>
      <c r="T20" s="57"/>
      <c r="U20" s="105"/>
      <c r="V20" s="57"/>
      <c r="W20" s="105"/>
      <c r="X20" s="57">
        <v>7235000</v>
      </c>
      <c r="Y20" s="105"/>
      <c r="Z20" s="57"/>
      <c r="AA20" s="105"/>
      <c r="AB20" s="57"/>
      <c r="AC20" s="105"/>
      <c r="AD20" s="57">
        <v>7235000</v>
      </c>
      <c r="AE20" s="105"/>
    </row>
    <row r="21" spans="1:31" x14ac:dyDescent="0.2">
      <c r="A21" s="776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7"/>
      <c r="L21" s="77"/>
      <c r="M21" s="78"/>
      <c r="N21" s="9"/>
      <c r="O21" s="9"/>
      <c r="P21" s="9">
        <v>0</v>
      </c>
      <c r="Q21" s="23">
        <v>3420400</v>
      </c>
      <c r="R21" s="1"/>
      <c r="S21" s="806"/>
      <c r="T21" s="57"/>
      <c r="U21" s="105"/>
      <c r="V21" s="57"/>
      <c r="W21" s="105"/>
      <c r="X21" s="57">
        <v>3966767</v>
      </c>
      <c r="Y21" s="105"/>
      <c r="Z21" s="57"/>
      <c r="AA21" s="105"/>
      <c r="AB21" s="57"/>
      <c r="AC21" s="105"/>
      <c r="AD21" s="57">
        <v>4799018</v>
      </c>
      <c r="AE21" s="105"/>
    </row>
    <row r="22" spans="1:31" ht="25.5" x14ac:dyDescent="0.2">
      <c r="A22" s="776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7"/>
      <c r="L22" s="77"/>
      <c r="M22" s="78"/>
      <c r="N22" s="9"/>
      <c r="O22" s="9"/>
      <c r="P22" s="9">
        <v>0</v>
      </c>
      <c r="Q22" s="23">
        <v>21845000</v>
      </c>
      <c r="R22" s="1"/>
      <c r="S22" s="806"/>
      <c r="T22" s="57"/>
      <c r="U22" s="105"/>
      <c r="V22" s="57"/>
      <c r="W22" s="105"/>
      <c r="X22" s="57">
        <v>1500000</v>
      </c>
      <c r="Y22" s="105"/>
      <c r="Z22" s="57"/>
      <c r="AA22" s="105"/>
      <c r="AB22" s="57"/>
      <c r="AC22" s="105"/>
      <c r="AD22" s="57">
        <v>1500000</v>
      </c>
      <c r="AE22" s="105"/>
    </row>
    <row r="23" spans="1:31" x14ac:dyDescent="0.2">
      <c r="A23" s="776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7"/>
      <c r="L23" s="77"/>
      <c r="M23" s="78"/>
      <c r="N23" s="9"/>
      <c r="O23" s="9"/>
      <c r="P23" s="9"/>
      <c r="Q23" s="23"/>
      <c r="R23" s="1"/>
      <c r="S23" s="806"/>
      <c r="T23" s="57"/>
      <c r="U23" s="105"/>
      <c r="V23" s="57"/>
      <c r="W23" s="105"/>
      <c r="X23" s="57"/>
      <c r="Y23" s="105"/>
      <c r="Z23" s="57"/>
      <c r="AA23" s="105"/>
      <c r="AB23" s="57"/>
      <c r="AC23" s="105"/>
      <c r="AD23" s="57"/>
      <c r="AE23" s="105"/>
    </row>
    <row r="24" spans="1:31" x14ac:dyDescent="0.2">
      <c r="A24" s="776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10">
        <v>0</v>
      </c>
      <c r="L24" s="110">
        <v>1000000</v>
      </c>
      <c r="M24" s="111"/>
      <c r="N24" s="110"/>
      <c r="O24" s="110"/>
      <c r="P24" s="110"/>
      <c r="Q24" s="23"/>
      <c r="R24" s="1"/>
      <c r="S24" s="806"/>
      <c r="T24" s="57"/>
      <c r="U24" s="105"/>
      <c r="V24" s="57"/>
      <c r="W24" s="105"/>
      <c r="X24" s="57"/>
      <c r="Y24" s="105"/>
      <c r="Z24" s="57"/>
      <c r="AA24" s="105"/>
      <c r="AB24" s="57"/>
      <c r="AC24" s="105"/>
      <c r="AD24" s="57"/>
      <c r="AE24" s="105"/>
    </row>
    <row r="25" spans="1:31" x14ac:dyDescent="0.2">
      <c r="A25" s="776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10">
        <v>3256832</v>
      </c>
      <c r="L25" s="110">
        <v>-3256832</v>
      </c>
      <c r="M25" s="111">
        <v>1</v>
      </c>
      <c r="N25" s="110"/>
      <c r="O25" s="110"/>
      <c r="P25" s="110"/>
      <c r="Q25" s="23"/>
      <c r="R25" s="1"/>
      <c r="S25" s="806"/>
      <c r="T25" s="57"/>
      <c r="U25" s="105"/>
      <c r="V25" s="57"/>
      <c r="W25" s="105"/>
      <c r="X25" s="57"/>
      <c r="Y25" s="105"/>
      <c r="Z25" s="57"/>
      <c r="AA25" s="105"/>
      <c r="AB25" s="57"/>
      <c r="AC25" s="105"/>
      <c r="AD25" s="57"/>
      <c r="AE25" s="105"/>
    </row>
    <row r="26" spans="1:31" x14ac:dyDescent="0.2">
      <c r="A26" s="776"/>
      <c r="B26" s="31"/>
      <c r="C26" s="9"/>
      <c r="D26" s="9"/>
      <c r="E26" s="9"/>
      <c r="F26" s="9"/>
      <c r="G26" s="9"/>
      <c r="H26" s="1"/>
      <c r="I26" s="9"/>
      <c r="J26" s="9"/>
      <c r="K26" s="110"/>
      <c r="L26" s="110"/>
      <c r="M26" s="111"/>
      <c r="N26" s="110"/>
      <c r="O26" s="110"/>
      <c r="P26" s="110"/>
      <c r="Q26" s="23"/>
      <c r="R26" s="1"/>
      <c r="S26" s="806"/>
      <c r="T26" s="57"/>
      <c r="U26" s="105"/>
      <c r="V26" s="57"/>
      <c r="W26" s="105"/>
      <c r="X26" s="57"/>
      <c r="Y26" s="105"/>
      <c r="Z26" s="57"/>
      <c r="AA26" s="105"/>
      <c r="AB26" s="57"/>
      <c r="AC26" s="105"/>
      <c r="AD26" s="57"/>
      <c r="AE26" s="105"/>
    </row>
    <row r="27" spans="1:31" x14ac:dyDescent="0.2">
      <c r="A27" s="776"/>
      <c r="B27" s="31"/>
      <c r="C27" s="9"/>
      <c r="D27" s="9"/>
      <c r="E27" s="9"/>
      <c r="F27" s="9"/>
      <c r="G27" s="9"/>
      <c r="H27" s="1"/>
      <c r="I27" s="9"/>
      <c r="J27" s="9"/>
      <c r="K27" s="110"/>
      <c r="L27" s="110"/>
      <c r="M27" s="111"/>
      <c r="N27" s="110"/>
      <c r="O27" s="110"/>
      <c r="P27" s="110"/>
      <c r="Q27" s="23"/>
      <c r="R27" s="1"/>
      <c r="S27" s="806"/>
      <c r="T27" s="57"/>
      <c r="U27" s="105"/>
      <c r="V27" s="57"/>
      <c r="W27" s="105"/>
      <c r="X27" s="57"/>
      <c r="Y27" s="105"/>
      <c r="Z27" s="57"/>
      <c r="AA27" s="105"/>
      <c r="AB27" s="57"/>
      <c r="AC27" s="105"/>
      <c r="AD27" s="57"/>
      <c r="AE27" s="105"/>
    </row>
    <row r="28" spans="1:31" x14ac:dyDescent="0.2">
      <c r="A28" s="776"/>
      <c r="B28" s="31"/>
      <c r="C28" s="9"/>
      <c r="D28" s="9"/>
      <c r="E28" s="9"/>
      <c r="F28" s="9"/>
      <c r="G28" s="9"/>
      <c r="H28" s="1"/>
      <c r="I28" s="9"/>
      <c r="J28" s="9"/>
      <c r="K28" s="77"/>
      <c r="L28" s="77"/>
      <c r="M28" s="78"/>
      <c r="N28" s="9"/>
      <c r="O28" s="9"/>
      <c r="P28" s="9"/>
      <c r="Q28" s="23"/>
      <c r="R28" s="1"/>
      <c r="S28" s="806"/>
      <c r="T28" s="57"/>
      <c r="U28" s="105"/>
      <c r="V28" s="57"/>
      <c r="W28" s="105"/>
      <c r="X28" s="57"/>
      <c r="Y28" s="105"/>
      <c r="Z28" s="57"/>
      <c r="AA28" s="105"/>
      <c r="AB28" s="57"/>
      <c r="AC28" s="105"/>
      <c r="AD28" s="57"/>
      <c r="AE28" s="105"/>
    </row>
    <row r="29" spans="1:31" x14ac:dyDescent="0.2">
      <c r="A29" s="776"/>
      <c r="B29" s="31"/>
      <c r="C29" s="9"/>
      <c r="D29" s="9"/>
      <c r="E29" s="9"/>
      <c r="F29" s="9"/>
      <c r="G29" s="9"/>
      <c r="H29" s="1"/>
      <c r="I29" s="9"/>
      <c r="J29" s="9"/>
      <c r="K29" s="77"/>
      <c r="L29" s="77"/>
      <c r="M29" s="78"/>
      <c r="N29" s="9"/>
      <c r="O29" s="9"/>
      <c r="P29" s="9"/>
      <c r="Q29" s="23"/>
      <c r="R29" s="1"/>
      <c r="S29" s="806"/>
      <c r="T29" s="57"/>
      <c r="U29" s="105"/>
      <c r="V29" s="57"/>
      <c r="W29" s="105"/>
      <c r="X29" s="57"/>
      <c r="Y29" s="105"/>
      <c r="Z29" s="57"/>
      <c r="AA29" s="105"/>
      <c r="AB29" s="57"/>
      <c r="AC29" s="105"/>
      <c r="AD29" s="57"/>
      <c r="AE29" s="105"/>
    </row>
    <row r="30" spans="1:31" x14ac:dyDescent="0.2">
      <c r="A30" s="776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806"/>
      <c r="T30" s="57"/>
      <c r="U30" s="105"/>
      <c r="V30" s="57"/>
      <c r="W30" s="105"/>
      <c r="X30" s="57"/>
      <c r="Y30" s="105"/>
      <c r="Z30" s="57"/>
      <c r="AA30" s="105"/>
      <c r="AB30" s="57"/>
      <c r="AC30" s="105"/>
      <c r="AD30" s="57"/>
      <c r="AE30" s="105"/>
    </row>
    <row r="31" spans="1:31" x14ac:dyDescent="0.2">
      <c r="A31" s="776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ref="G31" si="2"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2" t="e">
        <f>Q31/P31</f>
        <v>#DIV/0!</v>
      </c>
      <c r="S31" s="806"/>
      <c r="T31" s="98">
        <f>SUM(T32:T40)</f>
        <v>35000000</v>
      </c>
      <c r="U31" s="98">
        <f t="shared" ref="U31:AE31" si="3">SUM(U32:U40)</f>
        <v>0</v>
      </c>
      <c r="V31" s="98">
        <f t="shared" si="3"/>
        <v>0</v>
      </c>
      <c r="W31" s="98">
        <f t="shared" si="3"/>
        <v>0</v>
      </c>
      <c r="X31" s="98">
        <f t="shared" si="3"/>
        <v>38000000</v>
      </c>
      <c r="Y31" s="98">
        <f t="shared" si="3"/>
        <v>0</v>
      </c>
      <c r="Z31" s="98">
        <f t="shared" si="3"/>
        <v>30800000</v>
      </c>
      <c r="AA31" s="98">
        <f t="shared" si="3"/>
        <v>0</v>
      </c>
      <c r="AB31" s="98">
        <f t="shared" si="3"/>
        <v>0</v>
      </c>
      <c r="AC31" s="98">
        <f t="shared" si="3"/>
        <v>0</v>
      </c>
      <c r="AD31" s="98">
        <f t="shared" si="3"/>
        <v>40000000</v>
      </c>
      <c r="AE31" s="98">
        <f t="shared" si="3"/>
        <v>0</v>
      </c>
    </row>
    <row r="32" spans="1:31" ht="25.5" x14ac:dyDescent="0.2">
      <c r="A32" s="776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7"/>
      <c r="L32" s="77"/>
      <c r="M32" s="77"/>
      <c r="N32" s="9"/>
      <c r="O32" s="9"/>
      <c r="P32" s="9">
        <v>0</v>
      </c>
      <c r="Q32" s="23">
        <v>500000</v>
      </c>
      <c r="R32" s="1"/>
      <c r="S32" s="806"/>
      <c r="T32" s="57"/>
      <c r="U32" s="105"/>
      <c r="V32" s="57"/>
      <c r="W32" s="105"/>
      <c r="X32" s="57">
        <v>500000</v>
      </c>
      <c r="Y32" s="105"/>
      <c r="Z32" s="57"/>
      <c r="AA32" s="105"/>
      <c r="AB32" s="57"/>
      <c r="AC32" s="105"/>
      <c r="AD32" s="57">
        <v>500000</v>
      </c>
      <c r="AE32" s="105"/>
    </row>
    <row r="33" spans="1:31" hidden="1" x14ac:dyDescent="0.2">
      <c r="A33" s="776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7"/>
      <c r="L33" s="77"/>
      <c r="M33" s="77"/>
      <c r="N33" s="9"/>
      <c r="O33" s="9"/>
      <c r="P33" s="9"/>
      <c r="Q33" s="23"/>
      <c r="R33" s="1"/>
      <c r="S33" s="806"/>
      <c r="T33" s="57"/>
      <c r="U33" s="105"/>
      <c r="V33" s="57"/>
      <c r="W33" s="105"/>
      <c r="X33" s="57"/>
      <c r="Y33" s="105"/>
      <c r="Z33" s="57"/>
      <c r="AA33" s="105"/>
      <c r="AB33" s="57"/>
      <c r="AC33" s="105"/>
      <c r="AD33" s="57"/>
      <c r="AE33" s="105"/>
    </row>
    <row r="34" spans="1:31" x14ac:dyDescent="0.2">
      <c r="A34" s="776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7"/>
      <c r="L34" s="77"/>
      <c r="M34" s="77"/>
      <c r="N34" s="9"/>
      <c r="O34" s="9"/>
      <c r="P34" s="9">
        <v>0</v>
      </c>
      <c r="Q34" s="23">
        <v>1265000</v>
      </c>
      <c r="R34" s="1"/>
      <c r="S34" s="806"/>
      <c r="T34" s="57"/>
      <c r="U34" s="105"/>
      <c r="V34" s="57"/>
      <c r="W34" s="105"/>
      <c r="X34" s="57">
        <v>1265000</v>
      </c>
      <c r="Y34" s="105"/>
      <c r="Z34" s="57"/>
      <c r="AA34" s="105"/>
      <c r="AB34" s="57"/>
      <c r="AC34" s="105"/>
      <c r="AD34" s="57">
        <v>1265000</v>
      </c>
      <c r="AE34" s="105"/>
    </row>
    <row r="35" spans="1:31" x14ac:dyDescent="0.2">
      <c r="A35" s="776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7"/>
      <c r="L35" s="77"/>
      <c r="M35" s="77"/>
      <c r="N35" s="9"/>
      <c r="O35" s="9"/>
      <c r="P35" s="9">
        <v>0</v>
      </c>
      <c r="Q35" s="23">
        <v>7000000</v>
      </c>
      <c r="R35" s="1"/>
      <c r="S35" s="806"/>
      <c r="T35" s="57"/>
      <c r="U35" s="105"/>
      <c r="V35" s="57"/>
      <c r="W35" s="105"/>
      <c r="X35" s="57">
        <v>23500000</v>
      </c>
      <c r="Y35" s="105"/>
      <c r="Z35" s="57"/>
      <c r="AA35" s="105"/>
      <c r="AB35" s="57"/>
      <c r="AC35" s="105"/>
      <c r="AD35" s="57">
        <v>24500000</v>
      </c>
      <c r="AE35" s="105"/>
    </row>
    <row r="36" spans="1:31" hidden="1" x14ac:dyDescent="0.2">
      <c r="A36" s="776"/>
      <c r="B36" s="34"/>
      <c r="C36" s="9"/>
      <c r="D36" s="9"/>
      <c r="E36" s="9"/>
      <c r="F36" s="9"/>
      <c r="G36" s="9"/>
      <c r="H36" s="1"/>
      <c r="I36" s="9"/>
      <c r="J36" s="9"/>
      <c r="K36" s="77"/>
      <c r="L36" s="77"/>
      <c r="M36" s="77"/>
      <c r="N36" s="9"/>
      <c r="O36" s="9"/>
      <c r="P36" s="9"/>
      <c r="Q36" s="23"/>
      <c r="R36" s="1"/>
      <c r="S36" s="806"/>
      <c r="T36" s="57"/>
      <c r="U36" s="105"/>
      <c r="V36" s="57"/>
      <c r="W36" s="105"/>
      <c r="X36" s="57"/>
      <c r="Y36" s="105"/>
      <c r="Z36" s="57"/>
      <c r="AA36" s="105"/>
      <c r="AB36" s="57"/>
      <c r="AC36" s="105"/>
      <c r="AD36" s="57"/>
      <c r="AE36" s="105"/>
    </row>
    <row r="37" spans="1:31" hidden="1" x14ac:dyDescent="0.2">
      <c r="A37" s="776"/>
      <c r="B37" s="34"/>
      <c r="C37" s="9"/>
      <c r="D37" s="9"/>
      <c r="E37" s="9"/>
      <c r="F37" s="9"/>
      <c r="G37" s="9"/>
      <c r="H37" s="1"/>
      <c r="I37" s="9"/>
      <c r="J37" s="9"/>
      <c r="K37" s="77"/>
      <c r="L37" s="77"/>
      <c r="M37" s="77"/>
      <c r="N37" s="9"/>
      <c r="O37" s="9"/>
      <c r="P37" s="9"/>
      <c r="Q37" s="23"/>
      <c r="R37" s="1"/>
      <c r="S37" s="807"/>
      <c r="T37" s="57"/>
      <c r="U37" s="105"/>
      <c r="V37" s="57"/>
      <c r="W37" s="105"/>
      <c r="X37" s="57"/>
      <c r="Y37" s="105"/>
      <c r="Z37" s="57"/>
      <c r="AA37" s="105"/>
      <c r="AB37" s="57"/>
      <c r="AC37" s="105"/>
      <c r="AD37" s="57"/>
      <c r="AE37" s="105"/>
    </row>
    <row r="38" spans="1:31" x14ac:dyDescent="0.2">
      <c r="A38" s="776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6"/>
      <c r="L38" s="76"/>
      <c r="M38" s="76"/>
      <c r="N38" s="13"/>
      <c r="O38" s="13"/>
      <c r="P38" s="13">
        <v>0</v>
      </c>
      <c r="Q38" s="36">
        <v>9568000</v>
      </c>
      <c r="R38" s="35"/>
      <c r="S38" s="808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776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6"/>
      <c r="L39" s="76"/>
      <c r="M39" s="76"/>
      <c r="N39" s="13"/>
      <c r="O39" s="13"/>
      <c r="P39" s="13">
        <v>0</v>
      </c>
      <c r="Q39" s="36">
        <f>42000000+4667000</f>
        <v>46667000</v>
      </c>
      <c r="R39" s="35"/>
      <c r="S39" s="808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776"/>
      <c r="B40" s="101" t="s">
        <v>52</v>
      </c>
      <c r="C40" s="13"/>
      <c r="D40" s="13"/>
      <c r="E40" s="13"/>
      <c r="F40" s="13"/>
      <c r="G40" s="13"/>
      <c r="H40" s="35"/>
      <c r="I40" s="13"/>
      <c r="J40" s="13"/>
      <c r="K40" s="76"/>
      <c r="L40" s="76"/>
      <c r="M40" s="76"/>
      <c r="N40" s="13"/>
      <c r="O40" s="13"/>
      <c r="P40" s="13">
        <v>0</v>
      </c>
      <c r="Q40" s="36">
        <v>3241571</v>
      </c>
      <c r="R40" s="35"/>
      <c r="S40" s="808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100" t="s">
        <v>7</v>
      </c>
      <c r="C41" s="42" t="s">
        <v>30</v>
      </c>
      <c r="D41" s="42">
        <f t="shared" ref="D41:O41" si="4">SUM(D42:D46)</f>
        <v>0</v>
      </c>
      <c r="E41" s="42" t="s">
        <v>30</v>
      </c>
      <c r="F41" s="42" t="s">
        <v>30</v>
      </c>
      <c r="G41" s="42">
        <f t="shared" si="4"/>
        <v>0</v>
      </c>
      <c r="H41" s="42" t="s">
        <v>30</v>
      </c>
      <c r="I41" s="42">
        <f t="shared" si="4"/>
        <v>0</v>
      </c>
      <c r="J41" s="42">
        <f t="shared" si="4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4"/>
        <v>0</v>
      </c>
      <c r="O41" s="42">
        <f t="shared" si="4"/>
        <v>0</v>
      </c>
      <c r="P41" s="42" t="s">
        <v>30</v>
      </c>
      <c r="Q41" s="42">
        <f>SUM(Q42:Q47)</f>
        <v>900000</v>
      </c>
      <c r="R41" s="42" t="s">
        <v>30</v>
      </c>
      <c r="S41" s="89">
        <f>SUM(C41:R41)</f>
        <v>900000</v>
      </c>
      <c r="T41" s="42">
        <f>SUM(T42:T47)</f>
        <v>0</v>
      </c>
      <c r="U41" s="102">
        <f t="shared" ref="U41:AE41" si="5">SUM(U42:U47)</f>
        <v>0</v>
      </c>
      <c r="V41" s="42">
        <f t="shared" si="5"/>
        <v>0</v>
      </c>
      <c r="W41" s="102">
        <f t="shared" si="5"/>
        <v>0</v>
      </c>
      <c r="X41" s="42">
        <f t="shared" si="5"/>
        <v>250000</v>
      </c>
      <c r="Y41" s="102">
        <f t="shared" si="5"/>
        <v>0</v>
      </c>
      <c r="Z41" s="42">
        <f t="shared" si="5"/>
        <v>0</v>
      </c>
      <c r="AA41" s="102">
        <f t="shared" si="5"/>
        <v>0</v>
      </c>
      <c r="AB41" s="42">
        <f t="shared" si="5"/>
        <v>0</v>
      </c>
      <c r="AC41" s="102">
        <f t="shared" si="5"/>
        <v>0</v>
      </c>
      <c r="AD41" s="42">
        <f t="shared" si="5"/>
        <v>250000</v>
      </c>
      <c r="AE41" s="102">
        <f t="shared" si="5"/>
        <v>0</v>
      </c>
    </row>
    <row r="42" spans="1:31" x14ac:dyDescent="0.2">
      <c r="A42" s="777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810"/>
      <c r="T42" s="103"/>
      <c r="U42" s="104"/>
      <c r="V42" s="103"/>
      <c r="W42" s="104"/>
      <c r="X42" s="103">
        <v>250000</v>
      </c>
      <c r="Y42" s="104"/>
      <c r="Z42" s="103"/>
      <c r="AA42" s="104"/>
      <c r="AB42" s="103"/>
      <c r="AC42" s="104"/>
      <c r="AD42" s="103">
        <v>250000</v>
      </c>
      <c r="AE42" s="104"/>
    </row>
    <row r="43" spans="1:31" x14ac:dyDescent="0.2">
      <c r="A43" s="777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810"/>
      <c r="T43" s="57"/>
      <c r="U43" s="105"/>
      <c r="V43" s="57"/>
      <c r="W43" s="105"/>
      <c r="X43" s="57"/>
      <c r="Y43" s="105"/>
      <c r="Z43" s="57"/>
      <c r="AA43" s="105"/>
      <c r="AB43" s="57"/>
      <c r="AC43" s="105"/>
      <c r="AD43" s="57"/>
      <c r="AE43" s="105"/>
    </row>
    <row r="44" spans="1:31" hidden="1" x14ac:dyDescent="0.2">
      <c r="A44" s="777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8"/>
      <c r="N44" s="9"/>
      <c r="O44" s="9"/>
      <c r="P44" s="9"/>
      <c r="Q44" s="9"/>
      <c r="R44" s="17"/>
      <c r="S44" s="810"/>
      <c r="T44" s="57"/>
      <c r="U44" s="105"/>
      <c r="V44" s="57"/>
      <c r="W44" s="105"/>
      <c r="X44" s="57"/>
      <c r="Y44" s="105"/>
      <c r="Z44" s="57"/>
      <c r="AA44" s="105"/>
      <c r="AB44" s="57"/>
      <c r="AC44" s="105"/>
      <c r="AD44" s="57"/>
      <c r="AE44" s="105"/>
    </row>
    <row r="45" spans="1:31" hidden="1" x14ac:dyDescent="0.2">
      <c r="A45" s="777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8"/>
      <c r="N45" s="9"/>
      <c r="O45" s="9"/>
      <c r="P45" s="9"/>
      <c r="Q45" s="9"/>
      <c r="R45" s="17"/>
      <c r="S45" s="810"/>
      <c r="T45" s="57"/>
      <c r="U45" s="105"/>
      <c r="V45" s="57"/>
      <c r="W45" s="105"/>
      <c r="X45" s="57"/>
      <c r="Y45" s="105"/>
      <c r="Z45" s="57"/>
      <c r="AA45" s="105"/>
      <c r="AB45" s="57"/>
      <c r="AC45" s="105"/>
      <c r="AD45" s="57"/>
      <c r="AE45" s="105"/>
    </row>
    <row r="46" spans="1:31" x14ac:dyDescent="0.2">
      <c r="A46" s="777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810"/>
      <c r="T46" s="57"/>
      <c r="U46" s="105"/>
      <c r="V46" s="57"/>
      <c r="W46" s="105"/>
      <c r="X46" s="57"/>
      <c r="Y46" s="105"/>
      <c r="Z46" s="57"/>
      <c r="AA46" s="105"/>
      <c r="AB46" s="57"/>
      <c r="AC46" s="105"/>
      <c r="AD46" s="57"/>
      <c r="AE46" s="105"/>
    </row>
    <row r="47" spans="1:31" ht="13.5" thickBot="1" x14ac:dyDescent="0.25">
      <c r="A47" s="86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90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9">
        <f>SUM(C48:R48)</f>
        <v>0</v>
      </c>
      <c r="T48" s="42">
        <f>SUM(T49:T63)</f>
        <v>0</v>
      </c>
      <c r="U48" s="102">
        <f t="shared" ref="U48:AE48" si="6">SUM(U49:U63)</f>
        <v>0</v>
      </c>
      <c r="V48" s="42">
        <f t="shared" si="6"/>
        <v>0</v>
      </c>
      <c r="W48" s="102">
        <f t="shared" si="6"/>
        <v>0</v>
      </c>
      <c r="X48" s="42">
        <f t="shared" si="6"/>
        <v>0</v>
      </c>
      <c r="Y48" s="102">
        <f t="shared" si="6"/>
        <v>0</v>
      </c>
      <c r="Z48" s="42">
        <f t="shared" si="6"/>
        <v>0</v>
      </c>
      <c r="AA48" s="102">
        <f t="shared" si="6"/>
        <v>0</v>
      </c>
      <c r="AB48" s="42">
        <f t="shared" si="6"/>
        <v>0</v>
      </c>
      <c r="AC48" s="102">
        <f t="shared" si="6"/>
        <v>0</v>
      </c>
      <c r="AD48" s="42">
        <f t="shared" si="6"/>
        <v>0</v>
      </c>
      <c r="AE48" s="102">
        <f t="shared" si="6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81"/>
      <c r="N49" s="6"/>
      <c r="O49" s="6"/>
      <c r="P49" s="6"/>
      <c r="Q49" s="6"/>
      <c r="R49" s="6"/>
      <c r="S49" s="812"/>
      <c r="T49" s="103"/>
      <c r="U49" s="104"/>
      <c r="V49" s="103"/>
      <c r="W49" s="104"/>
      <c r="X49" s="103"/>
      <c r="Y49" s="104"/>
      <c r="Z49" s="103"/>
      <c r="AA49" s="104"/>
      <c r="AB49" s="103"/>
      <c r="AC49" s="104"/>
      <c r="AD49" s="103"/>
      <c r="AE49" s="104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812"/>
      <c r="T50" s="57"/>
      <c r="U50" s="105"/>
      <c r="V50" s="57"/>
      <c r="W50" s="105"/>
      <c r="X50" s="57"/>
      <c r="Y50" s="105"/>
      <c r="Z50" s="57"/>
      <c r="AA50" s="105"/>
      <c r="AB50" s="57"/>
      <c r="AC50" s="105"/>
      <c r="AD50" s="57"/>
      <c r="AE50" s="105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810"/>
      <c r="T51" s="57"/>
      <c r="U51" s="105"/>
      <c r="V51" s="57"/>
      <c r="W51" s="105"/>
      <c r="X51" s="57"/>
      <c r="Y51" s="105"/>
      <c r="Z51" s="57"/>
      <c r="AA51" s="105"/>
      <c r="AB51" s="57"/>
      <c r="AC51" s="105"/>
      <c r="AD51" s="57"/>
      <c r="AE51" s="105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810"/>
      <c r="T52" s="57"/>
      <c r="U52" s="105"/>
      <c r="V52" s="57"/>
      <c r="W52" s="105"/>
      <c r="X52" s="57"/>
      <c r="Y52" s="105"/>
      <c r="Z52" s="57"/>
      <c r="AA52" s="105"/>
      <c r="AB52" s="57"/>
      <c r="AC52" s="105"/>
      <c r="AD52" s="57"/>
      <c r="AE52" s="105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810"/>
      <c r="T53" s="57"/>
      <c r="U53" s="105"/>
      <c r="V53" s="57"/>
      <c r="W53" s="105"/>
      <c r="X53" s="57"/>
      <c r="Y53" s="105"/>
      <c r="Z53" s="57"/>
      <c r="AA53" s="105"/>
      <c r="AB53" s="57"/>
      <c r="AC53" s="105"/>
      <c r="AD53" s="57"/>
      <c r="AE53" s="105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810"/>
      <c r="T54" s="57"/>
      <c r="U54" s="105"/>
      <c r="V54" s="57"/>
      <c r="W54" s="105"/>
      <c r="X54" s="57"/>
      <c r="Y54" s="105"/>
      <c r="Z54" s="57"/>
      <c r="AA54" s="105"/>
      <c r="AB54" s="57"/>
      <c r="AC54" s="105"/>
      <c r="AD54" s="57"/>
      <c r="AE54" s="105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810"/>
      <c r="T55" s="57"/>
      <c r="U55" s="105"/>
      <c r="V55" s="57"/>
      <c r="W55" s="105"/>
      <c r="X55" s="57"/>
      <c r="Y55" s="105"/>
      <c r="Z55" s="57"/>
      <c r="AA55" s="105"/>
      <c r="AB55" s="57"/>
      <c r="AC55" s="105"/>
      <c r="AD55" s="57"/>
      <c r="AE55" s="105"/>
    </row>
    <row r="56" spans="1:31" hidden="1" x14ac:dyDescent="0.2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810"/>
      <c r="T56" s="57"/>
      <c r="U56" s="105"/>
      <c r="V56" s="57"/>
      <c r="W56" s="105"/>
      <c r="X56" s="57"/>
      <c r="Y56" s="105"/>
      <c r="Z56" s="57"/>
      <c r="AA56" s="105"/>
      <c r="AB56" s="57"/>
      <c r="AC56" s="105"/>
      <c r="AD56" s="57"/>
      <c r="AE56" s="105"/>
    </row>
    <row r="57" spans="1:31" hidden="1" x14ac:dyDescent="0.2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810"/>
      <c r="T57" s="57"/>
      <c r="U57" s="105"/>
      <c r="V57" s="57"/>
      <c r="W57" s="105"/>
      <c r="X57" s="57"/>
      <c r="Y57" s="105"/>
      <c r="Z57" s="57"/>
      <c r="AA57" s="105"/>
      <c r="AB57" s="57"/>
      <c r="AC57" s="105"/>
      <c r="AD57" s="57"/>
      <c r="AE57" s="105"/>
    </row>
    <row r="58" spans="1:31" hidden="1" x14ac:dyDescent="0.2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810"/>
      <c r="T58" s="57"/>
      <c r="U58" s="105"/>
      <c r="V58" s="57"/>
      <c r="W58" s="105"/>
      <c r="X58" s="57"/>
      <c r="Y58" s="105"/>
      <c r="Z58" s="57"/>
      <c r="AA58" s="105"/>
      <c r="AB58" s="57"/>
      <c r="AC58" s="105"/>
      <c r="AD58" s="57"/>
      <c r="AE58" s="105"/>
    </row>
    <row r="59" spans="1:31" hidden="1" x14ac:dyDescent="0.2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810"/>
      <c r="T59" s="57"/>
      <c r="U59" s="105"/>
      <c r="V59" s="57"/>
      <c r="W59" s="105"/>
      <c r="X59" s="57"/>
      <c r="Y59" s="105"/>
      <c r="Z59" s="57"/>
      <c r="AA59" s="105"/>
      <c r="AB59" s="57"/>
      <c r="AC59" s="105"/>
      <c r="AD59" s="57"/>
      <c r="AE59" s="105"/>
    </row>
    <row r="60" spans="1:31" hidden="1" x14ac:dyDescent="0.2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810"/>
      <c r="T60" s="57"/>
      <c r="U60" s="105"/>
      <c r="V60" s="57"/>
      <c r="W60" s="105"/>
      <c r="X60" s="57"/>
      <c r="Y60" s="105"/>
      <c r="Z60" s="57"/>
      <c r="AA60" s="105"/>
      <c r="AB60" s="57"/>
      <c r="AC60" s="105"/>
      <c r="AD60" s="57"/>
      <c r="AE60" s="105"/>
    </row>
    <row r="61" spans="1:31" hidden="1" x14ac:dyDescent="0.2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810"/>
      <c r="T61" s="57"/>
      <c r="U61" s="105"/>
      <c r="V61" s="57"/>
      <c r="W61" s="105"/>
      <c r="X61" s="57"/>
      <c r="Y61" s="105"/>
      <c r="Z61" s="57"/>
      <c r="AA61" s="105"/>
      <c r="AB61" s="57"/>
      <c r="AC61" s="105"/>
      <c r="AD61" s="57"/>
      <c r="AE61" s="105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810"/>
      <c r="T62" s="57"/>
      <c r="U62" s="105"/>
      <c r="V62" s="57"/>
      <c r="W62" s="105"/>
      <c r="X62" s="57"/>
      <c r="Y62" s="105"/>
      <c r="Z62" s="57"/>
      <c r="AA62" s="105"/>
      <c r="AB62" s="57"/>
      <c r="AC62" s="105"/>
      <c r="AD62" s="57"/>
      <c r="AE62" s="105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810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9">
        <f>SUM(C64:R64)</f>
        <v>910718</v>
      </c>
      <c r="T64" s="42">
        <f>SUM(T65:T73)</f>
        <v>0</v>
      </c>
      <c r="U64" s="102">
        <f t="shared" ref="U64:AE64" si="7">SUM(U65:U73)</f>
        <v>0</v>
      </c>
      <c r="V64" s="42">
        <f t="shared" si="7"/>
        <v>0</v>
      </c>
      <c r="W64" s="102">
        <f t="shared" si="7"/>
        <v>0</v>
      </c>
      <c r="X64" s="42">
        <f t="shared" si="7"/>
        <v>0</v>
      </c>
      <c r="Y64" s="102">
        <f t="shared" si="7"/>
        <v>0</v>
      </c>
      <c r="Z64" s="42">
        <f t="shared" si="7"/>
        <v>0</v>
      </c>
      <c r="AA64" s="102">
        <f t="shared" si="7"/>
        <v>0</v>
      </c>
      <c r="AB64" s="42">
        <f t="shared" si="7"/>
        <v>0</v>
      </c>
      <c r="AC64" s="102">
        <f t="shared" si="7"/>
        <v>0</v>
      </c>
      <c r="AD64" s="42">
        <f t="shared" si="7"/>
        <v>0</v>
      </c>
      <c r="AE64" s="102">
        <f t="shared" si="7"/>
        <v>0</v>
      </c>
    </row>
    <row r="65" spans="1:31" ht="25.5" x14ac:dyDescent="0.2">
      <c r="A65" s="778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0"/>
      <c r="S65" s="812"/>
      <c r="T65" s="103"/>
      <c r="U65" s="104"/>
      <c r="V65" s="103"/>
      <c r="W65" s="104"/>
      <c r="X65" s="103"/>
      <c r="Y65" s="104"/>
      <c r="Z65" s="103"/>
      <c r="AA65" s="104"/>
      <c r="AB65" s="103"/>
      <c r="AC65" s="104"/>
      <c r="AD65" s="103"/>
      <c r="AE65" s="104"/>
    </row>
    <row r="66" spans="1:31" x14ac:dyDescent="0.2">
      <c r="A66" s="778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812"/>
      <c r="T66" s="57"/>
      <c r="U66" s="105"/>
      <c r="V66" s="57"/>
      <c r="W66" s="105"/>
      <c r="X66" s="57"/>
      <c r="Y66" s="105"/>
      <c r="Z66" s="57"/>
      <c r="AA66" s="105"/>
      <c r="AB66" s="57"/>
      <c r="AC66" s="105"/>
      <c r="AD66" s="57"/>
      <c r="AE66" s="105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812"/>
      <c r="T67" s="57"/>
      <c r="U67" s="105"/>
      <c r="V67" s="57"/>
      <c r="W67" s="105"/>
      <c r="X67" s="57"/>
      <c r="Y67" s="105"/>
      <c r="Z67" s="57"/>
      <c r="AA67" s="105"/>
      <c r="AB67" s="57"/>
      <c r="AC67" s="105"/>
      <c r="AD67" s="57"/>
      <c r="AE67" s="105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812"/>
      <c r="T68" s="57"/>
      <c r="U68" s="105"/>
      <c r="V68" s="57"/>
      <c r="W68" s="105"/>
      <c r="X68" s="57"/>
      <c r="Y68" s="105"/>
      <c r="Z68" s="57"/>
      <c r="AA68" s="105"/>
      <c r="AB68" s="57"/>
      <c r="AC68" s="105"/>
      <c r="AD68" s="57"/>
      <c r="AE68" s="105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812"/>
      <c r="T69" s="57"/>
      <c r="U69" s="105"/>
      <c r="V69" s="57"/>
      <c r="W69" s="105"/>
      <c r="X69" s="57"/>
      <c r="Y69" s="105"/>
      <c r="Z69" s="57"/>
      <c r="AA69" s="105"/>
      <c r="AB69" s="57"/>
      <c r="AC69" s="105"/>
      <c r="AD69" s="57"/>
      <c r="AE69" s="105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812"/>
      <c r="T70" s="57"/>
      <c r="U70" s="105"/>
      <c r="V70" s="57"/>
      <c r="W70" s="105"/>
      <c r="X70" s="57"/>
      <c r="Y70" s="105"/>
      <c r="Z70" s="57"/>
      <c r="AA70" s="105"/>
      <c r="AB70" s="57"/>
      <c r="AC70" s="105"/>
      <c r="AD70" s="57"/>
      <c r="AE70" s="105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812"/>
      <c r="T71" s="57"/>
      <c r="U71" s="105"/>
      <c r="V71" s="57"/>
      <c r="W71" s="105"/>
      <c r="X71" s="57"/>
      <c r="Y71" s="105"/>
      <c r="Z71" s="57"/>
      <c r="AA71" s="105"/>
      <c r="AB71" s="57"/>
      <c r="AC71" s="105"/>
      <c r="AD71" s="57"/>
      <c r="AE71" s="105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812"/>
      <c r="T72" s="57"/>
      <c r="U72" s="105"/>
      <c r="V72" s="57"/>
      <c r="W72" s="105"/>
      <c r="X72" s="57"/>
      <c r="Y72" s="105"/>
      <c r="Z72" s="57"/>
      <c r="AA72" s="105"/>
      <c r="AB72" s="57"/>
      <c r="AC72" s="105"/>
      <c r="AD72" s="57"/>
      <c r="AE72" s="105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812"/>
      <c r="T73" s="57"/>
      <c r="U73" s="105"/>
      <c r="V73" s="57"/>
      <c r="W73" s="105"/>
      <c r="X73" s="57"/>
      <c r="Y73" s="105"/>
      <c r="Z73" s="57"/>
      <c r="AA73" s="105"/>
      <c r="AB73" s="57"/>
      <c r="AC73" s="105"/>
      <c r="AD73" s="57"/>
      <c r="AE73" s="105"/>
    </row>
    <row r="74" spans="1:31" ht="13.5" hidden="1" thickBot="1" x14ac:dyDescent="0.25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812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91">
        <f>SUM(C75:R75)</f>
        <v>-55921000</v>
      </c>
      <c r="T75" s="42">
        <f>SUM(T76:T80)</f>
        <v>0</v>
      </c>
      <c r="U75" s="102">
        <f t="shared" ref="U75:AE75" si="8">SUM(U76:U80)</f>
        <v>-2665000</v>
      </c>
      <c r="V75" s="42">
        <f t="shared" si="8"/>
        <v>0</v>
      </c>
      <c r="W75" s="102">
        <f t="shared" si="8"/>
        <v>0</v>
      </c>
      <c r="X75" s="42">
        <f t="shared" si="8"/>
        <v>0</v>
      </c>
      <c r="Y75" s="102">
        <f t="shared" si="8"/>
        <v>0</v>
      </c>
      <c r="Z75" s="42">
        <f t="shared" si="8"/>
        <v>0</v>
      </c>
      <c r="AA75" s="102">
        <f t="shared" si="8"/>
        <v>0</v>
      </c>
      <c r="AB75" s="42">
        <f t="shared" si="8"/>
        <v>0</v>
      </c>
      <c r="AC75" s="102">
        <f t="shared" si="8"/>
        <v>0</v>
      </c>
      <c r="AD75" s="42">
        <f t="shared" si="8"/>
        <v>0</v>
      </c>
      <c r="AE75" s="102">
        <f t="shared" si="8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2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809"/>
      <c r="T76" s="103"/>
      <c r="U76" s="104">
        <v>-2665000</v>
      </c>
      <c r="V76" s="103"/>
      <c r="W76" s="104"/>
      <c r="X76" s="103"/>
      <c r="Y76" s="104"/>
      <c r="Z76" s="103"/>
      <c r="AA76" s="104"/>
      <c r="AB76" s="103"/>
      <c r="AC76" s="104"/>
      <c r="AD76" s="103"/>
      <c r="AE76" s="104"/>
    </row>
    <row r="77" spans="1:31" ht="18" customHeight="1" x14ac:dyDescent="0.2">
      <c r="A77" s="87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810"/>
      <c r="T77" s="57"/>
      <c r="U77" s="105"/>
      <c r="V77" s="57"/>
      <c r="W77" s="105"/>
      <c r="X77" s="57"/>
      <c r="Y77" s="105"/>
      <c r="Z77" s="57"/>
      <c r="AA77" s="105"/>
      <c r="AB77" s="57"/>
      <c r="AC77" s="105"/>
      <c r="AD77" s="57"/>
      <c r="AE77" s="105"/>
    </row>
    <row r="78" spans="1:31" x14ac:dyDescent="0.2">
      <c r="A78" s="87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810"/>
      <c r="T78" s="57"/>
      <c r="U78" s="105"/>
      <c r="V78" s="57"/>
      <c r="W78" s="105"/>
      <c r="X78" s="57"/>
      <c r="Y78" s="105"/>
      <c r="Z78" s="57"/>
      <c r="AA78" s="105"/>
      <c r="AB78" s="57"/>
      <c r="AC78" s="105"/>
      <c r="AD78" s="57"/>
      <c r="AE78" s="105"/>
    </row>
    <row r="79" spans="1:31" x14ac:dyDescent="0.2">
      <c r="A79" s="87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810"/>
      <c r="T79" s="57"/>
      <c r="U79" s="105"/>
      <c r="V79" s="57"/>
      <c r="W79" s="105"/>
      <c r="X79" s="57"/>
      <c r="Y79" s="105"/>
      <c r="Z79" s="57"/>
      <c r="AA79" s="105"/>
      <c r="AB79" s="57"/>
      <c r="AC79" s="105"/>
      <c r="AD79" s="57"/>
      <c r="AE79" s="105"/>
    </row>
    <row r="80" spans="1:31" ht="13.5" thickBot="1" x14ac:dyDescent="0.25">
      <c r="A80" s="87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810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91">
        <f>SUM(C81:R81)</f>
        <v>0</v>
      </c>
      <c r="T81" s="42">
        <f>SUM(T88:T97)</f>
        <v>0</v>
      </c>
      <c r="U81" s="102">
        <f t="shared" ref="U81:AE81" si="9">SUM(U88:U97)</f>
        <v>0</v>
      </c>
      <c r="V81" s="42">
        <f t="shared" si="9"/>
        <v>0</v>
      </c>
      <c r="W81" s="102">
        <f t="shared" si="9"/>
        <v>0</v>
      </c>
      <c r="X81" s="42">
        <f t="shared" si="9"/>
        <v>0</v>
      </c>
      <c r="Y81" s="102">
        <f t="shared" si="9"/>
        <v>0</v>
      </c>
      <c r="Z81" s="42">
        <f t="shared" si="9"/>
        <v>0</v>
      </c>
      <c r="AA81" s="102">
        <f t="shared" si="9"/>
        <v>0</v>
      </c>
      <c r="AB81" s="42">
        <f t="shared" si="9"/>
        <v>0</v>
      </c>
      <c r="AC81" s="102">
        <f t="shared" si="9"/>
        <v>0</v>
      </c>
      <c r="AD81" s="42">
        <f t="shared" si="9"/>
        <v>0</v>
      </c>
      <c r="AE81" s="102">
        <f t="shared" si="9"/>
        <v>0</v>
      </c>
    </row>
    <row r="82" spans="1:31" ht="18.95" hidden="1" customHeight="1" x14ac:dyDescent="0.2">
      <c r="A82" s="805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809"/>
      <c r="T82" s="103"/>
      <c r="U82" s="104"/>
      <c r="V82" s="103"/>
      <c r="W82" s="104"/>
      <c r="X82" s="103"/>
      <c r="Y82" s="104"/>
      <c r="Z82" s="103"/>
      <c r="AA82" s="104"/>
      <c r="AB82" s="103"/>
      <c r="AC82" s="104"/>
      <c r="AD82" s="103"/>
      <c r="AE82" s="104"/>
    </row>
    <row r="83" spans="1:31" ht="25.5" hidden="1" customHeight="1" x14ac:dyDescent="0.2">
      <c r="A83" s="778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810"/>
      <c r="T83" s="57"/>
      <c r="U83" s="105"/>
      <c r="V83" s="57"/>
      <c r="W83" s="105"/>
      <c r="X83" s="57"/>
      <c r="Y83" s="105"/>
      <c r="Z83" s="57"/>
      <c r="AA83" s="105"/>
      <c r="AB83" s="57"/>
      <c r="AC83" s="105"/>
      <c r="AD83" s="57"/>
      <c r="AE83" s="105"/>
    </row>
    <row r="84" spans="1:31" ht="12.75" hidden="1" customHeight="1" x14ac:dyDescent="0.2">
      <c r="A84" s="778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810"/>
      <c r="T84" s="57"/>
      <c r="U84" s="105"/>
      <c r="V84" s="57"/>
      <c r="W84" s="105"/>
      <c r="X84" s="57"/>
      <c r="Y84" s="105"/>
      <c r="Z84" s="57"/>
      <c r="AA84" s="105"/>
      <c r="AB84" s="57"/>
      <c r="AC84" s="105"/>
      <c r="AD84" s="57"/>
      <c r="AE84" s="105"/>
    </row>
    <row r="85" spans="1:31" ht="25.5" hidden="1" customHeight="1" x14ac:dyDescent="0.2">
      <c r="A85" s="778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810"/>
      <c r="T85" s="57"/>
      <c r="U85" s="105"/>
      <c r="V85" s="57"/>
      <c r="W85" s="105"/>
      <c r="X85" s="57"/>
      <c r="Y85" s="105"/>
      <c r="Z85" s="57"/>
      <c r="AA85" s="105"/>
      <c r="AB85" s="57"/>
      <c r="AC85" s="105"/>
      <c r="AD85" s="57"/>
      <c r="AE85" s="105"/>
    </row>
    <row r="86" spans="1:31" ht="12.75" hidden="1" customHeight="1" x14ac:dyDescent="0.2">
      <c r="A86" s="778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810"/>
      <c r="T86" s="57"/>
      <c r="U86" s="105"/>
      <c r="V86" s="57"/>
      <c r="W86" s="105"/>
      <c r="X86" s="57"/>
      <c r="Y86" s="105"/>
      <c r="Z86" s="57"/>
      <c r="AA86" s="105"/>
      <c r="AB86" s="57"/>
      <c r="AC86" s="105"/>
      <c r="AD86" s="57"/>
      <c r="AE86" s="105"/>
    </row>
    <row r="87" spans="1:31" ht="12.75" hidden="1" customHeight="1" x14ac:dyDescent="0.2">
      <c r="A87" s="778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 t="shared" ref="M87" si="10">L87/K87</f>
        <v>#DIV/0!</v>
      </c>
      <c r="N87" s="9"/>
      <c r="O87" s="9"/>
      <c r="P87" s="9"/>
      <c r="Q87" s="9"/>
      <c r="R87" s="9"/>
      <c r="S87" s="810"/>
      <c r="T87" s="57"/>
      <c r="U87" s="105"/>
      <c r="V87" s="57"/>
      <c r="W87" s="105"/>
      <c r="X87" s="57"/>
      <c r="Y87" s="105"/>
      <c r="Z87" s="57"/>
      <c r="AA87" s="105"/>
      <c r="AB87" s="57"/>
      <c r="AC87" s="105"/>
      <c r="AD87" s="57"/>
      <c r="AE87" s="105"/>
    </row>
    <row r="88" spans="1:31" x14ac:dyDescent="0.2">
      <c r="A88" s="778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810"/>
      <c r="T88" s="57"/>
      <c r="U88" s="105"/>
      <c r="V88" s="57"/>
      <c r="W88" s="105"/>
      <c r="X88" s="57"/>
      <c r="Y88" s="105"/>
      <c r="Z88" s="57"/>
      <c r="AA88" s="105"/>
      <c r="AB88" s="57"/>
      <c r="AC88" s="105"/>
      <c r="AD88" s="57"/>
      <c r="AE88" s="105"/>
    </row>
    <row r="89" spans="1:31" x14ac:dyDescent="0.2">
      <c r="A89" s="778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810"/>
      <c r="T89" s="57"/>
      <c r="U89" s="105"/>
      <c r="V89" s="57"/>
      <c r="W89" s="105"/>
      <c r="X89" s="57"/>
      <c r="Y89" s="105"/>
      <c r="Z89" s="57"/>
      <c r="AA89" s="105"/>
      <c r="AB89" s="57"/>
      <c r="AC89" s="105"/>
      <c r="AD89" s="57"/>
      <c r="AE89" s="105"/>
    </row>
    <row r="90" spans="1:31" x14ac:dyDescent="0.2">
      <c r="A90" s="778"/>
      <c r="B90" s="14"/>
      <c r="C90" s="9"/>
      <c r="D90" s="9"/>
      <c r="E90" s="1"/>
      <c r="F90" s="9"/>
      <c r="G90" s="9"/>
      <c r="H90" s="78"/>
      <c r="I90" s="9"/>
      <c r="J90" s="9"/>
      <c r="K90" s="9"/>
      <c r="L90" s="9"/>
      <c r="M90" s="1"/>
      <c r="N90" s="9"/>
      <c r="O90" s="9"/>
      <c r="P90" s="9"/>
      <c r="Q90" s="9"/>
      <c r="R90" s="9"/>
      <c r="S90" s="810"/>
      <c r="T90" s="57"/>
      <c r="U90" s="105"/>
      <c r="V90" s="57"/>
      <c r="W90" s="105"/>
      <c r="X90" s="57"/>
      <c r="Y90" s="105"/>
      <c r="Z90" s="57"/>
      <c r="AA90" s="105"/>
      <c r="AB90" s="57"/>
      <c r="AC90" s="105"/>
      <c r="AD90" s="57"/>
      <c r="AE90" s="105"/>
    </row>
    <row r="91" spans="1:31" x14ac:dyDescent="0.2">
      <c r="A91" s="778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810"/>
      <c r="T91" s="57"/>
      <c r="U91" s="105"/>
      <c r="V91" s="57"/>
      <c r="W91" s="105"/>
      <c r="X91" s="57"/>
      <c r="Y91" s="105"/>
      <c r="Z91" s="57"/>
      <c r="AA91" s="105"/>
      <c r="AB91" s="57"/>
      <c r="AC91" s="105"/>
      <c r="AD91" s="57"/>
      <c r="AE91" s="105"/>
    </row>
    <row r="92" spans="1:31" x14ac:dyDescent="0.2">
      <c r="A92" s="778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810"/>
      <c r="T92" s="57"/>
      <c r="U92" s="105"/>
      <c r="V92" s="57"/>
      <c r="W92" s="105"/>
      <c r="X92" s="57"/>
      <c r="Y92" s="105"/>
      <c r="Z92" s="57"/>
      <c r="AA92" s="105"/>
      <c r="AB92" s="57"/>
      <c r="AC92" s="105"/>
      <c r="AD92" s="57"/>
      <c r="AE92" s="105"/>
    </row>
    <row r="93" spans="1:31" x14ac:dyDescent="0.2">
      <c r="A93" s="778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810"/>
      <c r="T93" s="57"/>
      <c r="U93" s="105"/>
      <c r="V93" s="57"/>
      <c r="W93" s="105"/>
      <c r="X93" s="57"/>
      <c r="Y93" s="105"/>
      <c r="Z93" s="57"/>
      <c r="AA93" s="105"/>
      <c r="AB93" s="57"/>
      <c r="AC93" s="105"/>
      <c r="AD93" s="57"/>
      <c r="AE93" s="105"/>
    </row>
    <row r="94" spans="1:31" x14ac:dyDescent="0.2">
      <c r="A94" s="778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810"/>
      <c r="T94" s="57"/>
      <c r="U94" s="105"/>
      <c r="V94" s="57"/>
      <c r="W94" s="105"/>
      <c r="X94" s="57"/>
      <c r="Y94" s="105"/>
      <c r="Z94" s="57"/>
      <c r="AA94" s="105"/>
      <c r="AB94" s="57"/>
      <c r="AC94" s="105"/>
      <c r="AD94" s="57"/>
      <c r="AE94" s="105"/>
    </row>
    <row r="95" spans="1:31" x14ac:dyDescent="0.2">
      <c r="A95" s="778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8"/>
      <c r="N95" s="9"/>
      <c r="O95" s="9"/>
      <c r="P95" s="9"/>
      <c r="Q95" s="9"/>
      <c r="R95" s="9"/>
      <c r="S95" s="810"/>
      <c r="T95" s="57"/>
      <c r="U95" s="105"/>
      <c r="V95" s="57"/>
      <c r="W95" s="105"/>
      <c r="X95" s="57"/>
      <c r="Y95" s="105"/>
      <c r="Z95" s="57"/>
      <c r="AA95" s="105"/>
      <c r="AB95" s="57"/>
      <c r="AC95" s="105"/>
      <c r="AD95" s="57"/>
      <c r="AE95" s="105"/>
    </row>
    <row r="96" spans="1:31" x14ac:dyDescent="0.2">
      <c r="A96" s="778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810"/>
      <c r="T96" s="57"/>
      <c r="U96" s="105"/>
      <c r="V96" s="57"/>
      <c r="W96" s="105"/>
      <c r="X96" s="57"/>
      <c r="Y96" s="105"/>
      <c r="Z96" s="57"/>
      <c r="AA96" s="105"/>
      <c r="AB96" s="57"/>
      <c r="AC96" s="105"/>
      <c r="AD96" s="57"/>
      <c r="AE96" s="105"/>
    </row>
    <row r="97" spans="1:31" ht="13.5" thickBot="1" x14ac:dyDescent="0.25">
      <c r="A97" s="778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811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5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91">
        <f>SUM(C98:R98)</f>
        <v>32082</v>
      </c>
      <c r="T98" s="42">
        <f>SUM(T99:T102)</f>
        <v>0</v>
      </c>
      <c r="U98" s="102">
        <f t="shared" ref="U98:AE98" si="11">SUM(U99:U102)</f>
        <v>0</v>
      </c>
      <c r="V98" s="42">
        <f t="shared" si="11"/>
        <v>0</v>
      </c>
      <c r="W98" s="102">
        <f t="shared" si="11"/>
        <v>0</v>
      </c>
      <c r="X98" s="42">
        <f t="shared" si="11"/>
        <v>0</v>
      </c>
      <c r="Y98" s="102">
        <f t="shared" si="11"/>
        <v>0</v>
      </c>
      <c r="Z98" s="42">
        <f t="shared" si="11"/>
        <v>0</v>
      </c>
      <c r="AA98" s="102">
        <f t="shared" si="11"/>
        <v>0</v>
      </c>
      <c r="AB98" s="42">
        <f t="shared" si="11"/>
        <v>0</v>
      </c>
      <c r="AC98" s="102">
        <f t="shared" si="11"/>
        <v>0</v>
      </c>
      <c r="AD98" s="42">
        <f t="shared" si="11"/>
        <v>0</v>
      </c>
      <c r="AE98" s="102">
        <f t="shared" si="11"/>
        <v>0</v>
      </c>
    </row>
    <row r="99" spans="1:31" x14ac:dyDescent="0.2">
      <c r="A99" s="778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60"/>
      <c r="S99" s="809"/>
      <c r="T99" s="103"/>
      <c r="U99" s="104"/>
      <c r="V99" s="103"/>
      <c r="W99" s="104"/>
      <c r="X99" s="103"/>
      <c r="Y99" s="104"/>
      <c r="Z99" s="103"/>
      <c r="AA99" s="104"/>
      <c r="AB99" s="103"/>
      <c r="AC99" s="104"/>
      <c r="AD99" s="103"/>
      <c r="AE99" s="104"/>
    </row>
    <row r="100" spans="1:31" ht="13.9" customHeight="1" x14ac:dyDescent="0.2">
      <c r="A100" s="778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60"/>
      <c r="S100" s="810"/>
      <c r="T100" s="57"/>
      <c r="U100" s="105"/>
      <c r="V100" s="57"/>
      <c r="W100" s="105"/>
      <c r="X100" s="57"/>
      <c r="Y100" s="105"/>
      <c r="Z100" s="57"/>
      <c r="AA100" s="105"/>
      <c r="AB100" s="57"/>
      <c r="AC100" s="105"/>
      <c r="AD100" s="57"/>
      <c r="AE100" s="105"/>
    </row>
    <row r="101" spans="1:31" ht="15.75" customHeight="1" x14ac:dyDescent="0.2">
      <c r="A101" s="778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810"/>
      <c r="T101" s="57"/>
      <c r="U101" s="105"/>
      <c r="V101" s="57"/>
      <c r="W101" s="105"/>
      <c r="X101" s="57"/>
      <c r="Y101" s="105"/>
      <c r="Z101" s="57"/>
      <c r="AA101" s="105"/>
      <c r="AB101" s="57"/>
      <c r="AC101" s="105"/>
      <c r="AD101" s="57"/>
      <c r="AE101" s="105"/>
    </row>
    <row r="102" spans="1:31" ht="13.7" customHeight="1" thickBot="1" x14ac:dyDescent="0.25">
      <c r="A102" s="778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811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2">SUM(D104:D104)</f>
        <v>0</v>
      </c>
      <c r="E103" s="10" t="s">
        <v>30</v>
      </c>
      <c r="F103" s="10" t="s">
        <v>30</v>
      </c>
      <c r="G103" s="10">
        <f t="shared" si="12"/>
        <v>0</v>
      </c>
      <c r="H103" s="10" t="s">
        <v>30</v>
      </c>
      <c r="I103" s="10">
        <f t="shared" si="12"/>
        <v>0</v>
      </c>
      <c r="J103" s="10">
        <f t="shared" si="12"/>
        <v>0</v>
      </c>
      <c r="K103" s="10" t="s">
        <v>30</v>
      </c>
      <c r="L103" s="10">
        <f t="shared" si="12"/>
        <v>0</v>
      </c>
      <c r="M103" s="10" t="s">
        <v>30</v>
      </c>
      <c r="N103" s="10">
        <f t="shared" si="12"/>
        <v>0</v>
      </c>
      <c r="O103" s="10">
        <f t="shared" si="12"/>
        <v>0</v>
      </c>
      <c r="P103" s="10" t="s">
        <v>30</v>
      </c>
      <c r="Q103" s="10">
        <f t="shared" si="12"/>
        <v>0</v>
      </c>
      <c r="R103" s="10" t="s">
        <v>30</v>
      </c>
      <c r="S103" s="91">
        <f>SUM(C103:R103)</f>
        <v>0</v>
      </c>
      <c r="T103" s="42">
        <f>T104</f>
        <v>0</v>
      </c>
      <c r="U103" s="102">
        <f t="shared" ref="U103:AE103" si="13">U104</f>
        <v>0</v>
      </c>
      <c r="V103" s="42">
        <f t="shared" si="13"/>
        <v>0</v>
      </c>
      <c r="W103" s="102">
        <f t="shared" si="13"/>
        <v>0</v>
      </c>
      <c r="X103" s="42">
        <f t="shared" si="13"/>
        <v>0</v>
      </c>
      <c r="Y103" s="102">
        <f t="shared" si="13"/>
        <v>0</v>
      </c>
      <c r="Z103" s="42">
        <f t="shared" si="13"/>
        <v>0</v>
      </c>
      <c r="AA103" s="102">
        <f t="shared" si="13"/>
        <v>0</v>
      </c>
      <c r="AB103" s="42">
        <f t="shared" si="13"/>
        <v>0</v>
      </c>
      <c r="AC103" s="102">
        <f t="shared" si="13"/>
        <v>0</v>
      </c>
      <c r="AD103" s="42">
        <f t="shared" si="13"/>
        <v>0</v>
      </c>
      <c r="AE103" s="102">
        <f t="shared" si="13"/>
        <v>0</v>
      </c>
    </row>
    <row r="104" spans="1:31" ht="13.5" thickBot="1" x14ac:dyDescent="0.25">
      <c r="A104" s="61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2"/>
      <c r="T104" s="103"/>
      <c r="U104" s="104"/>
      <c r="V104" s="103"/>
      <c r="W104" s="104"/>
      <c r="X104" s="103"/>
      <c r="Y104" s="104"/>
      <c r="Z104" s="103"/>
      <c r="AA104" s="104"/>
      <c r="AB104" s="103"/>
      <c r="AC104" s="104"/>
      <c r="AD104" s="103"/>
      <c r="AE104" s="104"/>
    </row>
    <row r="105" spans="1:31" ht="13.5" hidden="1" thickBot="1" x14ac:dyDescent="0.25">
      <c r="A105" s="62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3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781" t="s">
        <v>13</v>
      </c>
      <c r="B106" s="782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91">
        <f>SUM(S7+S41+S48+S64+S75+S81+S98+S103)</f>
        <v>81327085</v>
      </c>
      <c r="T106" s="42">
        <f t="shared" ref="T106:AE106" si="14">SUM(T7+T41+T48+T64+T75+T81+T98+T103)</f>
        <v>35000000</v>
      </c>
      <c r="U106" s="11">
        <f t="shared" si="14"/>
        <v>-2665000</v>
      </c>
      <c r="V106" s="42">
        <f t="shared" si="14"/>
        <v>0</v>
      </c>
      <c r="W106" s="11">
        <f t="shared" si="14"/>
        <v>0</v>
      </c>
      <c r="X106" s="42">
        <f t="shared" si="14"/>
        <v>75191767</v>
      </c>
      <c r="Y106" s="11">
        <f t="shared" si="14"/>
        <v>0</v>
      </c>
      <c r="Z106" s="42">
        <f t="shared" si="14"/>
        <v>30800000</v>
      </c>
      <c r="AA106" s="11">
        <f t="shared" si="14"/>
        <v>0</v>
      </c>
      <c r="AB106" s="42">
        <f t="shared" si="14"/>
        <v>0</v>
      </c>
      <c r="AC106" s="11">
        <f t="shared" si="14"/>
        <v>0</v>
      </c>
      <c r="AD106" s="42">
        <f t="shared" si="14"/>
        <v>79522818</v>
      </c>
      <c r="AE106" s="11">
        <f t="shared" si="14"/>
        <v>0</v>
      </c>
    </row>
    <row r="107" spans="1:31" ht="13.5" thickBot="1" x14ac:dyDescent="0.25">
      <c r="A107" s="784"/>
      <c r="B107" s="785"/>
      <c r="C107" s="773"/>
      <c r="D107" s="774"/>
      <c r="E107" s="775"/>
      <c r="F107" s="775"/>
      <c r="G107" s="775"/>
      <c r="H107" s="775"/>
      <c r="I107" s="64"/>
      <c r="J107" s="64"/>
      <c r="K107" s="775"/>
      <c r="L107" s="775"/>
      <c r="M107" s="775"/>
      <c r="N107" s="64"/>
      <c r="O107" s="64"/>
      <c r="P107" s="775"/>
      <c r="Q107" s="775"/>
      <c r="R107" s="775"/>
      <c r="S107" s="94"/>
      <c r="T107" s="106"/>
      <c r="U107" s="107"/>
      <c r="V107" s="106"/>
      <c r="W107" s="107"/>
      <c r="X107" s="106"/>
      <c r="Y107" s="107"/>
      <c r="Z107" s="106"/>
      <c r="AA107" s="107"/>
      <c r="AB107" s="106"/>
      <c r="AC107" s="107"/>
      <c r="AD107" s="106"/>
      <c r="AE107" s="107"/>
    </row>
    <row r="108" spans="1:31" x14ac:dyDescent="0.2">
      <c r="A108" s="778" t="s">
        <v>14</v>
      </c>
      <c r="B108" s="779"/>
      <c r="C108" s="783">
        <f>D106+G106</f>
        <v>-53664200</v>
      </c>
      <c r="D108" s="770"/>
      <c r="E108" s="770"/>
      <c r="F108" s="770"/>
      <c r="G108" s="770"/>
      <c r="H108" s="770"/>
      <c r="I108" s="65"/>
      <c r="J108" s="65"/>
      <c r="K108" s="770">
        <f>L106</f>
        <v>-2256832</v>
      </c>
      <c r="L108" s="770"/>
      <c r="M108" s="770"/>
      <c r="N108" s="65"/>
      <c r="O108" s="65"/>
      <c r="P108" s="770">
        <f>Q106</f>
        <v>137248117</v>
      </c>
      <c r="Q108" s="770"/>
      <c r="R108" s="770"/>
      <c r="S108" s="65">
        <f>C108+K108+P108</f>
        <v>81327085</v>
      </c>
      <c r="T108" s="108"/>
      <c r="U108" s="109"/>
      <c r="V108" s="108"/>
      <c r="W108" s="109"/>
      <c r="X108" s="108"/>
      <c r="Y108" s="109"/>
      <c r="Z108" s="108"/>
      <c r="AA108" s="109"/>
      <c r="AB108" s="108"/>
      <c r="AC108" s="109"/>
      <c r="AD108" s="108"/>
      <c r="AE108" s="109"/>
    </row>
    <row r="109" spans="1:31" hidden="1" x14ac:dyDescent="0.2">
      <c r="A109" s="66">
        <v>9</v>
      </c>
      <c r="B109" s="67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5">
        <f>P109+R109</f>
        <v>0</v>
      </c>
      <c r="T109" s="57"/>
      <c r="U109" s="105"/>
      <c r="V109" s="57"/>
      <c r="W109" s="105"/>
      <c r="X109" s="57"/>
      <c r="Y109" s="105"/>
      <c r="Z109" s="57"/>
      <c r="AA109" s="105"/>
      <c r="AB109" s="57"/>
      <c r="AC109" s="105"/>
      <c r="AD109" s="57"/>
      <c r="AE109" s="105"/>
    </row>
    <row r="110" spans="1:31" x14ac:dyDescent="0.2">
      <c r="A110" s="68"/>
      <c r="B110" s="69" t="s">
        <v>22</v>
      </c>
      <c r="C110" s="83"/>
      <c r="D110" s="83"/>
      <c r="E110" s="83"/>
      <c r="F110" s="83"/>
      <c r="G110" s="83">
        <v>0</v>
      </c>
      <c r="H110" s="83">
        <v>0</v>
      </c>
      <c r="I110" s="83"/>
      <c r="J110" s="83"/>
      <c r="K110" s="83"/>
      <c r="L110" s="83"/>
      <c r="M110" s="84"/>
      <c r="N110" s="83"/>
      <c r="O110" s="83"/>
      <c r="P110" s="83"/>
      <c r="Q110" s="83"/>
      <c r="R110" s="83"/>
      <c r="S110" s="96">
        <f>F110+K110+L110</f>
        <v>0</v>
      </c>
      <c r="T110" s="57"/>
      <c r="U110" s="105"/>
      <c r="V110" s="57"/>
      <c r="W110" s="105"/>
      <c r="X110" s="57"/>
      <c r="Y110" s="105"/>
      <c r="Z110" s="57"/>
      <c r="AA110" s="105"/>
      <c r="AB110" s="57"/>
      <c r="AC110" s="105"/>
      <c r="AD110" s="57"/>
      <c r="AE110" s="105"/>
    </row>
    <row r="111" spans="1:31" x14ac:dyDescent="0.2">
      <c r="A111" s="68"/>
      <c r="B111" s="69" t="s">
        <v>25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5"/>
      <c r="N111" s="83"/>
      <c r="O111" s="83"/>
      <c r="P111" s="83"/>
      <c r="Q111" s="83"/>
      <c r="R111" s="83"/>
      <c r="S111" s="96"/>
      <c r="T111" s="57"/>
      <c r="U111" s="105"/>
      <c r="V111" s="57"/>
      <c r="W111" s="105"/>
      <c r="X111" s="57"/>
      <c r="Y111" s="105"/>
      <c r="Z111" s="57"/>
      <c r="AA111" s="105"/>
      <c r="AB111" s="57"/>
      <c r="AC111" s="105"/>
      <c r="AD111" s="57"/>
      <c r="AE111" s="105"/>
    </row>
    <row r="112" spans="1:31" ht="13.5" thickBot="1" x14ac:dyDescent="0.25">
      <c r="A112" s="68"/>
      <c r="B112" s="69" t="s">
        <v>39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  <c r="N112" s="83"/>
      <c r="O112" s="83"/>
      <c r="P112" s="83"/>
      <c r="Q112" s="83"/>
      <c r="R112" s="83"/>
      <c r="S112" s="96"/>
      <c r="T112" s="97"/>
      <c r="U112" s="73"/>
      <c r="V112" s="97"/>
      <c r="W112" s="73"/>
      <c r="X112" s="97"/>
      <c r="Y112" s="73"/>
      <c r="Z112" s="97"/>
      <c r="AA112" s="73"/>
      <c r="AB112" s="97"/>
      <c r="AC112" s="73"/>
      <c r="AD112" s="97"/>
      <c r="AE112" s="73"/>
    </row>
    <row r="113" spans="1:19" ht="13.5" hidden="1" thickBot="1" x14ac:dyDescent="0.25">
      <c r="A113" s="70">
        <v>10</v>
      </c>
      <c r="B113" s="21" t="s">
        <v>23</v>
      </c>
      <c r="C113" s="71"/>
      <c r="D113" s="71"/>
      <c r="E113" s="71"/>
      <c r="F113" s="71"/>
      <c r="G113" s="71"/>
      <c r="H113" s="71"/>
      <c r="I113" s="71"/>
      <c r="J113" s="71"/>
      <c r="K113" s="22"/>
      <c r="L113" s="22"/>
      <c r="M113" s="72"/>
      <c r="N113" s="71"/>
      <c r="O113" s="71"/>
      <c r="P113" s="71"/>
      <c r="Q113" s="71"/>
      <c r="R113" s="71"/>
      <c r="S113" s="73"/>
    </row>
    <row r="114" spans="1:19" x14ac:dyDescent="0.2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9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9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</sheetData>
  <mergeCells count="68"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5"/>
  <sheetViews>
    <sheetView view="pageBreakPreview" topLeftCell="B146" zoomScaleSheetLayoutView="100" workbookViewId="0">
      <selection activeCell="C180" sqref="C180"/>
    </sheetView>
  </sheetViews>
  <sheetFormatPr defaultColWidth="9.140625" defaultRowHeight="12.75" x14ac:dyDescent="0.2"/>
  <cols>
    <col min="1" max="1" width="8.7109375" style="665" hidden="1" customWidth="1"/>
    <col min="2" max="2" width="4" style="663" customWidth="1"/>
    <col min="3" max="3" width="59.28515625" style="176" customWidth="1"/>
    <col min="4" max="4" width="14" style="666" customWidth="1"/>
    <col min="5" max="5" width="14.5703125" style="666" customWidth="1"/>
    <col min="6" max="6" width="13.7109375" style="666" customWidth="1"/>
    <col min="7" max="7" width="12.5703125" style="666" customWidth="1"/>
    <col min="8" max="8" width="13.5703125" style="666" customWidth="1"/>
    <col min="9" max="9" width="14.85546875" style="666" customWidth="1"/>
    <col min="10" max="10" width="14" style="666" customWidth="1"/>
    <col min="11" max="11" width="13.85546875" style="666" customWidth="1"/>
    <col min="12" max="12" width="18.7109375" style="666" customWidth="1"/>
    <col min="13" max="13" width="13.7109375" style="666" customWidth="1"/>
    <col min="14" max="14" width="15.28515625" style="666" customWidth="1"/>
    <col min="15" max="15" width="14.85546875" style="666" customWidth="1"/>
    <col min="16" max="16" width="30.42578125" style="176" hidden="1" customWidth="1"/>
    <col min="17" max="17" width="12" style="176" bestFit="1" customWidth="1"/>
    <col min="18" max="16384" width="9.140625" style="176"/>
  </cols>
  <sheetData>
    <row r="1" spans="1:16" x14ac:dyDescent="0.2">
      <c r="A1" s="827" t="s">
        <v>440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6" x14ac:dyDescent="0.2">
      <c r="A2" s="177"/>
      <c r="B2" s="177"/>
      <c r="C2" s="178"/>
      <c r="D2" s="178"/>
      <c r="E2" s="827"/>
      <c r="F2" s="827"/>
      <c r="G2" s="827"/>
      <c r="H2" s="827"/>
      <c r="I2" s="827"/>
      <c r="J2" s="827"/>
      <c r="K2" s="827"/>
      <c r="L2" s="178"/>
      <c r="M2" s="178"/>
      <c r="N2" s="178"/>
      <c r="O2" s="178"/>
    </row>
    <row r="3" spans="1:16" ht="13.5" thickBot="1" x14ac:dyDescent="0.25">
      <c r="A3" s="177"/>
      <c r="B3" s="177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6" x14ac:dyDescent="0.2">
      <c r="A4" s="828" t="s">
        <v>96</v>
      </c>
      <c r="B4" s="839" t="s">
        <v>378</v>
      </c>
      <c r="C4" s="830" t="s">
        <v>97</v>
      </c>
      <c r="D4" s="832" t="s">
        <v>150</v>
      </c>
      <c r="E4" s="834" t="s">
        <v>98</v>
      </c>
      <c r="F4" s="835"/>
      <c r="G4" s="836"/>
      <c r="H4" s="834" t="s">
        <v>187</v>
      </c>
      <c r="I4" s="835"/>
      <c r="J4" s="836"/>
      <c r="K4" s="834" t="s">
        <v>99</v>
      </c>
      <c r="L4" s="835"/>
      <c r="M4" s="836"/>
      <c r="N4" s="179" t="s">
        <v>255</v>
      </c>
      <c r="O4" s="180" t="s">
        <v>276</v>
      </c>
      <c r="P4" s="181"/>
    </row>
    <row r="5" spans="1:16" ht="38.25" x14ac:dyDescent="0.2">
      <c r="A5" s="829"/>
      <c r="B5" s="840"/>
      <c r="C5" s="831"/>
      <c r="D5" s="833"/>
      <c r="E5" s="175" t="s">
        <v>100</v>
      </c>
      <c r="F5" s="175" t="s">
        <v>101</v>
      </c>
      <c r="G5" s="175" t="s">
        <v>102</v>
      </c>
      <c r="H5" s="175" t="s">
        <v>100</v>
      </c>
      <c r="I5" s="175" t="s">
        <v>101</v>
      </c>
      <c r="J5" s="175" t="s">
        <v>102</v>
      </c>
      <c r="K5" s="175" t="s">
        <v>100</v>
      </c>
      <c r="L5" s="175" t="s">
        <v>101</v>
      </c>
      <c r="M5" s="175" t="s">
        <v>102</v>
      </c>
      <c r="N5" s="175" t="s">
        <v>77</v>
      </c>
      <c r="O5" s="182" t="s">
        <v>77</v>
      </c>
      <c r="P5" s="183" t="s">
        <v>197</v>
      </c>
    </row>
    <row r="6" spans="1:16" ht="13.5" thickBot="1" x14ac:dyDescent="0.25">
      <c r="A6" s="822"/>
      <c r="B6" s="823"/>
      <c r="C6" s="823"/>
      <c r="D6" s="823"/>
      <c r="E6" s="823"/>
      <c r="F6" s="823"/>
      <c r="G6" s="823"/>
      <c r="H6" s="823"/>
      <c r="I6" s="823"/>
      <c r="J6" s="823"/>
      <c r="K6" s="823"/>
      <c r="L6" s="823"/>
      <c r="M6" s="824"/>
      <c r="N6" s="174"/>
      <c r="O6" s="184"/>
      <c r="P6" s="181"/>
    </row>
    <row r="7" spans="1:16" s="197" customFormat="1" ht="26.25" thickBot="1" x14ac:dyDescent="0.25">
      <c r="A7" s="185">
        <v>1</v>
      </c>
      <c r="B7" s="186" t="s">
        <v>357</v>
      </c>
      <c r="C7" s="187" t="s">
        <v>109</v>
      </c>
      <c r="D7" s="188" t="s">
        <v>358</v>
      </c>
      <c r="E7" s="189" t="s">
        <v>30</v>
      </c>
      <c r="F7" s="190">
        <f>F8+F13+F15+F18+F26</f>
        <v>3169338</v>
      </c>
      <c r="G7" s="191" t="s">
        <v>30</v>
      </c>
      <c r="H7" s="189" t="s">
        <v>30</v>
      </c>
      <c r="I7" s="192">
        <f>I8+I13+I15+I18+I26</f>
        <v>5074821</v>
      </c>
      <c r="J7" s="193" t="s">
        <v>30</v>
      </c>
      <c r="K7" s="189" t="s">
        <v>30</v>
      </c>
      <c r="L7" s="192">
        <f>L8+L13+L15+L18+L26</f>
        <v>-133026</v>
      </c>
      <c r="M7" s="193" t="s">
        <v>30</v>
      </c>
      <c r="N7" s="194">
        <f>N8+N13+N15+N18+N26</f>
        <v>0</v>
      </c>
      <c r="O7" s="195">
        <f>O8+O13+O15+O18+O26</f>
        <v>0</v>
      </c>
      <c r="P7" s="196"/>
    </row>
    <row r="8" spans="1:16" s="209" customFormat="1" ht="13.5" hidden="1" x14ac:dyDescent="0.25">
      <c r="A8" s="198" t="s">
        <v>144</v>
      </c>
      <c r="B8" s="199"/>
      <c r="C8" s="200" t="s">
        <v>110</v>
      </c>
      <c r="D8" s="201"/>
      <c r="E8" s="202" t="s">
        <v>182</v>
      </c>
      <c r="F8" s="203">
        <f>SUM(F9:F12)</f>
        <v>0</v>
      </c>
      <c r="G8" s="204" t="s">
        <v>30</v>
      </c>
      <c r="H8" s="202" t="s">
        <v>182</v>
      </c>
      <c r="I8" s="203">
        <f>SUM(I9:I12)</f>
        <v>0</v>
      </c>
      <c r="J8" s="205" t="s">
        <v>30</v>
      </c>
      <c r="K8" s="202" t="s">
        <v>182</v>
      </c>
      <c r="L8" s="203">
        <f>SUM(L9:L12)</f>
        <v>0</v>
      </c>
      <c r="M8" s="205" t="s">
        <v>30</v>
      </c>
      <c r="N8" s="206">
        <f t="shared" ref="N8:O8" si="0">SUM(N9:N12)</f>
        <v>0</v>
      </c>
      <c r="O8" s="207">
        <f t="shared" si="0"/>
        <v>0</v>
      </c>
      <c r="P8" s="208"/>
    </row>
    <row r="9" spans="1:16" s="197" customFormat="1" hidden="1" x14ac:dyDescent="0.2">
      <c r="A9" s="210"/>
      <c r="B9" s="211"/>
      <c r="C9" s="212" t="s">
        <v>416</v>
      </c>
      <c r="D9" s="213" t="s">
        <v>189</v>
      </c>
      <c r="E9" s="214">
        <v>847899</v>
      </c>
      <c r="F9" s="215"/>
      <c r="G9" s="216">
        <f>F9/E9</f>
        <v>0</v>
      </c>
      <c r="H9" s="214"/>
      <c r="I9" s="215"/>
      <c r="J9" s="216"/>
      <c r="K9" s="217"/>
      <c r="L9" s="218"/>
      <c r="M9" s="219"/>
      <c r="N9" s="220"/>
      <c r="O9" s="221"/>
      <c r="P9" s="196"/>
    </row>
    <row r="10" spans="1:16" s="197" customFormat="1" hidden="1" x14ac:dyDescent="0.2">
      <c r="A10" s="210"/>
      <c r="B10" s="222"/>
      <c r="C10" s="212" t="s">
        <v>216</v>
      </c>
      <c r="D10" s="213" t="s">
        <v>189</v>
      </c>
      <c r="E10" s="214">
        <v>0</v>
      </c>
      <c r="F10" s="215"/>
      <c r="G10" s="223">
        <v>1</v>
      </c>
      <c r="H10" s="214">
        <f>9995341-1800000</f>
        <v>8195341</v>
      </c>
      <c r="I10" s="215"/>
      <c r="J10" s="216">
        <f>I10/H10</f>
        <v>0</v>
      </c>
      <c r="K10" s="217"/>
      <c r="L10" s="218"/>
      <c r="M10" s="219"/>
      <c r="N10" s="220"/>
      <c r="O10" s="221"/>
      <c r="P10" s="196"/>
    </row>
    <row r="11" spans="1:16" s="197" customFormat="1" hidden="1" x14ac:dyDescent="0.2">
      <c r="A11" s="210"/>
      <c r="B11" s="222"/>
      <c r="C11" s="212" t="s">
        <v>214</v>
      </c>
      <c r="D11" s="213" t="s">
        <v>189</v>
      </c>
      <c r="E11" s="214">
        <v>0</v>
      </c>
      <c r="F11" s="215"/>
      <c r="G11" s="223">
        <v>1</v>
      </c>
      <c r="H11" s="214"/>
      <c r="I11" s="215"/>
      <c r="J11" s="216"/>
      <c r="K11" s="217"/>
      <c r="L11" s="218"/>
      <c r="M11" s="219"/>
      <c r="N11" s="220"/>
      <c r="O11" s="221"/>
      <c r="P11" s="196"/>
    </row>
    <row r="12" spans="1:16" s="230" customFormat="1" hidden="1" x14ac:dyDescent="0.2">
      <c r="A12" s="224"/>
      <c r="B12" s="211"/>
      <c r="C12" s="212" t="s">
        <v>200</v>
      </c>
      <c r="D12" s="213" t="s">
        <v>189</v>
      </c>
      <c r="E12" s="225"/>
      <c r="F12" s="215"/>
      <c r="G12" s="223">
        <v>1</v>
      </c>
      <c r="H12" s="225"/>
      <c r="I12" s="215"/>
      <c r="J12" s="226">
        <v>0</v>
      </c>
      <c r="K12" s="217"/>
      <c r="L12" s="218"/>
      <c r="M12" s="219"/>
      <c r="N12" s="227"/>
      <c r="O12" s="228"/>
      <c r="P12" s="229"/>
    </row>
    <row r="13" spans="1:16" s="209" customFormat="1" ht="54" x14ac:dyDescent="0.25">
      <c r="A13" s="231" t="s">
        <v>145</v>
      </c>
      <c r="B13" s="232"/>
      <c r="C13" s="233" t="s">
        <v>111</v>
      </c>
      <c r="D13" s="234"/>
      <c r="E13" s="235" t="s">
        <v>30</v>
      </c>
      <c r="F13" s="236">
        <f>SUM(F14:F14)</f>
        <v>0</v>
      </c>
      <c r="G13" s="237" t="s">
        <v>30</v>
      </c>
      <c r="H13" s="235" t="s">
        <v>30</v>
      </c>
      <c r="I13" s="236">
        <f>SUM(I14:I14)</f>
        <v>0</v>
      </c>
      <c r="J13" s="238" t="s">
        <v>30</v>
      </c>
      <c r="K13" s="235" t="s">
        <v>30</v>
      </c>
      <c r="L13" s="236">
        <f>SUM(L14:L14)</f>
        <v>-23100</v>
      </c>
      <c r="M13" s="238" t="s">
        <v>30</v>
      </c>
      <c r="N13" s="242">
        <f>SUM(N14:N14)</f>
        <v>0</v>
      </c>
      <c r="O13" s="243">
        <f>SUM(O14:O14)</f>
        <v>0</v>
      </c>
      <c r="P13" s="208"/>
    </row>
    <row r="14" spans="1:16" s="197" customFormat="1" ht="25.5" x14ac:dyDescent="0.2">
      <c r="A14" s="210"/>
      <c r="B14" s="222"/>
      <c r="C14" s="244" t="s">
        <v>247</v>
      </c>
      <c r="D14" s="213" t="s">
        <v>189</v>
      </c>
      <c r="E14" s="225"/>
      <c r="F14" s="215"/>
      <c r="G14" s="223"/>
      <c r="H14" s="225"/>
      <c r="I14" s="215"/>
      <c r="J14" s="226"/>
      <c r="K14" s="727">
        <v>256000</v>
      </c>
      <c r="L14" s="591">
        <v>-23100</v>
      </c>
      <c r="M14" s="728">
        <f>L14/K14</f>
        <v>-9.0234375000000006E-2</v>
      </c>
      <c r="N14" s="220"/>
      <c r="O14" s="221"/>
      <c r="P14" s="246"/>
    </row>
    <row r="15" spans="1:16" s="253" customFormat="1" ht="40.5" hidden="1" x14ac:dyDescent="0.25">
      <c r="A15" s="247" t="s">
        <v>146</v>
      </c>
      <c r="B15" s="248"/>
      <c r="C15" s="233" t="s">
        <v>112</v>
      </c>
      <c r="D15" s="234"/>
      <c r="E15" s="235" t="s">
        <v>30</v>
      </c>
      <c r="F15" s="249">
        <f>SUM(F16:F17)</f>
        <v>0</v>
      </c>
      <c r="G15" s="237" t="s">
        <v>30</v>
      </c>
      <c r="H15" s="235" t="s">
        <v>30</v>
      </c>
      <c r="I15" s="236">
        <f>SUM(I16:I17)</f>
        <v>0</v>
      </c>
      <c r="J15" s="238" t="s">
        <v>30</v>
      </c>
      <c r="K15" s="239" t="s">
        <v>30</v>
      </c>
      <c r="L15" s="240">
        <f>SUM(L16:L17)</f>
        <v>0</v>
      </c>
      <c r="M15" s="241" t="s">
        <v>30</v>
      </c>
      <c r="N15" s="250">
        <f t="shared" ref="N15:O15" si="1">SUM(N16:N17)</f>
        <v>0</v>
      </c>
      <c r="O15" s="251">
        <f t="shared" si="1"/>
        <v>0</v>
      </c>
      <c r="P15" s="252"/>
    </row>
    <row r="16" spans="1:16" s="230" customFormat="1" hidden="1" x14ac:dyDescent="0.2">
      <c r="A16" s="224"/>
      <c r="B16" s="211"/>
      <c r="C16" s="212" t="s">
        <v>192</v>
      </c>
      <c r="D16" s="213" t="s">
        <v>190</v>
      </c>
      <c r="E16" s="225"/>
      <c r="F16" s="215"/>
      <c r="G16" s="223"/>
      <c r="H16" s="225"/>
      <c r="I16" s="215"/>
      <c r="J16" s="216">
        <v>1</v>
      </c>
      <c r="K16" s="254"/>
      <c r="L16" s="218"/>
      <c r="M16" s="219"/>
      <c r="N16" s="227"/>
      <c r="O16" s="228"/>
      <c r="P16" s="229"/>
    </row>
    <row r="17" spans="1:16" s="230" customFormat="1" hidden="1" x14ac:dyDescent="0.2">
      <c r="A17" s="224"/>
      <c r="B17" s="211"/>
      <c r="C17" s="212"/>
      <c r="D17" s="213"/>
      <c r="E17" s="225"/>
      <c r="F17" s="215"/>
      <c r="G17" s="223"/>
      <c r="H17" s="225"/>
      <c r="I17" s="215"/>
      <c r="J17" s="226"/>
      <c r="K17" s="254"/>
      <c r="L17" s="218"/>
      <c r="M17" s="219"/>
      <c r="N17" s="227"/>
      <c r="O17" s="228"/>
      <c r="P17" s="229"/>
    </row>
    <row r="18" spans="1:16" s="209" customFormat="1" ht="27" x14ac:dyDescent="0.25">
      <c r="A18" s="231" t="s">
        <v>147</v>
      </c>
      <c r="B18" s="232"/>
      <c r="C18" s="255" t="s">
        <v>113</v>
      </c>
      <c r="D18" s="256"/>
      <c r="E18" s="235" t="s">
        <v>30</v>
      </c>
      <c r="F18" s="236">
        <f>SUM(F19:F25)</f>
        <v>3169338</v>
      </c>
      <c r="G18" s="238" t="s">
        <v>30</v>
      </c>
      <c r="H18" s="235" t="s">
        <v>30</v>
      </c>
      <c r="I18" s="236">
        <f>SUM(I19:I25)</f>
        <v>5074821</v>
      </c>
      <c r="J18" s="238" t="s">
        <v>30</v>
      </c>
      <c r="K18" s="257" t="s">
        <v>30</v>
      </c>
      <c r="L18" s="236">
        <f>SUM(L19:L25)</f>
        <v>-109926</v>
      </c>
      <c r="M18" s="238" t="s">
        <v>30</v>
      </c>
      <c r="N18" s="258">
        <f>SUM(N19:N25)</f>
        <v>0</v>
      </c>
      <c r="O18" s="259">
        <f>SUM(O19:O25)</f>
        <v>0</v>
      </c>
      <c r="P18" s="208"/>
    </row>
    <row r="19" spans="1:16" s="197" customFormat="1" x14ac:dyDescent="0.2">
      <c r="A19" s="210"/>
      <c r="B19" s="222"/>
      <c r="C19" s="260" t="s">
        <v>186</v>
      </c>
      <c r="D19" s="261" t="s">
        <v>189</v>
      </c>
      <c r="E19" s="225"/>
      <c r="F19" s="215"/>
      <c r="G19" s="226"/>
      <c r="H19" s="214"/>
      <c r="I19" s="215"/>
      <c r="J19" s="216"/>
      <c r="K19" s="262">
        <v>1134050</v>
      </c>
      <c r="L19" s="215">
        <v>-91563</v>
      </c>
      <c r="M19" s="216">
        <f>L19/K19</f>
        <v>-8.0739826286318941E-2</v>
      </c>
      <c r="N19" s="263"/>
      <c r="O19" s="264"/>
      <c r="P19" s="265"/>
    </row>
    <row r="20" spans="1:16" s="197" customFormat="1" x14ac:dyDescent="0.2">
      <c r="A20" s="210"/>
      <c r="B20" s="222"/>
      <c r="C20" s="260" t="s">
        <v>539</v>
      </c>
      <c r="D20" s="261" t="s">
        <v>189</v>
      </c>
      <c r="E20" s="225"/>
      <c r="F20" s="215"/>
      <c r="G20" s="226"/>
      <c r="H20" s="214">
        <v>15870530</v>
      </c>
      <c r="I20" s="215">
        <v>1107573</v>
      </c>
      <c r="J20" s="216">
        <f t="shared" ref="J20" si="2">I20/H20</f>
        <v>6.9788028503143876E-2</v>
      </c>
      <c r="K20" s="268"/>
      <c r="L20" s="215"/>
      <c r="M20" s="216"/>
      <c r="N20" s="263"/>
      <c r="O20" s="264"/>
      <c r="P20" s="196"/>
    </row>
    <row r="21" spans="1:16" s="197" customFormat="1" ht="25.5" x14ac:dyDescent="0.2">
      <c r="A21" s="210"/>
      <c r="B21" s="222"/>
      <c r="C21" s="260" t="s">
        <v>438</v>
      </c>
      <c r="D21" s="261" t="s">
        <v>189</v>
      </c>
      <c r="E21" s="225">
        <v>30427433</v>
      </c>
      <c r="F21" s="215">
        <f>2034811+216533+692924</f>
        <v>2944268</v>
      </c>
      <c r="G21" s="216">
        <f>F21/E21</f>
        <v>9.6763601451361342E-2</v>
      </c>
      <c r="H21" s="214">
        <v>78725030</v>
      </c>
      <c r="I21" s="215">
        <v>3967248</v>
      </c>
      <c r="J21" s="216">
        <f>I21/H21</f>
        <v>5.0393731193243113E-2</v>
      </c>
      <c r="K21" s="269">
        <v>210000</v>
      </c>
      <c r="L21" s="215">
        <v>-18363</v>
      </c>
      <c r="M21" s="216">
        <f>L21/K21</f>
        <v>-8.7442857142857142E-2</v>
      </c>
      <c r="N21" s="263"/>
      <c r="O21" s="264"/>
      <c r="P21" s="270"/>
    </row>
    <row r="22" spans="1:16" s="230" customFormat="1" hidden="1" x14ac:dyDescent="0.2">
      <c r="A22" s="224"/>
      <c r="B22" s="211"/>
      <c r="C22" s="271" t="s">
        <v>206</v>
      </c>
      <c r="D22" s="272" t="s">
        <v>189</v>
      </c>
      <c r="E22" s="217"/>
      <c r="F22" s="218"/>
      <c r="G22" s="219"/>
      <c r="H22" s="273"/>
      <c r="I22" s="218"/>
      <c r="J22" s="267" t="e">
        <f>I22/H22</f>
        <v>#DIV/0!</v>
      </c>
      <c r="K22" s="266"/>
      <c r="L22" s="218"/>
      <c r="M22" s="267"/>
      <c r="N22" s="274"/>
      <c r="O22" s="275"/>
      <c r="P22" s="276"/>
    </row>
    <row r="23" spans="1:16" s="230" customFormat="1" ht="13.5" thickBot="1" x14ac:dyDescent="0.25">
      <c r="A23" s="224"/>
      <c r="B23" s="211"/>
      <c r="C23" s="260" t="s">
        <v>533</v>
      </c>
      <c r="D23" s="261" t="s">
        <v>189</v>
      </c>
      <c r="E23" s="225">
        <v>0</v>
      </c>
      <c r="F23" s="215">
        <v>225070</v>
      </c>
      <c r="G23" s="226">
        <v>1</v>
      </c>
      <c r="H23" s="214"/>
      <c r="I23" s="215"/>
      <c r="J23" s="216"/>
      <c r="K23" s="268"/>
      <c r="L23" s="215"/>
      <c r="M23" s="216"/>
      <c r="N23" s="263"/>
      <c r="O23" s="264"/>
      <c r="P23" s="270"/>
    </row>
    <row r="24" spans="1:16" s="230" customFormat="1" hidden="1" x14ac:dyDescent="0.2">
      <c r="A24" s="224"/>
      <c r="B24" s="211"/>
      <c r="C24" s="271"/>
      <c r="D24" s="272"/>
      <c r="E24" s="217"/>
      <c r="F24" s="218"/>
      <c r="G24" s="219"/>
      <c r="H24" s="273"/>
      <c r="I24" s="218"/>
      <c r="J24" s="267">
        <v>1</v>
      </c>
      <c r="K24" s="266"/>
      <c r="L24" s="218"/>
      <c r="M24" s="267"/>
      <c r="N24" s="274"/>
      <c r="O24" s="275"/>
      <c r="P24" s="229"/>
    </row>
    <row r="25" spans="1:16" s="230" customFormat="1" hidden="1" x14ac:dyDescent="0.2">
      <c r="A25" s="224"/>
      <c r="B25" s="211"/>
      <c r="C25" s="271" t="s">
        <v>199</v>
      </c>
      <c r="D25" s="272" t="s">
        <v>189</v>
      </c>
      <c r="E25" s="217"/>
      <c r="F25" s="218"/>
      <c r="G25" s="219"/>
      <c r="H25" s="273"/>
      <c r="I25" s="218"/>
      <c r="J25" s="267">
        <v>1</v>
      </c>
      <c r="K25" s="266"/>
      <c r="L25" s="218"/>
      <c r="M25" s="267"/>
      <c r="N25" s="274"/>
      <c r="O25" s="275"/>
      <c r="P25" s="229"/>
    </row>
    <row r="26" spans="1:16" s="230" customFormat="1" hidden="1" x14ac:dyDescent="0.2">
      <c r="A26" s="277" t="s">
        <v>148</v>
      </c>
      <c r="B26" s="278"/>
      <c r="C26" s="279"/>
      <c r="D26" s="280"/>
      <c r="E26" s="281" t="s">
        <v>30</v>
      </c>
      <c r="F26" s="282">
        <f>SUM(F27:F28)</f>
        <v>0</v>
      </c>
      <c r="G26" s="283" t="s">
        <v>30</v>
      </c>
      <c r="H26" s="281" t="s">
        <v>30</v>
      </c>
      <c r="I26" s="282">
        <f>SUM(I27:I28)</f>
        <v>0</v>
      </c>
      <c r="J26" s="283" t="s">
        <v>30</v>
      </c>
      <c r="K26" s="284" t="s">
        <v>30</v>
      </c>
      <c r="L26" s="282">
        <f>SUM(L27:L28)</f>
        <v>0</v>
      </c>
      <c r="M26" s="283" t="s">
        <v>30</v>
      </c>
      <c r="N26" s="285">
        <f t="shared" ref="N26:O26" si="3">SUM(N27:N28)</f>
        <v>0</v>
      </c>
      <c r="O26" s="286">
        <f t="shared" si="3"/>
        <v>0</v>
      </c>
      <c r="P26" s="229"/>
    </row>
    <row r="27" spans="1:16" s="230" customFormat="1" hidden="1" x14ac:dyDescent="0.2">
      <c r="A27" s="224"/>
      <c r="B27" s="211"/>
      <c r="C27" s="287"/>
      <c r="D27" s="272"/>
      <c r="E27" s="217"/>
      <c r="F27" s="218"/>
      <c r="G27" s="219"/>
      <c r="H27" s="217"/>
      <c r="I27" s="218"/>
      <c r="J27" s="219"/>
      <c r="K27" s="288"/>
      <c r="L27" s="218"/>
      <c r="M27" s="219"/>
      <c r="N27" s="274"/>
      <c r="O27" s="275"/>
      <c r="P27" s="229"/>
    </row>
    <row r="28" spans="1:16" s="230" customFormat="1" ht="13.5" hidden="1" thickBot="1" x14ac:dyDescent="0.25">
      <c r="A28" s="289"/>
      <c r="B28" s="290"/>
      <c r="C28" s="291"/>
      <c r="D28" s="292"/>
      <c r="E28" s="293"/>
      <c r="F28" s="294"/>
      <c r="G28" s="295"/>
      <c r="H28" s="293"/>
      <c r="I28" s="294"/>
      <c r="J28" s="295"/>
      <c r="K28" s="296"/>
      <c r="L28" s="294"/>
      <c r="M28" s="295"/>
      <c r="N28" s="297"/>
      <c r="O28" s="298"/>
      <c r="P28" s="229"/>
    </row>
    <row r="29" spans="1:16" s="197" customFormat="1" ht="26.25" thickBot="1" x14ac:dyDescent="0.25">
      <c r="A29" s="185" t="s">
        <v>149</v>
      </c>
      <c r="B29" s="186" t="s">
        <v>149</v>
      </c>
      <c r="C29" s="299" t="s">
        <v>108</v>
      </c>
      <c r="D29" s="300" t="s">
        <v>428</v>
      </c>
      <c r="E29" s="189" t="s">
        <v>30</v>
      </c>
      <c r="F29" s="192">
        <f>F30+F45+F48</f>
        <v>8851611</v>
      </c>
      <c r="G29" s="193" t="s">
        <v>30</v>
      </c>
      <c r="H29" s="189" t="s">
        <v>30</v>
      </c>
      <c r="I29" s="192">
        <f>I30+I45+I48</f>
        <v>-709387.87000000011</v>
      </c>
      <c r="J29" s="193" t="s">
        <v>30</v>
      </c>
      <c r="K29" s="301" t="s">
        <v>30</v>
      </c>
      <c r="L29" s="192">
        <f>L30+L45+L48</f>
        <v>0</v>
      </c>
      <c r="M29" s="193" t="s">
        <v>30</v>
      </c>
      <c r="N29" s="302">
        <f>N30+N45+N48</f>
        <v>0</v>
      </c>
      <c r="O29" s="303">
        <f>O30+O45+O48</f>
        <v>0</v>
      </c>
      <c r="P29" s="196"/>
    </row>
    <row r="30" spans="1:16" s="313" customFormat="1" ht="27" x14ac:dyDescent="0.25">
      <c r="A30" s="304" t="s">
        <v>151</v>
      </c>
      <c r="B30" s="305"/>
      <c r="C30" s="306" t="s">
        <v>114</v>
      </c>
      <c r="D30" s="307"/>
      <c r="E30" s="308" t="s">
        <v>30</v>
      </c>
      <c r="F30" s="203">
        <f>SUM(F31:F44)</f>
        <v>8851611</v>
      </c>
      <c r="G30" s="309" t="s">
        <v>30</v>
      </c>
      <c r="H30" s="308" t="s">
        <v>30</v>
      </c>
      <c r="I30" s="203">
        <f>SUM(I31:I44)</f>
        <v>-2123945.4700000002</v>
      </c>
      <c r="J30" s="309" t="s">
        <v>30</v>
      </c>
      <c r="K30" s="363" t="s">
        <v>30</v>
      </c>
      <c r="L30" s="203">
        <f>SUM(L31:L44)</f>
        <v>0</v>
      </c>
      <c r="M30" s="309" t="s">
        <v>30</v>
      </c>
      <c r="N30" s="310">
        <f t="shared" ref="N30:O30" si="4">SUM(N31:N44)</f>
        <v>0</v>
      </c>
      <c r="O30" s="311">
        <f t="shared" si="4"/>
        <v>0</v>
      </c>
      <c r="P30" s="312"/>
    </row>
    <row r="31" spans="1:16" s="197" customFormat="1" x14ac:dyDescent="0.2">
      <c r="A31" s="210"/>
      <c r="B31" s="211"/>
      <c r="C31" s="260" t="s">
        <v>217</v>
      </c>
      <c r="D31" s="261" t="s">
        <v>190</v>
      </c>
      <c r="E31" s="214">
        <v>80590000</v>
      </c>
      <c r="F31" s="215">
        <f>20792+10743404</f>
        <v>10764196</v>
      </c>
      <c r="G31" s="216">
        <f>F31/E31</f>
        <v>0.13356739049509864</v>
      </c>
      <c r="H31" s="214"/>
      <c r="I31" s="215"/>
      <c r="J31" s="226"/>
      <c r="K31" s="266"/>
      <c r="L31" s="218"/>
      <c r="M31" s="219"/>
      <c r="N31" s="263"/>
      <c r="O31" s="264"/>
      <c r="P31" s="196"/>
    </row>
    <row r="32" spans="1:16" s="197" customFormat="1" x14ac:dyDescent="0.2">
      <c r="A32" s="210"/>
      <c r="B32" s="211"/>
      <c r="C32" s="260" t="s">
        <v>248</v>
      </c>
      <c r="D32" s="261" t="s">
        <v>190</v>
      </c>
      <c r="E32" s="314">
        <v>203156494</v>
      </c>
      <c r="F32" s="315">
        <f>13435363-38420</f>
        <v>13396943</v>
      </c>
      <c r="G32" s="216">
        <f>F32/E32</f>
        <v>6.5943956485092714E-2</v>
      </c>
      <c r="H32" s="314">
        <v>178348878</v>
      </c>
      <c r="I32" s="315">
        <v>-2123945.4700000002</v>
      </c>
      <c r="J32" s="226">
        <f t="shared" ref="J32" si="5">I32/H32</f>
        <v>-1.1908936539539094E-2</v>
      </c>
      <c r="K32" s="316"/>
      <c r="L32" s="317"/>
      <c r="M32" s="318"/>
      <c r="N32" s="319"/>
      <c r="O32" s="320"/>
      <c r="P32" s="196"/>
    </row>
    <row r="33" spans="1:16" s="197" customFormat="1" x14ac:dyDescent="0.2">
      <c r="A33" s="210"/>
      <c r="B33" s="222"/>
      <c r="C33" s="260" t="s">
        <v>230</v>
      </c>
      <c r="D33" s="261" t="s">
        <v>190</v>
      </c>
      <c r="E33" s="314"/>
      <c r="F33" s="315"/>
      <c r="G33" s="216"/>
      <c r="H33" s="314"/>
      <c r="I33" s="315"/>
      <c r="J33" s="226"/>
      <c r="K33" s="316"/>
      <c r="L33" s="317"/>
      <c r="M33" s="318"/>
      <c r="N33" s="319"/>
      <c r="O33" s="320"/>
      <c r="P33" s="196"/>
    </row>
    <row r="34" spans="1:16" s="197" customFormat="1" x14ac:dyDescent="0.2">
      <c r="A34" s="210"/>
      <c r="B34" s="211"/>
      <c r="C34" s="321" t="s">
        <v>183</v>
      </c>
      <c r="D34" s="322" t="s">
        <v>190</v>
      </c>
      <c r="E34" s="314">
        <v>36009521</v>
      </c>
      <c r="F34" s="315">
        <f>-251364-7912004-912577</f>
        <v>-9075945</v>
      </c>
      <c r="G34" s="216">
        <f>F34/E34</f>
        <v>-0.25204292498086828</v>
      </c>
      <c r="H34" s="314"/>
      <c r="I34" s="315"/>
      <c r="J34" s="226"/>
      <c r="K34" s="316"/>
      <c r="L34" s="317"/>
      <c r="M34" s="318"/>
      <c r="N34" s="319"/>
      <c r="O34" s="320"/>
      <c r="P34" s="196"/>
    </row>
    <row r="35" spans="1:16" s="230" customFormat="1" ht="25.5" x14ac:dyDescent="0.2">
      <c r="A35" s="224"/>
      <c r="B35" s="211"/>
      <c r="C35" s="321" t="s">
        <v>536</v>
      </c>
      <c r="D35" s="322" t="s">
        <v>190</v>
      </c>
      <c r="E35" s="314">
        <v>11368236</v>
      </c>
      <c r="F35" s="315">
        <v>-4412532</v>
      </c>
      <c r="G35" s="216">
        <f>F35/E35</f>
        <v>-0.38814570703845347</v>
      </c>
      <c r="H35" s="314"/>
      <c r="I35" s="315"/>
      <c r="J35" s="226"/>
      <c r="K35" s="316"/>
      <c r="L35" s="317"/>
      <c r="M35" s="318"/>
      <c r="N35" s="323"/>
      <c r="O35" s="324"/>
      <c r="P35" s="229"/>
    </row>
    <row r="36" spans="1:16" s="197" customFormat="1" x14ac:dyDescent="0.2">
      <c r="A36" s="210"/>
      <c r="B36" s="222"/>
      <c r="C36" s="321" t="s">
        <v>534</v>
      </c>
      <c r="D36" s="322" t="s">
        <v>190</v>
      </c>
      <c r="E36" s="314">
        <v>23438829</v>
      </c>
      <c r="F36" s="315">
        <v>-425276</v>
      </c>
      <c r="G36" s="226">
        <v>1</v>
      </c>
      <c r="H36" s="314"/>
      <c r="I36" s="315"/>
      <c r="J36" s="226"/>
      <c r="K36" s="316"/>
      <c r="L36" s="317"/>
      <c r="M36" s="318"/>
      <c r="N36" s="319"/>
      <c r="O36" s="320"/>
      <c r="P36" s="196"/>
    </row>
    <row r="37" spans="1:16" s="197" customFormat="1" ht="25.5" hidden="1" x14ac:dyDescent="0.2">
      <c r="A37" s="210"/>
      <c r="B37" s="222"/>
      <c r="C37" s="321" t="s">
        <v>437</v>
      </c>
      <c r="D37" s="322" t="s">
        <v>190</v>
      </c>
      <c r="E37" s="314">
        <v>0</v>
      </c>
      <c r="F37" s="315"/>
      <c r="G37" s="226">
        <v>1</v>
      </c>
      <c r="H37" s="314"/>
      <c r="I37" s="315"/>
      <c r="J37" s="226"/>
      <c r="K37" s="316"/>
      <c r="L37" s="317"/>
      <c r="M37" s="318"/>
      <c r="N37" s="319"/>
      <c r="O37" s="320"/>
      <c r="P37" s="196"/>
    </row>
    <row r="38" spans="1:16" s="197" customFormat="1" hidden="1" x14ac:dyDescent="0.2">
      <c r="A38" s="210"/>
      <c r="B38" s="222"/>
      <c r="C38" s="321" t="s">
        <v>426</v>
      </c>
      <c r="D38" s="322" t="s">
        <v>190</v>
      </c>
      <c r="E38" s="314"/>
      <c r="F38" s="315"/>
      <c r="G38" s="226">
        <v>1</v>
      </c>
      <c r="H38" s="314"/>
      <c r="I38" s="315"/>
      <c r="J38" s="326"/>
      <c r="K38" s="316"/>
      <c r="L38" s="317"/>
      <c r="M38" s="318"/>
      <c r="N38" s="319"/>
      <c r="O38" s="320"/>
      <c r="P38" s="196"/>
    </row>
    <row r="39" spans="1:16" s="197" customFormat="1" hidden="1" x14ac:dyDescent="0.2">
      <c r="A39" s="210"/>
      <c r="B39" s="211"/>
      <c r="C39" s="321" t="s">
        <v>401</v>
      </c>
      <c r="D39" s="322" t="s">
        <v>190</v>
      </c>
      <c r="E39" s="314"/>
      <c r="F39" s="315"/>
      <c r="G39" s="226">
        <v>1</v>
      </c>
      <c r="H39" s="314"/>
      <c r="I39" s="315"/>
      <c r="J39" s="326"/>
      <c r="K39" s="327"/>
      <c r="L39" s="317"/>
      <c r="M39" s="318"/>
      <c r="N39" s="319"/>
      <c r="O39" s="320"/>
      <c r="P39" s="196"/>
    </row>
    <row r="40" spans="1:16" s="230" customFormat="1" x14ac:dyDescent="0.2">
      <c r="A40" s="224"/>
      <c r="B40" s="211"/>
      <c r="C40" s="321" t="s">
        <v>535</v>
      </c>
      <c r="D40" s="322" t="s">
        <v>190</v>
      </c>
      <c r="E40" s="314">
        <v>18445281</v>
      </c>
      <c r="F40" s="315">
        <v>-767984</v>
      </c>
      <c r="G40" s="226">
        <v>1</v>
      </c>
      <c r="H40" s="314"/>
      <c r="I40" s="315"/>
      <c r="J40" s="326"/>
      <c r="K40" s="327"/>
      <c r="L40" s="317"/>
      <c r="M40" s="318"/>
      <c r="N40" s="323"/>
      <c r="O40" s="324"/>
      <c r="P40" s="229"/>
    </row>
    <row r="41" spans="1:16" s="230" customFormat="1" hidden="1" x14ac:dyDescent="0.2">
      <c r="A41" s="224"/>
      <c r="B41" s="211"/>
      <c r="C41" s="321" t="s">
        <v>206</v>
      </c>
      <c r="D41" s="322" t="s">
        <v>190</v>
      </c>
      <c r="E41" s="314"/>
      <c r="F41" s="315"/>
      <c r="G41" s="325"/>
      <c r="H41" s="314"/>
      <c r="I41" s="315"/>
      <c r="J41" s="326"/>
      <c r="K41" s="327"/>
      <c r="L41" s="317"/>
      <c r="M41" s="318"/>
      <c r="N41" s="323"/>
      <c r="O41" s="324"/>
      <c r="P41" s="181"/>
    </row>
    <row r="42" spans="1:16" s="197" customFormat="1" x14ac:dyDescent="0.2">
      <c r="A42" s="210"/>
      <c r="B42" s="211"/>
      <c r="C42" s="321" t="s">
        <v>385</v>
      </c>
      <c r="D42" s="322" t="s">
        <v>190</v>
      </c>
      <c r="E42" s="314">
        <v>2650000</v>
      </c>
      <c r="F42" s="748">
        <v>-673464</v>
      </c>
      <c r="G42" s="325">
        <v>1</v>
      </c>
      <c r="H42" s="314"/>
      <c r="I42" s="315"/>
      <c r="J42" s="326"/>
      <c r="K42" s="327"/>
      <c r="L42" s="317"/>
      <c r="M42" s="318"/>
      <c r="N42" s="323"/>
      <c r="O42" s="324"/>
      <c r="P42" s="196"/>
    </row>
    <row r="43" spans="1:16" s="197" customFormat="1" x14ac:dyDescent="0.2">
      <c r="A43" s="210"/>
      <c r="B43" s="211"/>
      <c r="C43" s="321" t="s">
        <v>215</v>
      </c>
      <c r="D43" s="322" t="s">
        <v>190</v>
      </c>
      <c r="E43" s="314">
        <v>5895888</v>
      </c>
      <c r="F43" s="748">
        <f>-567-36808+83048</f>
        <v>45673</v>
      </c>
      <c r="G43" s="325">
        <f>F43/E43</f>
        <v>7.7465854168193155E-3</v>
      </c>
      <c r="H43" s="314"/>
      <c r="I43" s="315"/>
      <c r="J43" s="326"/>
      <c r="K43" s="327"/>
      <c r="L43" s="317"/>
      <c r="M43" s="318"/>
      <c r="N43" s="323"/>
      <c r="O43" s="324"/>
      <c r="P43" s="196"/>
    </row>
    <row r="44" spans="1:16" s="197" customFormat="1" ht="13.5" hidden="1" thickBot="1" x14ac:dyDescent="0.25">
      <c r="A44" s="210"/>
      <c r="B44" s="211"/>
      <c r="C44" s="321" t="s">
        <v>243</v>
      </c>
      <c r="D44" s="328" t="s">
        <v>190</v>
      </c>
      <c r="E44" s="329">
        <v>0</v>
      </c>
      <c r="F44" s="749"/>
      <c r="G44" s="331">
        <v>1</v>
      </c>
      <c r="H44" s="329"/>
      <c r="I44" s="330"/>
      <c r="J44" s="332"/>
      <c r="K44" s="333"/>
      <c r="L44" s="294"/>
      <c r="M44" s="295"/>
      <c r="N44" s="334"/>
      <c r="O44" s="335"/>
      <c r="P44" s="196"/>
    </row>
    <row r="45" spans="1:16" s="230" customFormat="1" ht="38.25" hidden="1" x14ac:dyDescent="0.2">
      <c r="A45" s="277" t="s">
        <v>152</v>
      </c>
      <c r="B45" s="278"/>
      <c r="C45" s="336" t="s">
        <v>115</v>
      </c>
      <c r="D45" s="337"/>
      <c r="E45" s="338" t="s">
        <v>30</v>
      </c>
      <c r="F45" s="339">
        <f>SUM(F46:F47)</f>
        <v>0</v>
      </c>
      <c r="G45" s="340" t="s">
        <v>30</v>
      </c>
      <c r="H45" s="338" t="s">
        <v>30</v>
      </c>
      <c r="I45" s="339">
        <f>SUM(I46:I47)</f>
        <v>0</v>
      </c>
      <c r="J45" s="340" t="s">
        <v>30</v>
      </c>
      <c r="K45" s="284" t="s">
        <v>30</v>
      </c>
      <c r="L45" s="282">
        <f>SUM(L46:L47)</f>
        <v>0</v>
      </c>
      <c r="M45" s="283" t="s">
        <v>30</v>
      </c>
      <c r="N45" s="285">
        <f t="shared" ref="N45:O45" si="6">SUM(N46:N47)</f>
        <v>0</v>
      </c>
      <c r="O45" s="286">
        <f t="shared" si="6"/>
        <v>0</v>
      </c>
      <c r="P45" s="229"/>
    </row>
    <row r="46" spans="1:16" s="230" customFormat="1" hidden="1" x14ac:dyDescent="0.2">
      <c r="A46" s="224"/>
      <c r="B46" s="211"/>
      <c r="C46" s="341"/>
      <c r="D46" s="261"/>
      <c r="E46" s="225"/>
      <c r="F46" s="215"/>
      <c r="G46" s="226"/>
      <c r="H46" s="225"/>
      <c r="I46" s="215"/>
      <c r="J46" s="226"/>
      <c r="K46" s="342"/>
      <c r="L46" s="218"/>
      <c r="M46" s="219"/>
      <c r="N46" s="274"/>
      <c r="O46" s="275"/>
      <c r="P46" s="229"/>
    </row>
    <row r="47" spans="1:16" s="230" customFormat="1" ht="13.5" hidden="1" thickBot="1" x14ac:dyDescent="0.25">
      <c r="A47" s="224"/>
      <c r="B47" s="211"/>
      <c r="C47" s="341"/>
      <c r="D47" s="328"/>
      <c r="E47" s="343"/>
      <c r="F47" s="330"/>
      <c r="G47" s="331"/>
      <c r="H47" s="343"/>
      <c r="I47" s="330"/>
      <c r="J47" s="331"/>
      <c r="K47" s="333"/>
      <c r="L47" s="294"/>
      <c r="M47" s="295"/>
      <c r="N47" s="297"/>
      <c r="O47" s="298"/>
      <c r="P47" s="229"/>
    </row>
    <row r="48" spans="1:16" s="313" customFormat="1" ht="27" x14ac:dyDescent="0.25">
      <c r="A48" s="344" t="s">
        <v>153</v>
      </c>
      <c r="B48" s="345"/>
      <c r="C48" s="346" t="s">
        <v>116</v>
      </c>
      <c r="D48" s="347"/>
      <c r="E48" s="348" t="s">
        <v>30</v>
      </c>
      <c r="F48" s="236">
        <f>SUM(F49:F54)</f>
        <v>0</v>
      </c>
      <c r="G48" s="349" t="s">
        <v>30</v>
      </c>
      <c r="H48" s="348" t="s">
        <v>30</v>
      </c>
      <c r="I48" s="236">
        <f>SUM(I49:I54)</f>
        <v>1414557.6</v>
      </c>
      <c r="J48" s="349" t="s">
        <v>30</v>
      </c>
      <c r="K48" s="350" t="s">
        <v>439</v>
      </c>
      <c r="L48" s="236">
        <f>SUM(L49:L54)</f>
        <v>0</v>
      </c>
      <c r="M48" s="349" t="s">
        <v>30</v>
      </c>
      <c r="N48" s="258">
        <f t="shared" ref="N48:O48" si="7">SUM(N49:N54)</f>
        <v>0</v>
      </c>
      <c r="O48" s="259">
        <f t="shared" si="7"/>
        <v>0</v>
      </c>
      <c r="P48" s="312"/>
    </row>
    <row r="49" spans="1:16" s="197" customFormat="1" x14ac:dyDescent="0.2">
      <c r="A49" s="210"/>
      <c r="B49" s="222"/>
      <c r="C49" s="341" t="s">
        <v>443</v>
      </c>
      <c r="D49" s="261" t="s">
        <v>193</v>
      </c>
      <c r="E49" s="225"/>
      <c r="F49" s="215"/>
      <c r="G49" s="226"/>
      <c r="H49" s="214">
        <v>16570000</v>
      </c>
      <c r="I49" s="215">
        <f>-222620-217822-0.4</f>
        <v>-440442.4</v>
      </c>
      <c r="J49" s="226">
        <v>1</v>
      </c>
      <c r="K49" s="351"/>
      <c r="L49" s="215"/>
      <c r="M49" s="226"/>
      <c r="N49" s="263"/>
      <c r="O49" s="264"/>
      <c r="P49" s="196"/>
    </row>
    <row r="50" spans="1:16" s="230" customFormat="1" ht="13.5" thickBot="1" x14ac:dyDescent="0.25">
      <c r="A50" s="352"/>
      <c r="B50" s="211"/>
      <c r="C50" s="341" t="s">
        <v>528</v>
      </c>
      <c r="D50" s="261" t="s">
        <v>190</v>
      </c>
      <c r="E50" s="533"/>
      <c r="F50" s="315"/>
      <c r="G50" s="325"/>
      <c r="H50" s="314">
        <v>40100507</v>
      </c>
      <c r="I50" s="315">
        <v>1855000</v>
      </c>
      <c r="J50" s="226">
        <f t="shared" ref="J50" si="8">I50/H50</f>
        <v>4.6258766753248283E-2</v>
      </c>
      <c r="K50" s="356"/>
      <c r="L50" s="317"/>
      <c r="M50" s="318"/>
      <c r="N50" s="323"/>
      <c r="O50" s="324"/>
      <c r="P50" s="229"/>
    </row>
    <row r="51" spans="1:16" s="197" customFormat="1" hidden="1" x14ac:dyDescent="0.2">
      <c r="A51" s="357"/>
      <c r="B51" s="222"/>
      <c r="C51" s="353" t="s">
        <v>214</v>
      </c>
      <c r="D51" s="272" t="s">
        <v>190</v>
      </c>
      <c r="E51" s="354">
        <v>0</v>
      </c>
      <c r="F51" s="317"/>
      <c r="G51" s="318">
        <v>1</v>
      </c>
      <c r="H51" s="355"/>
      <c r="I51" s="317"/>
      <c r="J51" s="219"/>
      <c r="K51" s="356"/>
      <c r="L51" s="317"/>
      <c r="M51" s="318"/>
      <c r="N51" s="319"/>
      <c r="O51" s="320"/>
      <c r="P51" s="196"/>
    </row>
    <row r="52" spans="1:16" s="197" customFormat="1" hidden="1" x14ac:dyDescent="0.2">
      <c r="A52" s="357"/>
      <c r="B52" s="211"/>
      <c r="C52" s="358" t="s">
        <v>263</v>
      </c>
      <c r="D52" s="272" t="s">
        <v>190</v>
      </c>
      <c r="E52" s="354"/>
      <c r="F52" s="317"/>
      <c r="G52" s="318"/>
      <c r="H52" s="355">
        <v>0</v>
      </c>
      <c r="I52" s="317"/>
      <c r="J52" s="219">
        <v>1</v>
      </c>
      <c r="K52" s="359">
        <v>0</v>
      </c>
      <c r="L52" s="317"/>
      <c r="M52" s="318">
        <v>1</v>
      </c>
      <c r="N52" s="323"/>
      <c r="O52" s="324"/>
      <c r="P52" s="181"/>
    </row>
    <row r="53" spans="1:16" s="197" customFormat="1" hidden="1" x14ac:dyDescent="0.2">
      <c r="A53" s="357"/>
      <c r="B53" s="211"/>
      <c r="C53" s="353" t="s">
        <v>261</v>
      </c>
      <c r="D53" s="272" t="s">
        <v>190</v>
      </c>
      <c r="E53" s="354">
        <v>0</v>
      </c>
      <c r="F53" s="317"/>
      <c r="G53" s="318">
        <v>1</v>
      </c>
      <c r="H53" s="355">
        <v>0</v>
      </c>
      <c r="I53" s="317"/>
      <c r="J53" s="219">
        <v>1</v>
      </c>
      <c r="K53" s="356"/>
      <c r="L53" s="317"/>
      <c r="M53" s="318"/>
      <c r="N53" s="323"/>
      <c r="O53" s="324"/>
      <c r="P53" s="196"/>
    </row>
    <row r="54" spans="1:16" s="197" customFormat="1" ht="13.5" hidden="1" thickBot="1" x14ac:dyDescent="0.25">
      <c r="A54" s="360"/>
      <c r="B54" s="290"/>
      <c r="C54" s="353" t="s">
        <v>262</v>
      </c>
      <c r="D54" s="272" t="s">
        <v>190</v>
      </c>
      <c r="E54" s="293"/>
      <c r="F54" s="294"/>
      <c r="G54" s="295"/>
      <c r="H54" s="361">
        <v>0</v>
      </c>
      <c r="I54" s="294"/>
      <c r="J54" s="219">
        <v>1</v>
      </c>
      <c r="K54" s="296"/>
      <c r="L54" s="294"/>
      <c r="M54" s="295"/>
      <c r="N54" s="297"/>
      <c r="O54" s="298"/>
      <c r="P54" s="196"/>
    </row>
    <row r="55" spans="1:16" s="197" customFormat="1" ht="26.25" thickBot="1" x14ac:dyDescent="0.25">
      <c r="A55" s="185" t="s">
        <v>154</v>
      </c>
      <c r="B55" s="186" t="s">
        <v>154</v>
      </c>
      <c r="C55" s="299" t="s">
        <v>117</v>
      </c>
      <c r="D55" s="300" t="s">
        <v>429</v>
      </c>
      <c r="E55" s="189" t="s">
        <v>30</v>
      </c>
      <c r="F55" s="192">
        <f>F56+F76</f>
        <v>-10383082</v>
      </c>
      <c r="G55" s="193" t="s">
        <v>30</v>
      </c>
      <c r="H55" s="189" t="s">
        <v>30</v>
      </c>
      <c r="I55" s="192">
        <f>I56+I76</f>
        <v>424624</v>
      </c>
      <c r="J55" s="193" t="s">
        <v>30</v>
      </c>
      <c r="K55" s="301" t="s">
        <v>30</v>
      </c>
      <c r="L55" s="192">
        <f>L56+L76</f>
        <v>1458</v>
      </c>
      <c r="M55" s="362" t="s">
        <v>30</v>
      </c>
      <c r="N55" s="302">
        <f>N56+N76</f>
        <v>0</v>
      </c>
      <c r="O55" s="303">
        <f>O56+O76</f>
        <v>0</v>
      </c>
      <c r="P55" s="196"/>
    </row>
    <row r="56" spans="1:16" s="313" customFormat="1" ht="27" x14ac:dyDescent="0.25">
      <c r="A56" s="304" t="s">
        <v>155</v>
      </c>
      <c r="B56" s="305"/>
      <c r="C56" s="306" t="s">
        <v>118</v>
      </c>
      <c r="D56" s="307"/>
      <c r="E56" s="308" t="s">
        <v>30</v>
      </c>
      <c r="F56" s="203">
        <f>SUM(F57:F75)</f>
        <v>-10383082</v>
      </c>
      <c r="G56" s="309" t="s">
        <v>30</v>
      </c>
      <c r="H56" s="308" t="s">
        <v>30</v>
      </c>
      <c r="I56" s="203">
        <f>SUM(I57:I75)</f>
        <v>424624</v>
      </c>
      <c r="J56" s="309" t="s">
        <v>30</v>
      </c>
      <c r="K56" s="363" t="s">
        <v>30</v>
      </c>
      <c r="L56" s="203">
        <f>SUM(L57:L75)</f>
        <v>1458</v>
      </c>
      <c r="M56" s="309" t="s">
        <v>30</v>
      </c>
      <c r="N56" s="310">
        <f t="shared" ref="N56:O56" si="9">SUM(N57:N75)</f>
        <v>0</v>
      </c>
      <c r="O56" s="311">
        <f t="shared" si="9"/>
        <v>0</v>
      </c>
      <c r="P56" s="312"/>
    </row>
    <row r="57" spans="1:16" s="197" customFormat="1" x14ac:dyDescent="0.2">
      <c r="A57" s="210"/>
      <c r="B57" s="222"/>
      <c r="C57" s="321" t="s">
        <v>386</v>
      </c>
      <c r="D57" s="261" t="s">
        <v>195</v>
      </c>
      <c r="E57" s="225"/>
      <c r="F57" s="215"/>
      <c r="G57" s="216"/>
      <c r="H57" s="214">
        <f>5017298.11+67080</f>
        <v>5084378.1100000003</v>
      </c>
      <c r="I57" s="215">
        <f>1468+423156-10000</f>
        <v>414624</v>
      </c>
      <c r="J57" s="216">
        <f>I57/H57</f>
        <v>8.1548616375425306E-2</v>
      </c>
      <c r="K57" s="364">
        <v>650346</v>
      </c>
      <c r="L57" s="215">
        <v>1458</v>
      </c>
      <c r="M57" s="216">
        <f>L57/K57</f>
        <v>2.2418835512173518E-3</v>
      </c>
      <c r="N57" s="263"/>
      <c r="O57" s="264"/>
      <c r="P57" s="196"/>
    </row>
    <row r="58" spans="1:16" s="197" customFormat="1" x14ac:dyDescent="0.2">
      <c r="A58" s="210"/>
      <c r="B58" s="211"/>
      <c r="C58" s="321" t="s">
        <v>244</v>
      </c>
      <c r="D58" s="261" t="s">
        <v>195</v>
      </c>
      <c r="E58" s="214">
        <v>6104400</v>
      </c>
      <c r="F58" s="215">
        <v>45737</v>
      </c>
      <c r="G58" s="216">
        <f>F58/E58</f>
        <v>7.492464451870782E-3</v>
      </c>
      <c r="H58" s="273"/>
      <c r="I58" s="218"/>
      <c r="J58" s="267"/>
      <c r="K58" s="365"/>
      <c r="L58" s="218"/>
      <c r="M58" s="267"/>
      <c r="N58" s="263"/>
      <c r="O58" s="264"/>
      <c r="P58" s="196"/>
    </row>
    <row r="59" spans="1:16" s="197" customFormat="1" ht="25.5" x14ac:dyDescent="0.2">
      <c r="A59" s="210"/>
      <c r="B59" s="211"/>
      <c r="C59" s="321" t="s">
        <v>258</v>
      </c>
      <c r="D59" s="261" t="s">
        <v>195</v>
      </c>
      <c r="E59" s="214">
        <f>1685127+28647</f>
        <v>1713774</v>
      </c>
      <c r="F59" s="215">
        <f>-4207-890</f>
        <v>-5097</v>
      </c>
      <c r="G59" s="216">
        <f>F59/E59</f>
        <v>-2.974137780127368E-3</v>
      </c>
      <c r="H59" s="217"/>
      <c r="I59" s="218"/>
      <c r="J59" s="267"/>
      <c r="K59" s="365"/>
      <c r="L59" s="218"/>
      <c r="M59" s="267"/>
      <c r="N59" s="274"/>
      <c r="O59" s="275"/>
      <c r="P59" s="196"/>
    </row>
    <row r="60" spans="1:16" s="197" customFormat="1" hidden="1" x14ac:dyDescent="0.2">
      <c r="A60" s="210"/>
      <c r="B60" s="211"/>
      <c r="C60" s="287" t="s">
        <v>387</v>
      </c>
      <c r="D60" s="272" t="s">
        <v>195</v>
      </c>
      <c r="E60" s="273"/>
      <c r="F60" s="218"/>
      <c r="G60" s="267" t="e">
        <f t="shared" ref="G60:G74" si="10">F60/E60</f>
        <v>#DIV/0!</v>
      </c>
      <c r="H60" s="217"/>
      <c r="I60" s="218"/>
      <c r="J60" s="267"/>
      <c r="K60" s="365"/>
      <c r="L60" s="218"/>
      <c r="M60" s="267"/>
      <c r="N60" s="274"/>
      <c r="O60" s="275"/>
      <c r="P60" s="196"/>
    </row>
    <row r="61" spans="1:16" s="230" customFormat="1" hidden="1" x14ac:dyDescent="0.2">
      <c r="A61" s="224"/>
      <c r="B61" s="211"/>
      <c r="C61" s="287" t="s">
        <v>210</v>
      </c>
      <c r="D61" s="272" t="s">
        <v>211</v>
      </c>
      <c r="E61" s="217"/>
      <c r="F61" s="218"/>
      <c r="G61" s="267" t="e">
        <f t="shared" si="10"/>
        <v>#DIV/0!</v>
      </c>
      <c r="H61" s="217"/>
      <c r="I61" s="218"/>
      <c r="J61" s="267"/>
      <c r="K61" s="365"/>
      <c r="L61" s="218"/>
      <c r="M61" s="267"/>
      <c r="N61" s="274"/>
      <c r="O61" s="275"/>
      <c r="P61" s="229"/>
    </row>
    <row r="62" spans="1:16" s="230" customFormat="1" hidden="1" x14ac:dyDescent="0.2">
      <c r="A62" s="224"/>
      <c r="B62" s="211"/>
      <c r="C62" s="287" t="s">
        <v>231</v>
      </c>
      <c r="D62" s="272" t="s">
        <v>195</v>
      </c>
      <c r="E62" s="217"/>
      <c r="F62" s="218"/>
      <c r="G62" s="267" t="e">
        <f t="shared" si="10"/>
        <v>#DIV/0!</v>
      </c>
      <c r="H62" s="217"/>
      <c r="I62" s="218"/>
      <c r="J62" s="267"/>
      <c r="K62" s="365"/>
      <c r="L62" s="218"/>
      <c r="M62" s="267"/>
      <c r="N62" s="274"/>
      <c r="O62" s="275"/>
      <c r="P62" s="229"/>
    </row>
    <row r="63" spans="1:16" s="197" customFormat="1" ht="25.5" x14ac:dyDescent="0.2">
      <c r="A63" s="210"/>
      <c r="B63" s="222"/>
      <c r="C63" s="321" t="s">
        <v>232</v>
      </c>
      <c r="D63" s="261" t="s">
        <v>195</v>
      </c>
      <c r="E63" s="225">
        <v>86596900</v>
      </c>
      <c r="F63" s="215">
        <v>1527941</v>
      </c>
      <c r="G63" s="216">
        <f t="shared" si="10"/>
        <v>1.7644292116692398E-2</v>
      </c>
      <c r="H63" s="225"/>
      <c r="I63" s="215"/>
      <c r="J63" s="216"/>
      <c r="K63" s="364"/>
      <c r="L63" s="215"/>
      <c r="M63" s="216"/>
      <c r="N63" s="263"/>
      <c r="O63" s="264"/>
      <c r="P63" s="196"/>
    </row>
    <row r="64" spans="1:16" s="197" customFormat="1" x14ac:dyDescent="0.2">
      <c r="A64" s="210"/>
      <c r="B64" s="222"/>
      <c r="C64" s="321" t="s">
        <v>233</v>
      </c>
      <c r="D64" s="261" t="s">
        <v>195</v>
      </c>
      <c r="E64" s="225">
        <f>34078900+27050000+68812000</f>
        <v>129940900</v>
      </c>
      <c r="F64" s="215">
        <f>-920000+4816000-2384160</f>
        <v>1511840</v>
      </c>
      <c r="G64" s="216">
        <f t="shared" si="10"/>
        <v>1.1634827833268817E-2</v>
      </c>
      <c r="H64" s="217"/>
      <c r="I64" s="218"/>
      <c r="J64" s="267"/>
      <c r="K64" s="365"/>
      <c r="L64" s="218"/>
      <c r="M64" s="267"/>
      <c r="N64" s="263"/>
      <c r="O64" s="264"/>
      <c r="P64" s="196"/>
    </row>
    <row r="65" spans="1:16" s="230" customFormat="1" ht="25.5" hidden="1" x14ac:dyDescent="0.2">
      <c r="A65" s="224"/>
      <c r="B65" s="211"/>
      <c r="C65" s="321" t="s">
        <v>234</v>
      </c>
      <c r="D65" s="261" t="s">
        <v>195</v>
      </c>
      <c r="E65" s="225"/>
      <c r="F65" s="215"/>
      <c r="G65" s="216" t="e">
        <f t="shared" si="10"/>
        <v>#DIV/0!</v>
      </c>
      <c r="H65" s="217"/>
      <c r="I65" s="218"/>
      <c r="J65" s="267"/>
      <c r="K65" s="365"/>
      <c r="L65" s="218"/>
      <c r="M65" s="267"/>
      <c r="N65" s="274"/>
      <c r="O65" s="275"/>
      <c r="P65" s="229"/>
    </row>
    <row r="66" spans="1:16" s="197" customFormat="1" x14ac:dyDescent="0.2">
      <c r="A66" s="210"/>
      <c r="B66" s="211"/>
      <c r="C66" s="321" t="s">
        <v>235</v>
      </c>
      <c r="D66" s="261" t="s">
        <v>195</v>
      </c>
      <c r="E66" s="225">
        <v>21013000</v>
      </c>
      <c r="F66" s="215">
        <f>-2176798</f>
        <v>-2176798</v>
      </c>
      <c r="G66" s="216">
        <f t="shared" si="10"/>
        <v>-0.10359291866939514</v>
      </c>
      <c r="H66" s="217"/>
      <c r="I66" s="218"/>
      <c r="J66" s="267"/>
      <c r="K66" s="365"/>
      <c r="L66" s="218"/>
      <c r="M66" s="267"/>
      <c r="N66" s="263"/>
      <c r="O66" s="264"/>
      <c r="P66" s="196"/>
    </row>
    <row r="67" spans="1:16" s="197" customFormat="1" x14ac:dyDescent="0.2">
      <c r="A67" s="210"/>
      <c r="B67" s="211"/>
      <c r="C67" s="321" t="s">
        <v>236</v>
      </c>
      <c r="D67" s="261" t="s">
        <v>195</v>
      </c>
      <c r="E67" s="225">
        <f>291496396-22331314+83513384</f>
        <v>352678466</v>
      </c>
      <c r="F67" s="215">
        <f>-2650000-84633-750000-22905314+10999997+2552376+3247000</f>
        <v>-9590574</v>
      </c>
      <c r="G67" s="216">
        <f t="shared" si="10"/>
        <v>-2.7193534407626691E-2</v>
      </c>
      <c r="H67" s="217"/>
      <c r="I67" s="218"/>
      <c r="J67" s="267"/>
      <c r="K67" s="365"/>
      <c r="L67" s="218"/>
      <c r="M67" s="267"/>
      <c r="N67" s="263"/>
      <c r="O67" s="264"/>
      <c r="P67" s="196"/>
    </row>
    <row r="68" spans="1:16" s="230" customFormat="1" ht="25.5" hidden="1" x14ac:dyDescent="0.2">
      <c r="A68" s="224"/>
      <c r="B68" s="211"/>
      <c r="C68" s="287" t="s">
        <v>237</v>
      </c>
      <c r="D68" s="272" t="s">
        <v>212</v>
      </c>
      <c r="E68" s="217"/>
      <c r="F68" s="218"/>
      <c r="G68" s="216" t="e">
        <f t="shared" si="10"/>
        <v>#DIV/0!</v>
      </c>
      <c r="H68" s="217"/>
      <c r="I68" s="218"/>
      <c r="J68" s="267"/>
      <c r="K68" s="365"/>
      <c r="L68" s="218"/>
      <c r="M68" s="267"/>
      <c r="N68" s="274"/>
      <c r="O68" s="275"/>
      <c r="P68" s="229"/>
    </row>
    <row r="69" spans="1:16" s="197" customFormat="1" x14ac:dyDescent="0.2">
      <c r="A69" s="210"/>
      <c r="B69" s="222"/>
      <c r="C69" s="321" t="s">
        <v>532</v>
      </c>
      <c r="D69" s="261" t="s">
        <v>212</v>
      </c>
      <c r="E69" s="225">
        <v>2275344</v>
      </c>
      <c r="F69" s="215">
        <v>1700000</v>
      </c>
      <c r="G69" s="216">
        <f t="shared" si="10"/>
        <v>0.74713977315078506</v>
      </c>
      <c r="H69" s="225"/>
      <c r="I69" s="215"/>
      <c r="J69" s="216"/>
      <c r="K69" s="364"/>
      <c r="L69" s="215"/>
      <c r="M69" s="216"/>
      <c r="N69" s="263"/>
      <c r="O69" s="264"/>
      <c r="P69" s="196"/>
    </row>
    <row r="70" spans="1:16" s="230" customFormat="1" ht="38.25" x14ac:dyDescent="0.2">
      <c r="A70" s="224"/>
      <c r="B70" s="211"/>
      <c r="C70" s="321" t="s">
        <v>266</v>
      </c>
      <c r="D70" s="261" t="s">
        <v>212</v>
      </c>
      <c r="E70" s="225">
        <v>22331314</v>
      </c>
      <c r="F70" s="215">
        <v>-2900238</v>
      </c>
      <c r="G70" s="216">
        <f t="shared" si="10"/>
        <v>-0.12987314584354509</v>
      </c>
      <c r="H70" s="217"/>
      <c r="I70" s="218"/>
      <c r="J70" s="267"/>
      <c r="K70" s="365"/>
      <c r="L70" s="218"/>
      <c r="M70" s="267"/>
      <c r="N70" s="274"/>
      <c r="O70" s="275"/>
      <c r="P70" s="229"/>
    </row>
    <row r="71" spans="1:16" s="230" customFormat="1" ht="25.5" hidden="1" x14ac:dyDescent="0.2">
      <c r="A71" s="224"/>
      <c r="B71" s="211"/>
      <c r="C71" s="287" t="s">
        <v>238</v>
      </c>
      <c r="D71" s="272" t="s">
        <v>211</v>
      </c>
      <c r="E71" s="217"/>
      <c r="F71" s="218"/>
      <c r="G71" s="267" t="e">
        <f t="shared" si="10"/>
        <v>#DIV/0!</v>
      </c>
      <c r="H71" s="217"/>
      <c r="I71" s="218"/>
      <c r="J71" s="267"/>
      <c r="K71" s="365"/>
      <c r="L71" s="218"/>
      <c r="M71" s="267"/>
      <c r="N71" s="274"/>
      <c r="O71" s="275"/>
      <c r="P71" s="229"/>
    </row>
    <row r="72" spans="1:16" s="230" customFormat="1" ht="25.5" hidden="1" x14ac:dyDescent="0.2">
      <c r="A72" s="224"/>
      <c r="B72" s="211"/>
      <c r="C72" s="287" t="s">
        <v>239</v>
      </c>
      <c r="D72" s="272" t="s">
        <v>211</v>
      </c>
      <c r="E72" s="217"/>
      <c r="F72" s="218"/>
      <c r="G72" s="267">
        <v>1</v>
      </c>
      <c r="H72" s="217"/>
      <c r="I72" s="218"/>
      <c r="J72" s="267"/>
      <c r="K72" s="365"/>
      <c r="L72" s="218"/>
      <c r="M72" s="267"/>
      <c r="N72" s="274"/>
      <c r="O72" s="275"/>
      <c r="P72" s="229"/>
    </row>
    <row r="73" spans="1:16" s="230" customFormat="1" x14ac:dyDescent="0.2">
      <c r="A73" s="224"/>
      <c r="B73" s="211"/>
      <c r="C73" s="321" t="s">
        <v>240</v>
      </c>
      <c r="D73" s="261" t="s">
        <v>211</v>
      </c>
      <c r="E73" s="225">
        <f>36800000</f>
        <v>36800000</v>
      </c>
      <c r="F73" s="215">
        <f>14107-390000</f>
        <v>-375893</v>
      </c>
      <c r="G73" s="216">
        <f t="shared" si="10"/>
        <v>-1.0214483695652175E-2</v>
      </c>
      <c r="H73" s="217"/>
      <c r="I73" s="218"/>
      <c r="J73" s="267"/>
      <c r="K73" s="365"/>
      <c r="L73" s="218"/>
      <c r="M73" s="267"/>
      <c r="N73" s="274"/>
      <c r="O73" s="275"/>
      <c r="P73" s="229"/>
    </row>
    <row r="74" spans="1:16" s="230" customFormat="1" ht="25.5" x14ac:dyDescent="0.2">
      <c r="A74" s="224"/>
      <c r="B74" s="211"/>
      <c r="C74" s="321" t="s">
        <v>241</v>
      </c>
      <c r="D74" s="261" t="s">
        <v>211</v>
      </c>
      <c r="E74" s="225">
        <f>14612120</f>
        <v>14612120</v>
      </c>
      <c r="F74" s="215">
        <f>-975.8-119024.2</f>
        <v>-120000</v>
      </c>
      <c r="G74" s="216">
        <f t="shared" si="10"/>
        <v>-8.2123606978316624E-3</v>
      </c>
      <c r="H74" s="225">
        <f>521370+238696</f>
        <v>760066</v>
      </c>
      <c r="I74" s="215">
        <f>5068+8932</f>
        <v>14000</v>
      </c>
      <c r="J74" s="216"/>
      <c r="K74" s="365"/>
      <c r="L74" s="218"/>
      <c r="M74" s="267"/>
      <c r="N74" s="274"/>
      <c r="O74" s="275"/>
      <c r="P74" s="229"/>
    </row>
    <row r="75" spans="1:16" s="230" customFormat="1" ht="13.5" thickBot="1" x14ac:dyDescent="0.25">
      <c r="A75" s="224"/>
      <c r="B75" s="211"/>
      <c r="C75" s="321" t="s">
        <v>384</v>
      </c>
      <c r="D75" s="261"/>
      <c r="E75" s="225"/>
      <c r="F75" s="215"/>
      <c r="G75" s="216"/>
      <c r="H75" s="225">
        <v>224000</v>
      </c>
      <c r="I75" s="215">
        <v>-4000</v>
      </c>
      <c r="J75" s="216">
        <f t="shared" ref="J75" si="11">I75/H75</f>
        <v>-1.7857142857142856E-2</v>
      </c>
      <c r="K75" s="365"/>
      <c r="L75" s="218"/>
      <c r="M75" s="267"/>
      <c r="N75" s="274"/>
      <c r="O75" s="275"/>
      <c r="P75" s="229"/>
    </row>
    <row r="76" spans="1:16" s="230" customFormat="1" ht="25.5" hidden="1" x14ac:dyDescent="0.2">
      <c r="A76" s="277" t="s">
        <v>156</v>
      </c>
      <c r="B76" s="278"/>
      <c r="C76" s="366" t="s">
        <v>119</v>
      </c>
      <c r="D76" s="367"/>
      <c r="E76" s="281" t="s">
        <v>30</v>
      </c>
      <c r="F76" s="282">
        <f>SUM(F77:F78)</f>
        <v>0</v>
      </c>
      <c r="G76" s="368" t="s">
        <v>30</v>
      </c>
      <c r="H76" s="281" t="s">
        <v>30</v>
      </c>
      <c r="I76" s="282">
        <f>SUM(I77:I78)</f>
        <v>0</v>
      </c>
      <c r="J76" s="283" t="s">
        <v>30</v>
      </c>
      <c r="K76" s="369" t="s">
        <v>30</v>
      </c>
      <c r="L76" s="282">
        <f>SUM(L77:L78)</f>
        <v>0</v>
      </c>
      <c r="M76" s="283" t="s">
        <v>30</v>
      </c>
      <c r="N76" s="370">
        <f t="shared" ref="N76:O76" si="12">SUM(N77:N78)</f>
        <v>0</v>
      </c>
      <c r="O76" s="371">
        <f t="shared" si="12"/>
        <v>0</v>
      </c>
      <c r="P76" s="229"/>
    </row>
    <row r="77" spans="1:16" s="230" customFormat="1" hidden="1" x14ac:dyDescent="0.2">
      <c r="A77" s="224"/>
      <c r="B77" s="211"/>
      <c r="C77" s="372" t="s">
        <v>185</v>
      </c>
      <c r="D77" s="373" t="s">
        <v>190</v>
      </c>
      <c r="E77" s="217"/>
      <c r="F77" s="218"/>
      <c r="G77" s="374"/>
      <c r="H77" s="273"/>
      <c r="I77" s="218"/>
      <c r="J77" s="267" t="e">
        <f>I77/H77</f>
        <v>#DIV/0!</v>
      </c>
      <c r="K77" s="217"/>
      <c r="L77" s="218"/>
      <c r="M77" s="219"/>
      <c r="N77" s="227"/>
      <c r="O77" s="228"/>
      <c r="P77" s="229"/>
    </row>
    <row r="78" spans="1:16" s="230" customFormat="1" ht="13.5" hidden="1" thickBot="1" x14ac:dyDescent="0.25">
      <c r="A78" s="352"/>
      <c r="B78" s="290"/>
      <c r="C78" s="375"/>
      <c r="D78" s="376"/>
      <c r="E78" s="293"/>
      <c r="F78" s="294"/>
      <c r="G78" s="377"/>
      <c r="H78" s="293"/>
      <c r="I78" s="294"/>
      <c r="J78" s="295"/>
      <c r="K78" s="293"/>
      <c r="L78" s="294"/>
      <c r="M78" s="295"/>
      <c r="N78" s="378"/>
      <c r="O78" s="379"/>
      <c r="P78" s="229"/>
    </row>
    <row r="79" spans="1:16" s="230" customFormat="1" ht="13.5" hidden="1" thickBot="1" x14ac:dyDescent="0.25">
      <c r="A79" s="380" t="s">
        <v>157</v>
      </c>
      <c r="B79" s="381" t="s">
        <v>157</v>
      </c>
      <c r="C79" s="382" t="s">
        <v>120</v>
      </c>
      <c r="D79" s="383" t="s">
        <v>359</v>
      </c>
      <c r="E79" s="384" t="s">
        <v>30</v>
      </c>
      <c r="F79" s="385">
        <f>F80+F81</f>
        <v>0</v>
      </c>
      <c r="G79" s="386" t="s">
        <v>30</v>
      </c>
      <c r="H79" s="384" t="s">
        <v>30</v>
      </c>
      <c r="I79" s="385">
        <f>I80+I81</f>
        <v>0</v>
      </c>
      <c r="J79" s="387" t="s">
        <v>30</v>
      </c>
      <c r="K79" s="384" t="s">
        <v>30</v>
      </c>
      <c r="L79" s="385">
        <f t="shared" ref="L79:O79" si="13">L80+L81</f>
        <v>0</v>
      </c>
      <c r="M79" s="388" t="s">
        <v>30</v>
      </c>
      <c r="N79" s="389">
        <f t="shared" si="13"/>
        <v>0</v>
      </c>
      <c r="O79" s="390">
        <f t="shared" si="13"/>
        <v>0</v>
      </c>
      <c r="P79" s="229"/>
    </row>
    <row r="80" spans="1:16" s="230" customFormat="1" ht="25.5" hidden="1" x14ac:dyDescent="0.2">
      <c r="A80" s="391"/>
      <c r="B80" s="392"/>
      <c r="C80" s="393" t="s">
        <v>218</v>
      </c>
      <c r="D80" s="394" t="s">
        <v>195</v>
      </c>
      <c r="E80" s="395"/>
      <c r="F80" s="396"/>
      <c r="G80" s="397"/>
      <c r="H80" s="395">
        <v>8500</v>
      </c>
      <c r="I80" s="396"/>
      <c r="J80" s="398">
        <f>I80/H80</f>
        <v>0</v>
      </c>
      <c r="K80" s="395"/>
      <c r="L80" s="396"/>
      <c r="M80" s="398"/>
      <c r="N80" s="399"/>
      <c r="O80" s="400"/>
      <c r="P80" s="229"/>
    </row>
    <row r="81" spans="1:16" s="230" customFormat="1" ht="13.5" hidden="1" thickBot="1" x14ac:dyDescent="0.25">
      <c r="A81" s="401"/>
      <c r="B81" s="211"/>
      <c r="C81" s="229"/>
      <c r="D81" s="373"/>
      <c r="E81" s="217"/>
      <c r="F81" s="218"/>
      <c r="G81" s="374"/>
      <c r="H81" s="217"/>
      <c r="I81" s="218"/>
      <c r="J81" s="219"/>
      <c r="K81" s="217"/>
      <c r="L81" s="218"/>
      <c r="M81" s="219"/>
      <c r="N81" s="227"/>
      <c r="O81" s="228"/>
      <c r="P81" s="229"/>
    </row>
    <row r="82" spans="1:16" s="230" customFormat="1" ht="13.5" hidden="1" thickBot="1" x14ac:dyDescent="0.25">
      <c r="A82" s="401"/>
      <c r="B82" s="211"/>
      <c r="C82" s="229"/>
      <c r="D82" s="373"/>
      <c r="E82" s="217"/>
      <c r="F82" s="218"/>
      <c r="G82" s="374"/>
      <c r="H82" s="217"/>
      <c r="I82" s="218"/>
      <c r="J82" s="219"/>
      <c r="K82" s="217"/>
      <c r="L82" s="218"/>
      <c r="M82" s="219"/>
      <c r="N82" s="227"/>
      <c r="O82" s="228"/>
      <c r="P82" s="229"/>
    </row>
    <row r="83" spans="1:16" s="230" customFormat="1" ht="13.5" hidden="1" thickBot="1" x14ac:dyDescent="0.25">
      <c r="A83" s="401"/>
      <c r="B83" s="211"/>
      <c r="C83" s="229"/>
      <c r="D83" s="373"/>
      <c r="E83" s="217"/>
      <c r="F83" s="218"/>
      <c r="G83" s="374"/>
      <c r="H83" s="217"/>
      <c r="I83" s="218"/>
      <c r="J83" s="219"/>
      <c r="K83" s="217"/>
      <c r="L83" s="218"/>
      <c r="M83" s="219"/>
      <c r="N83" s="227"/>
      <c r="O83" s="228"/>
      <c r="P83" s="229"/>
    </row>
    <row r="84" spans="1:16" s="230" customFormat="1" ht="13.5" hidden="1" thickBot="1" x14ac:dyDescent="0.25">
      <c r="A84" s="401"/>
      <c r="B84" s="211"/>
      <c r="C84" s="229"/>
      <c r="D84" s="373"/>
      <c r="E84" s="217"/>
      <c r="F84" s="218"/>
      <c r="G84" s="374"/>
      <c r="H84" s="217"/>
      <c r="I84" s="218"/>
      <c r="J84" s="219"/>
      <c r="K84" s="217"/>
      <c r="L84" s="218"/>
      <c r="M84" s="219"/>
      <c r="N84" s="227"/>
      <c r="O84" s="228"/>
      <c r="P84" s="229"/>
    </row>
    <row r="85" spans="1:16" s="230" customFormat="1" ht="13.5" hidden="1" thickBot="1" x14ac:dyDescent="0.25">
      <c r="A85" s="401"/>
      <c r="B85" s="211"/>
      <c r="C85" s="229"/>
      <c r="D85" s="373"/>
      <c r="E85" s="217"/>
      <c r="F85" s="218"/>
      <c r="G85" s="374"/>
      <c r="H85" s="217"/>
      <c r="I85" s="218"/>
      <c r="J85" s="219"/>
      <c r="K85" s="217"/>
      <c r="L85" s="218"/>
      <c r="M85" s="219"/>
      <c r="N85" s="227"/>
      <c r="O85" s="228"/>
      <c r="P85" s="229"/>
    </row>
    <row r="86" spans="1:16" s="230" customFormat="1" ht="13.5" hidden="1" thickBot="1" x14ac:dyDescent="0.25">
      <c r="A86" s="401"/>
      <c r="B86" s="290"/>
      <c r="C86" s="402"/>
      <c r="D86" s="376"/>
      <c r="E86" s="293"/>
      <c r="F86" s="294"/>
      <c r="G86" s="377"/>
      <c r="H86" s="293"/>
      <c r="I86" s="294"/>
      <c r="J86" s="295"/>
      <c r="K86" s="293"/>
      <c r="L86" s="294"/>
      <c r="M86" s="295"/>
      <c r="N86" s="378"/>
      <c r="O86" s="379"/>
      <c r="P86" s="403"/>
    </row>
    <row r="87" spans="1:16" s="408" customFormat="1" ht="39" thickBot="1" x14ac:dyDescent="0.25">
      <c r="A87" s="404" t="s">
        <v>158</v>
      </c>
      <c r="B87" s="186" t="s">
        <v>158</v>
      </c>
      <c r="C87" s="405" t="s">
        <v>121</v>
      </c>
      <c r="D87" s="406" t="s">
        <v>360</v>
      </c>
      <c r="E87" s="189" t="s">
        <v>30</v>
      </c>
      <c r="F87" s="192">
        <f>F88+F90+F92+F95</f>
        <v>0</v>
      </c>
      <c r="G87" s="191" t="s">
        <v>30</v>
      </c>
      <c r="H87" s="189" t="s">
        <v>30</v>
      </c>
      <c r="I87" s="192">
        <f>I88+I90+I92+I95</f>
        <v>839539</v>
      </c>
      <c r="J87" s="193" t="s">
        <v>30</v>
      </c>
      <c r="K87" s="189" t="s">
        <v>30</v>
      </c>
      <c r="L87" s="192">
        <f>L88+L90+L92+L95</f>
        <v>-200000</v>
      </c>
      <c r="M87" s="362" t="s">
        <v>30</v>
      </c>
      <c r="N87" s="194">
        <f>N88+N90+N92+N95</f>
        <v>0</v>
      </c>
      <c r="O87" s="195">
        <f>O88+O90+O92+O95</f>
        <v>0</v>
      </c>
      <c r="P87" s="407"/>
    </row>
    <row r="88" spans="1:16" s="408" customFormat="1" ht="40.5" hidden="1" x14ac:dyDescent="0.25">
      <c r="A88" s="409" t="s">
        <v>159</v>
      </c>
      <c r="B88" s="410"/>
      <c r="C88" s="411" t="s">
        <v>122</v>
      </c>
      <c r="D88" s="412"/>
      <c r="E88" s="413" t="s">
        <v>30</v>
      </c>
      <c r="F88" s="414">
        <f>SUM(F89:F89)</f>
        <v>0</v>
      </c>
      <c r="G88" s="415" t="s">
        <v>30</v>
      </c>
      <c r="H88" s="413" t="s">
        <v>30</v>
      </c>
      <c r="I88" s="414">
        <f>SUM(I89:I89)</f>
        <v>0</v>
      </c>
      <c r="J88" s="416" t="s">
        <v>30</v>
      </c>
      <c r="K88" s="417" t="s">
        <v>30</v>
      </c>
      <c r="L88" s="414">
        <f>SUM(L89:L89)</f>
        <v>0</v>
      </c>
      <c r="M88" s="416" t="s">
        <v>30</v>
      </c>
      <c r="N88" s="418">
        <f>SUM(N89:N89)</f>
        <v>0</v>
      </c>
      <c r="O88" s="419">
        <f>SUM(O89:O89)</f>
        <v>0</v>
      </c>
      <c r="P88" s="420"/>
    </row>
    <row r="89" spans="1:16" s="408" customFormat="1" ht="25.5" hidden="1" x14ac:dyDescent="0.2">
      <c r="A89" s="421"/>
      <c r="B89" s="422"/>
      <c r="C89" s="423" t="s">
        <v>221</v>
      </c>
      <c r="D89" s="424"/>
      <c r="E89" s="425"/>
      <c r="F89" s="426"/>
      <c r="G89" s="427"/>
      <c r="H89" s="425"/>
      <c r="I89" s="426"/>
      <c r="J89" s="428">
        <v>0</v>
      </c>
      <c r="K89" s="429"/>
      <c r="L89" s="426"/>
      <c r="M89" s="428"/>
      <c r="N89" s="430"/>
      <c r="O89" s="431"/>
      <c r="P89" s="432"/>
    </row>
    <row r="90" spans="1:16" s="444" customFormat="1" ht="40.5" x14ac:dyDescent="0.25">
      <c r="A90" s="421" t="s">
        <v>160</v>
      </c>
      <c r="B90" s="433"/>
      <c r="C90" s="434" t="s">
        <v>123</v>
      </c>
      <c r="D90" s="435"/>
      <c r="E90" s="436" t="s">
        <v>30</v>
      </c>
      <c r="F90" s="437">
        <f>SUM(F91:F91)</f>
        <v>0</v>
      </c>
      <c r="G90" s="438" t="s">
        <v>30</v>
      </c>
      <c r="H90" s="436" t="s">
        <v>30</v>
      </c>
      <c r="I90" s="437">
        <f>SUM(I91:I91)</f>
        <v>-4824</v>
      </c>
      <c r="J90" s="439" t="s">
        <v>30</v>
      </c>
      <c r="K90" s="440" t="s">
        <v>30</v>
      </c>
      <c r="L90" s="437">
        <f>SUM(L91:L91)</f>
        <v>0</v>
      </c>
      <c r="M90" s="439" t="s">
        <v>30</v>
      </c>
      <c r="N90" s="441">
        <f>SUM(N91:N91)</f>
        <v>0</v>
      </c>
      <c r="O90" s="442">
        <f>SUM(O91:O91)</f>
        <v>0</v>
      </c>
      <c r="P90" s="443"/>
    </row>
    <row r="91" spans="1:16" s="197" customFormat="1" ht="25.5" x14ac:dyDescent="0.2">
      <c r="A91" s="210"/>
      <c r="B91" s="222"/>
      <c r="C91" s="445" t="s">
        <v>425</v>
      </c>
      <c r="D91" s="213" t="s">
        <v>193</v>
      </c>
      <c r="E91" s="225"/>
      <c r="F91" s="215"/>
      <c r="G91" s="223"/>
      <c r="H91" s="225">
        <f>221946.03+82000</f>
        <v>303946.03000000003</v>
      </c>
      <c r="I91" s="215">
        <f>-4824</f>
        <v>-4824</v>
      </c>
      <c r="J91" s="216">
        <f>I91/H91</f>
        <v>-1.5871238719584523E-2</v>
      </c>
      <c r="K91" s="225"/>
      <c r="L91" s="215"/>
      <c r="M91" s="226"/>
      <c r="N91" s="220"/>
      <c r="O91" s="221"/>
      <c r="P91" s="196" t="s">
        <v>492</v>
      </c>
    </row>
    <row r="92" spans="1:16" s="313" customFormat="1" ht="40.5" x14ac:dyDescent="0.25">
      <c r="A92" s="344" t="s">
        <v>161</v>
      </c>
      <c r="B92" s="345"/>
      <c r="C92" s="446" t="s">
        <v>124</v>
      </c>
      <c r="D92" s="447"/>
      <c r="E92" s="348" t="s">
        <v>30</v>
      </c>
      <c r="F92" s="236">
        <f>SUM(F93:F94)</f>
        <v>0</v>
      </c>
      <c r="G92" s="448" t="s">
        <v>30</v>
      </c>
      <c r="H92" s="348" t="s">
        <v>30</v>
      </c>
      <c r="I92" s="236">
        <f>SUM(I93:I94)</f>
        <v>-35637</v>
      </c>
      <c r="J92" s="349" t="s">
        <v>30</v>
      </c>
      <c r="K92" s="449" t="s">
        <v>30</v>
      </c>
      <c r="L92" s="236">
        <f>SUM(L94:L94)</f>
        <v>-200000</v>
      </c>
      <c r="M92" s="349" t="s">
        <v>30</v>
      </c>
      <c r="N92" s="450">
        <f>SUM(N94:N94)</f>
        <v>0</v>
      </c>
      <c r="O92" s="451">
        <f>SUM(O94:O94)</f>
        <v>0</v>
      </c>
      <c r="P92" s="443"/>
    </row>
    <row r="93" spans="1:16" s="313" customFormat="1" ht="25.5" x14ac:dyDescent="0.2">
      <c r="A93" s="344"/>
      <c r="B93" s="345"/>
      <c r="C93" s="445" t="s">
        <v>541</v>
      </c>
      <c r="D93" s="213" t="s">
        <v>193</v>
      </c>
      <c r="E93" s="225"/>
      <c r="F93" s="215"/>
      <c r="G93" s="223"/>
      <c r="H93" s="214">
        <f>186038.4+33637+387150.4</f>
        <v>606825.80000000005</v>
      </c>
      <c r="I93" s="215">
        <f>-35637</f>
        <v>-35637</v>
      </c>
      <c r="J93" s="216">
        <f>I93/H93</f>
        <v>-5.8726903173859778E-2</v>
      </c>
      <c r="K93" s="214"/>
      <c r="L93" s="215"/>
      <c r="M93" s="226"/>
      <c r="N93" s="220"/>
      <c r="O93" s="221"/>
      <c r="P93" s="452" t="s">
        <v>493</v>
      </c>
    </row>
    <row r="94" spans="1:16" s="313" customFormat="1" ht="27.75" customHeight="1" x14ac:dyDescent="0.2">
      <c r="A94" s="344"/>
      <c r="B94" s="345"/>
      <c r="C94" s="445" t="s">
        <v>542</v>
      </c>
      <c r="D94" s="213" t="s">
        <v>193</v>
      </c>
      <c r="E94" s="225"/>
      <c r="F94" s="215"/>
      <c r="G94" s="223"/>
      <c r="H94" s="214"/>
      <c r="I94" s="215"/>
      <c r="J94" s="216"/>
      <c r="K94" s="214">
        <v>200000</v>
      </c>
      <c r="L94" s="215">
        <v>-200000</v>
      </c>
      <c r="M94" s="216">
        <f>L94/K94</f>
        <v>-1</v>
      </c>
      <c r="N94" s="220"/>
      <c r="O94" s="221"/>
      <c r="P94" s="229"/>
    </row>
    <row r="95" spans="1:16" s="313" customFormat="1" ht="40.5" x14ac:dyDescent="0.25">
      <c r="A95" s="344" t="s">
        <v>162</v>
      </c>
      <c r="B95" s="345"/>
      <c r="C95" s="446" t="s">
        <v>125</v>
      </c>
      <c r="D95" s="447"/>
      <c r="E95" s="348" t="s">
        <v>30</v>
      </c>
      <c r="F95" s="236">
        <f>SUM(F96:F96)</f>
        <v>0</v>
      </c>
      <c r="G95" s="448" t="s">
        <v>30</v>
      </c>
      <c r="H95" s="348" t="s">
        <v>30</v>
      </c>
      <c r="I95" s="236">
        <f>SUM(I96:I96)</f>
        <v>880000</v>
      </c>
      <c r="J95" s="349" t="s">
        <v>30</v>
      </c>
      <c r="K95" s="449" t="s">
        <v>30</v>
      </c>
      <c r="L95" s="236">
        <f>SUM(L96:L96)</f>
        <v>0</v>
      </c>
      <c r="M95" s="349" t="s">
        <v>30</v>
      </c>
      <c r="N95" s="457">
        <f>SUM(N96:N96)</f>
        <v>0</v>
      </c>
      <c r="O95" s="458">
        <f>SUM(O96:O96)</f>
        <v>0</v>
      </c>
      <c r="P95" s="443"/>
    </row>
    <row r="96" spans="1:16" s="197" customFormat="1" ht="13.5" thickBot="1" x14ac:dyDescent="0.25">
      <c r="A96" s="459"/>
      <c r="B96" s="460"/>
      <c r="C96" s="740" t="s">
        <v>431</v>
      </c>
      <c r="D96" s="526" t="s">
        <v>193</v>
      </c>
      <c r="E96" s="343"/>
      <c r="F96" s="330"/>
      <c r="G96" s="519"/>
      <c r="H96" s="329">
        <v>3820000</v>
      </c>
      <c r="I96" s="330">
        <v>880000</v>
      </c>
      <c r="J96" s="216">
        <f>I96/H96</f>
        <v>0.23036649214659685</v>
      </c>
      <c r="K96" s="343"/>
      <c r="L96" s="330"/>
      <c r="M96" s="331"/>
      <c r="N96" s="462"/>
      <c r="O96" s="463"/>
      <c r="P96" s="464"/>
    </row>
    <row r="97" spans="1:16" s="197" customFormat="1" ht="39" hidden="1" thickBot="1" x14ac:dyDescent="0.25">
      <c r="A97" s="465" t="s">
        <v>163</v>
      </c>
      <c r="B97" s="381" t="s">
        <v>373</v>
      </c>
      <c r="C97" s="466" t="s">
        <v>126</v>
      </c>
      <c r="D97" s="383" t="s">
        <v>361</v>
      </c>
      <c r="E97" s="384" t="s">
        <v>30</v>
      </c>
      <c r="F97" s="385">
        <f>F98+F100+F102+F105</f>
        <v>0</v>
      </c>
      <c r="G97" s="386" t="s">
        <v>30</v>
      </c>
      <c r="H97" s="384" t="s">
        <v>30</v>
      </c>
      <c r="I97" s="385">
        <f>I98+I100+I102+I105</f>
        <v>0</v>
      </c>
      <c r="J97" s="387" t="s">
        <v>30</v>
      </c>
      <c r="K97" s="384" t="s">
        <v>30</v>
      </c>
      <c r="L97" s="385">
        <f>L98+L100+L102+L105</f>
        <v>0</v>
      </c>
      <c r="M97" s="387" t="s">
        <v>30</v>
      </c>
      <c r="N97" s="389">
        <f>N98+N100+N102</f>
        <v>0</v>
      </c>
      <c r="O97" s="390">
        <f>O98+O100+O102</f>
        <v>0</v>
      </c>
      <c r="P97" s="467"/>
    </row>
    <row r="98" spans="1:16" s="197" customFormat="1" ht="38.25" hidden="1" x14ac:dyDescent="0.2">
      <c r="A98" s="468" t="s">
        <v>164</v>
      </c>
      <c r="B98" s="469"/>
      <c r="C98" s="470" t="s">
        <v>127</v>
      </c>
      <c r="D98" s="471"/>
      <c r="E98" s="472" t="s">
        <v>30</v>
      </c>
      <c r="F98" s="473">
        <f>SUM(F99:F99)</f>
        <v>0</v>
      </c>
      <c r="G98" s="474" t="s">
        <v>30</v>
      </c>
      <c r="H98" s="472" t="s">
        <v>30</v>
      </c>
      <c r="I98" s="473">
        <f>SUM(I99:I99)</f>
        <v>0</v>
      </c>
      <c r="J98" s="475" t="s">
        <v>30</v>
      </c>
      <c r="K98" s="476" t="s">
        <v>30</v>
      </c>
      <c r="L98" s="473">
        <f>SUM(L99:L99)</f>
        <v>0</v>
      </c>
      <c r="M98" s="475" t="s">
        <v>30</v>
      </c>
      <c r="N98" s="477">
        <f>SUM(N99:N99)</f>
        <v>0</v>
      </c>
      <c r="O98" s="478">
        <f>SUM(O99:O99)</f>
        <v>0</v>
      </c>
      <c r="P98" s="479"/>
    </row>
    <row r="99" spans="1:16" s="197" customFormat="1" hidden="1" x14ac:dyDescent="0.2">
      <c r="A99" s="210"/>
      <c r="B99" s="211"/>
      <c r="C99" s="480"/>
      <c r="D99" s="373"/>
      <c r="E99" s="217"/>
      <c r="F99" s="218"/>
      <c r="G99" s="374"/>
      <c r="H99" s="217"/>
      <c r="I99" s="218"/>
      <c r="J99" s="219"/>
      <c r="K99" s="254"/>
      <c r="L99" s="218"/>
      <c r="M99" s="219"/>
      <c r="N99" s="227"/>
      <c r="O99" s="228"/>
      <c r="P99" s="196"/>
    </row>
    <row r="100" spans="1:16" s="313" customFormat="1" ht="27" hidden="1" x14ac:dyDescent="0.25">
      <c r="A100" s="344" t="s">
        <v>165</v>
      </c>
      <c r="B100" s="481"/>
      <c r="C100" s="482" t="s">
        <v>128</v>
      </c>
      <c r="D100" s="483"/>
      <c r="E100" s="484" t="s">
        <v>30</v>
      </c>
      <c r="F100" s="485">
        <f>SUM(F101:F101)</f>
        <v>0</v>
      </c>
      <c r="G100" s="486" t="s">
        <v>30</v>
      </c>
      <c r="H100" s="484" t="s">
        <v>30</v>
      </c>
      <c r="I100" s="485">
        <f>SUM(I101:I101)</f>
        <v>0</v>
      </c>
      <c r="J100" s="487" t="s">
        <v>30</v>
      </c>
      <c r="K100" s="488" t="s">
        <v>30</v>
      </c>
      <c r="L100" s="485">
        <f>SUM(L101:L101)</f>
        <v>0</v>
      </c>
      <c r="M100" s="487" t="s">
        <v>30</v>
      </c>
      <c r="N100" s="489">
        <f>SUM(N101:N101)</f>
        <v>0</v>
      </c>
      <c r="O100" s="490">
        <f>SUM(O101:O101)</f>
        <v>0</v>
      </c>
      <c r="P100" s="443"/>
    </row>
    <row r="101" spans="1:16" s="197" customFormat="1" hidden="1" x14ac:dyDescent="0.2">
      <c r="A101" s="210"/>
      <c r="B101" s="211"/>
      <c r="C101" s="423" t="s">
        <v>209</v>
      </c>
      <c r="D101" s="373" t="s">
        <v>193</v>
      </c>
      <c r="E101" s="217">
        <v>0</v>
      </c>
      <c r="F101" s="218">
        <v>0</v>
      </c>
      <c r="G101" s="374">
        <v>0</v>
      </c>
      <c r="H101" s="217">
        <v>0</v>
      </c>
      <c r="I101" s="218">
        <v>0</v>
      </c>
      <c r="J101" s="219">
        <v>0</v>
      </c>
      <c r="K101" s="273">
        <v>0</v>
      </c>
      <c r="L101" s="218"/>
      <c r="M101" s="219">
        <v>1</v>
      </c>
      <c r="N101" s="227">
        <v>0</v>
      </c>
      <c r="O101" s="228">
        <v>0</v>
      </c>
      <c r="P101" s="196"/>
    </row>
    <row r="102" spans="1:16" s="197" customFormat="1" ht="40.5" hidden="1" x14ac:dyDescent="0.25">
      <c r="A102" s="468" t="s">
        <v>166</v>
      </c>
      <c r="B102" s="278"/>
      <c r="C102" s="482" t="s">
        <v>129</v>
      </c>
      <c r="D102" s="491"/>
      <c r="E102" s="281" t="s">
        <v>30</v>
      </c>
      <c r="F102" s="282">
        <f>SUM(F103:F104)</f>
        <v>0</v>
      </c>
      <c r="G102" s="368" t="s">
        <v>30</v>
      </c>
      <c r="H102" s="281" t="s">
        <v>30</v>
      </c>
      <c r="I102" s="282">
        <f>SUM(I103:I104)</f>
        <v>0</v>
      </c>
      <c r="J102" s="283" t="s">
        <v>30</v>
      </c>
      <c r="K102" s="369" t="s">
        <v>30</v>
      </c>
      <c r="L102" s="282">
        <f>SUM(L103:L104)</f>
        <v>0</v>
      </c>
      <c r="M102" s="283" t="s">
        <v>30</v>
      </c>
      <c r="N102" s="370">
        <f t="shared" ref="N102:O102" si="14">SUM(N103:N104)</f>
        <v>0</v>
      </c>
      <c r="O102" s="371">
        <f t="shared" si="14"/>
        <v>0</v>
      </c>
      <c r="P102" s="420"/>
    </row>
    <row r="103" spans="1:16" s="197" customFormat="1" hidden="1" x14ac:dyDescent="0.2">
      <c r="A103" s="210"/>
      <c r="B103" s="211"/>
      <c r="C103" s="423"/>
      <c r="D103" s="373" t="s">
        <v>193</v>
      </c>
      <c r="E103" s="217"/>
      <c r="F103" s="218"/>
      <c r="G103" s="374"/>
      <c r="H103" s="217">
        <v>0</v>
      </c>
      <c r="I103" s="218">
        <v>0</v>
      </c>
      <c r="J103" s="219" t="e">
        <f>I103/H103</f>
        <v>#DIV/0!</v>
      </c>
      <c r="K103" s="217"/>
      <c r="L103" s="218"/>
      <c r="M103" s="219"/>
      <c r="N103" s="227"/>
      <c r="O103" s="228"/>
      <c r="P103" s="229"/>
    </row>
    <row r="104" spans="1:16" s="197" customFormat="1" ht="13.5" hidden="1" thickBot="1" x14ac:dyDescent="0.25">
      <c r="A104" s="357"/>
      <c r="B104" s="211"/>
      <c r="C104" s="423"/>
      <c r="D104" s="373" t="s">
        <v>193</v>
      </c>
      <c r="E104" s="217"/>
      <c r="F104" s="218"/>
      <c r="G104" s="374"/>
      <c r="H104" s="217">
        <v>0</v>
      </c>
      <c r="I104" s="218">
        <v>0</v>
      </c>
      <c r="J104" s="219" t="e">
        <f>I104/H104</f>
        <v>#DIV/0!</v>
      </c>
      <c r="K104" s="217"/>
      <c r="L104" s="218"/>
      <c r="M104" s="219"/>
      <c r="N104" s="227"/>
      <c r="O104" s="228"/>
      <c r="P104" s="403"/>
    </row>
    <row r="105" spans="1:16" s="197" customFormat="1" ht="41.25" hidden="1" thickBot="1" x14ac:dyDescent="0.3">
      <c r="A105" s="459"/>
      <c r="B105" s="211"/>
      <c r="C105" s="482" t="s">
        <v>254</v>
      </c>
      <c r="D105" s="483"/>
      <c r="E105" s="484" t="s">
        <v>30</v>
      </c>
      <c r="F105" s="485">
        <f>SUM(F106:F106)</f>
        <v>0</v>
      </c>
      <c r="G105" s="486" t="s">
        <v>30</v>
      </c>
      <c r="H105" s="484" t="s">
        <v>30</v>
      </c>
      <c r="I105" s="485">
        <f>SUM(I106:I106)</f>
        <v>0</v>
      </c>
      <c r="J105" s="487" t="s">
        <v>30</v>
      </c>
      <c r="K105" s="488" t="s">
        <v>30</v>
      </c>
      <c r="L105" s="485">
        <f>SUM(L106:L106)</f>
        <v>0</v>
      </c>
      <c r="M105" s="487" t="s">
        <v>30</v>
      </c>
      <c r="N105" s="227"/>
      <c r="O105" s="228"/>
      <c r="P105" s="492"/>
    </row>
    <row r="106" spans="1:16" s="197" customFormat="1" ht="26.25" hidden="1" thickBot="1" x14ac:dyDescent="0.25">
      <c r="A106" s="459"/>
      <c r="B106" s="290"/>
      <c r="C106" s="461" t="s">
        <v>260</v>
      </c>
      <c r="D106" s="376" t="s">
        <v>193</v>
      </c>
      <c r="E106" s="293">
        <v>0</v>
      </c>
      <c r="F106" s="294"/>
      <c r="G106" s="377"/>
      <c r="H106" s="293">
        <v>0</v>
      </c>
      <c r="I106" s="294">
        <v>0</v>
      </c>
      <c r="J106" s="295">
        <v>0</v>
      </c>
      <c r="K106" s="361">
        <v>0</v>
      </c>
      <c r="L106" s="294"/>
      <c r="M106" s="295">
        <v>1</v>
      </c>
      <c r="N106" s="378"/>
      <c r="O106" s="379"/>
      <c r="P106" s="393"/>
    </row>
    <row r="107" spans="1:16" s="197" customFormat="1" ht="39" hidden="1" thickBot="1" x14ac:dyDescent="0.25">
      <c r="A107" s="459"/>
      <c r="B107" s="381" t="s">
        <v>374</v>
      </c>
      <c r="C107" s="493" t="s">
        <v>543</v>
      </c>
      <c r="D107" s="494" t="s">
        <v>362</v>
      </c>
      <c r="E107" s="495" t="s">
        <v>30</v>
      </c>
      <c r="F107" s="496">
        <f>F108+F109</f>
        <v>0</v>
      </c>
      <c r="G107" s="497" t="s">
        <v>30</v>
      </c>
      <c r="H107" s="495" t="s">
        <v>30</v>
      </c>
      <c r="I107" s="496">
        <f>I108+I109</f>
        <v>0</v>
      </c>
      <c r="J107" s="498" t="s">
        <v>30</v>
      </c>
      <c r="K107" s="495" t="s">
        <v>30</v>
      </c>
      <c r="L107" s="496">
        <f t="shared" ref="L107" si="15">L108+L109</f>
        <v>0</v>
      </c>
      <c r="M107" s="499" t="s">
        <v>30</v>
      </c>
      <c r="N107" s="500">
        <f t="shared" ref="N107:O107" si="16">N108+N109</f>
        <v>0</v>
      </c>
      <c r="O107" s="501">
        <f t="shared" si="16"/>
        <v>0</v>
      </c>
      <c r="P107" s="393"/>
    </row>
    <row r="108" spans="1:16" s="197" customFormat="1" hidden="1" x14ac:dyDescent="0.2">
      <c r="A108" s="459"/>
      <c r="B108" s="392"/>
      <c r="C108" s="229" t="s">
        <v>198</v>
      </c>
      <c r="D108" s="373" t="s">
        <v>229</v>
      </c>
      <c r="E108" s="217"/>
      <c r="F108" s="218"/>
      <c r="G108" s="374"/>
      <c r="H108" s="502"/>
      <c r="I108" s="218"/>
      <c r="J108" s="267" t="e">
        <f>I108/H108</f>
        <v>#DIV/0!</v>
      </c>
      <c r="K108" s="217"/>
      <c r="L108" s="218"/>
      <c r="M108" s="219"/>
      <c r="N108" s="227"/>
      <c r="O108" s="228"/>
      <c r="P108" s="393"/>
    </row>
    <row r="109" spans="1:16" s="197" customFormat="1" ht="13.5" hidden="1" thickBot="1" x14ac:dyDescent="0.25">
      <c r="A109" s="459"/>
      <c r="B109" s="290"/>
      <c r="C109" s="403"/>
      <c r="D109" s="503"/>
      <c r="E109" s="354"/>
      <c r="F109" s="317"/>
      <c r="G109" s="504"/>
      <c r="H109" s="354"/>
      <c r="I109" s="317"/>
      <c r="J109" s="318"/>
      <c r="K109" s="354"/>
      <c r="L109" s="317"/>
      <c r="M109" s="318"/>
      <c r="N109" s="505"/>
      <c r="O109" s="506"/>
      <c r="P109" s="393"/>
    </row>
    <row r="110" spans="1:16" s="197" customFormat="1" ht="39" thickBot="1" x14ac:dyDescent="0.25">
      <c r="A110" s="185" t="s">
        <v>167</v>
      </c>
      <c r="B110" s="186" t="s">
        <v>375</v>
      </c>
      <c r="C110" s="187" t="s">
        <v>131</v>
      </c>
      <c r="D110" s="188" t="s">
        <v>167</v>
      </c>
      <c r="E110" s="189" t="s">
        <v>30</v>
      </c>
      <c r="F110" s="192">
        <f>F111+F112</f>
        <v>0</v>
      </c>
      <c r="G110" s="191" t="s">
        <v>30</v>
      </c>
      <c r="H110" s="189" t="s">
        <v>30</v>
      </c>
      <c r="I110" s="192">
        <f>I111+I112</f>
        <v>-1048429.7</v>
      </c>
      <c r="J110" s="193" t="s">
        <v>30</v>
      </c>
      <c r="K110" s="189" t="s">
        <v>30</v>
      </c>
      <c r="L110" s="192">
        <f t="shared" ref="L110" si="17">L111+L112</f>
        <v>0</v>
      </c>
      <c r="M110" s="362" t="s">
        <v>30</v>
      </c>
      <c r="N110" s="194">
        <f t="shared" ref="N110:O110" si="18">N111+N112</f>
        <v>0</v>
      </c>
      <c r="O110" s="195">
        <f t="shared" si="18"/>
        <v>0</v>
      </c>
      <c r="P110" s="196"/>
    </row>
    <row r="111" spans="1:16" s="197" customFormat="1" x14ac:dyDescent="0.2">
      <c r="A111" s="507"/>
      <c r="B111" s="508"/>
      <c r="C111" s="509" t="s">
        <v>382</v>
      </c>
      <c r="D111" s="510" t="s">
        <v>229</v>
      </c>
      <c r="E111" s="511"/>
      <c r="F111" s="512"/>
      <c r="G111" s="513"/>
      <c r="H111" s="531">
        <v>4597913</v>
      </c>
      <c r="I111" s="512">
        <v>-971819.7</v>
      </c>
      <c r="J111" s="216">
        <f>I111/H111</f>
        <v>-0.21136104576141393</v>
      </c>
      <c r="K111" s="515"/>
      <c r="L111" s="512"/>
      <c r="M111" s="513"/>
      <c r="N111" s="516"/>
      <c r="O111" s="517"/>
      <c r="P111" s="196"/>
    </row>
    <row r="112" spans="1:16" s="197" customFormat="1" ht="13.5" thickBot="1" x14ac:dyDescent="0.25">
      <c r="A112" s="357"/>
      <c r="B112" s="460"/>
      <c r="C112" s="518" t="s">
        <v>400</v>
      </c>
      <c r="D112" s="510" t="s">
        <v>229</v>
      </c>
      <c r="E112" s="343"/>
      <c r="F112" s="330"/>
      <c r="G112" s="519"/>
      <c r="H112" s="329">
        <v>364100</v>
      </c>
      <c r="I112" s="330">
        <v>-76610</v>
      </c>
      <c r="J112" s="514">
        <f>I112/H112</f>
        <v>-0.21040922823400166</v>
      </c>
      <c r="K112" s="343"/>
      <c r="L112" s="330"/>
      <c r="M112" s="331"/>
      <c r="N112" s="462"/>
      <c r="O112" s="463"/>
      <c r="P112" s="196"/>
    </row>
    <row r="113" spans="1:16" s="197" customFormat="1" ht="26.25" thickBot="1" x14ac:dyDescent="0.25">
      <c r="A113" s="185" t="s">
        <v>168</v>
      </c>
      <c r="B113" s="186" t="s">
        <v>163</v>
      </c>
      <c r="C113" s="187" t="s">
        <v>132</v>
      </c>
      <c r="D113" s="188" t="s">
        <v>168</v>
      </c>
      <c r="E113" s="189" t="s">
        <v>30</v>
      </c>
      <c r="F113" s="192">
        <f>F114+F115</f>
        <v>0</v>
      </c>
      <c r="G113" s="191" t="s">
        <v>30</v>
      </c>
      <c r="H113" s="189" t="s">
        <v>30</v>
      </c>
      <c r="I113" s="192">
        <f>I114+I115</f>
        <v>349731.91000000003</v>
      </c>
      <c r="J113" s="193" t="s">
        <v>30</v>
      </c>
      <c r="K113" s="189" t="s">
        <v>30</v>
      </c>
      <c r="L113" s="192">
        <f t="shared" ref="L113" si="19">L114+L115</f>
        <v>0</v>
      </c>
      <c r="M113" s="362" t="s">
        <v>30</v>
      </c>
      <c r="N113" s="194">
        <f t="shared" ref="N113:O113" si="20">N114+N115</f>
        <v>0</v>
      </c>
      <c r="O113" s="195">
        <f t="shared" si="20"/>
        <v>0</v>
      </c>
      <c r="P113" s="443"/>
    </row>
    <row r="114" spans="1:16" s="197" customFormat="1" x14ac:dyDescent="0.2">
      <c r="A114" s="507"/>
      <c r="B114" s="508"/>
      <c r="C114" s="520" t="s">
        <v>402</v>
      </c>
      <c r="D114" s="521" t="s">
        <v>264</v>
      </c>
      <c r="E114" s="511"/>
      <c r="F114" s="512"/>
      <c r="G114" s="522"/>
      <c r="H114" s="523">
        <v>1284725</v>
      </c>
      <c r="I114" s="512">
        <v>213200</v>
      </c>
      <c r="J114" s="514">
        <f>I114/H114</f>
        <v>0.16594991145965091</v>
      </c>
      <c r="K114" s="511"/>
      <c r="L114" s="512"/>
      <c r="M114" s="513"/>
      <c r="N114" s="524"/>
      <c r="O114" s="525"/>
      <c r="P114" s="196"/>
    </row>
    <row r="115" spans="1:16" s="197" customFormat="1" ht="13.5" thickBot="1" x14ac:dyDescent="0.25">
      <c r="A115" s="210"/>
      <c r="B115" s="460"/>
      <c r="C115" s="518" t="s">
        <v>491</v>
      </c>
      <c r="D115" s="526" t="s">
        <v>194</v>
      </c>
      <c r="E115" s="343"/>
      <c r="F115" s="330"/>
      <c r="G115" s="519"/>
      <c r="H115" s="343">
        <v>2066653</v>
      </c>
      <c r="I115" s="330">
        <v>136531.91</v>
      </c>
      <c r="J115" s="514">
        <f>I115/H115</f>
        <v>6.6064264295941311E-2</v>
      </c>
      <c r="K115" s="343"/>
      <c r="L115" s="330"/>
      <c r="M115" s="331"/>
      <c r="N115" s="462"/>
      <c r="O115" s="463"/>
      <c r="P115" s="196"/>
    </row>
    <row r="116" spans="1:16" s="197" customFormat="1" ht="51.75" hidden="1" thickBot="1" x14ac:dyDescent="0.25">
      <c r="A116" s="527" t="s">
        <v>169</v>
      </c>
      <c r="B116" s="186" t="s">
        <v>362</v>
      </c>
      <c r="C116" s="382" t="s">
        <v>133</v>
      </c>
      <c r="D116" s="383" t="s">
        <v>169</v>
      </c>
      <c r="E116" s="384" t="s">
        <v>30</v>
      </c>
      <c r="F116" s="385">
        <f>F117+F118</f>
        <v>0</v>
      </c>
      <c r="G116" s="386" t="s">
        <v>30</v>
      </c>
      <c r="H116" s="384" t="s">
        <v>30</v>
      </c>
      <c r="I116" s="385">
        <f>I117+I118</f>
        <v>0</v>
      </c>
      <c r="J116" s="387" t="s">
        <v>30</v>
      </c>
      <c r="K116" s="384" t="s">
        <v>30</v>
      </c>
      <c r="L116" s="385">
        <f t="shared" ref="L116" si="21">L117+L118</f>
        <v>0</v>
      </c>
      <c r="M116" s="388" t="s">
        <v>30</v>
      </c>
      <c r="N116" s="194">
        <f t="shared" ref="N116:O116" si="22">N117+N118</f>
        <v>0</v>
      </c>
      <c r="O116" s="195">
        <f t="shared" si="22"/>
        <v>0</v>
      </c>
      <c r="P116" s="196"/>
    </row>
    <row r="117" spans="1:16" s="197" customFormat="1" hidden="1" x14ac:dyDescent="0.2">
      <c r="A117" s="210"/>
      <c r="B117" s="508"/>
      <c r="C117" s="393" t="s">
        <v>191</v>
      </c>
      <c r="D117" s="394" t="s">
        <v>193</v>
      </c>
      <c r="E117" s="395">
        <v>0</v>
      </c>
      <c r="F117" s="396"/>
      <c r="G117" s="397">
        <v>1</v>
      </c>
      <c r="H117" s="395">
        <v>250000</v>
      </c>
      <c r="I117" s="396"/>
      <c r="J117" s="398">
        <f>I117/H117</f>
        <v>0</v>
      </c>
      <c r="K117" s="528"/>
      <c r="L117" s="396"/>
      <c r="M117" s="529"/>
      <c r="N117" s="524"/>
      <c r="O117" s="525"/>
      <c r="P117" s="196"/>
    </row>
    <row r="118" spans="1:16" s="197" customFormat="1" ht="13.5" hidden="1" thickBot="1" x14ac:dyDescent="0.25">
      <c r="A118" s="357"/>
      <c r="B118" s="290"/>
      <c r="C118" s="402"/>
      <c r="D118" s="376"/>
      <c r="E118" s="293"/>
      <c r="F118" s="294"/>
      <c r="G118" s="377"/>
      <c r="H118" s="293"/>
      <c r="I118" s="294"/>
      <c r="J118" s="295"/>
      <c r="K118" s="293"/>
      <c r="L118" s="294"/>
      <c r="M118" s="295"/>
      <c r="N118" s="378"/>
      <c r="O118" s="379"/>
      <c r="P118" s="196"/>
    </row>
    <row r="119" spans="1:16" s="197" customFormat="1" ht="39" thickBot="1" x14ac:dyDescent="0.25">
      <c r="A119" s="185" t="s">
        <v>170</v>
      </c>
      <c r="B119" s="186" t="s">
        <v>167</v>
      </c>
      <c r="C119" s="187" t="s">
        <v>134</v>
      </c>
      <c r="D119" s="188" t="s">
        <v>170</v>
      </c>
      <c r="E119" s="189" t="s">
        <v>30</v>
      </c>
      <c r="F119" s="192">
        <f>F120+F121</f>
        <v>0</v>
      </c>
      <c r="G119" s="191" t="s">
        <v>30</v>
      </c>
      <c r="H119" s="189" t="s">
        <v>30</v>
      </c>
      <c r="I119" s="192">
        <f>I120+I121</f>
        <v>-6000</v>
      </c>
      <c r="J119" s="193" t="s">
        <v>30</v>
      </c>
      <c r="K119" s="189" t="s">
        <v>30</v>
      </c>
      <c r="L119" s="192">
        <f t="shared" ref="L119" si="23">L120+L121</f>
        <v>0</v>
      </c>
      <c r="M119" s="362" t="s">
        <v>30</v>
      </c>
      <c r="N119" s="194">
        <f t="shared" ref="N119:O119" si="24">N120+N121</f>
        <v>0</v>
      </c>
      <c r="O119" s="195">
        <f t="shared" si="24"/>
        <v>0</v>
      </c>
      <c r="P119" s="443"/>
    </row>
    <row r="120" spans="1:16" s="197" customFormat="1" x14ac:dyDescent="0.2">
      <c r="A120" s="507"/>
      <c r="B120" s="508"/>
      <c r="C120" s="530" t="s">
        <v>227</v>
      </c>
      <c r="D120" s="521" t="s">
        <v>245</v>
      </c>
      <c r="E120" s="511"/>
      <c r="F120" s="512"/>
      <c r="G120" s="522"/>
      <c r="H120" s="511">
        <v>6000</v>
      </c>
      <c r="I120" s="512">
        <v>-6000</v>
      </c>
      <c r="J120" s="513">
        <f>I120/H120</f>
        <v>-1</v>
      </c>
      <c r="K120" s="531"/>
      <c r="L120" s="512"/>
      <c r="M120" s="514"/>
      <c r="N120" s="524"/>
      <c r="O120" s="525"/>
      <c r="P120" s="196"/>
    </row>
    <row r="121" spans="1:16" s="197" customFormat="1" ht="13.5" thickBot="1" x14ac:dyDescent="0.25">
      <c r="A121" s="360"/>
      <c r="B121" s="460"/>
      <c r="C121" s="464"/>
      <c r="D121" s="532"/>
      <c r="E121" s="533"/>
      <c r="F121" s="315"/>
      <c r="G121" s="534"/>
      <c r="H121" s="533"/>
      <c r="I121" s="315"/>
      <c r="J121" s="325"/>
      <c r="K121" s="533"/>
      <c r="L121" s="315"/>
      <c r="M121" s="325"/>
      <c r="N121" s="535"/>
      <c r="O121" s="536"/>
      <c r="P121" s="196"/>
    </row>
    <row r="122" spans="1:16" s="230" customFormat="1" ht="39" thickBot="1" x14ac:dyDescent="0.25">
      <c r="A122" s="380" t="s">
        <v>171</v>
      </c>
      <c r="B122" s="186" t="s">
        <v>168</v>
      </c>
      <c r="C122" s="405" t="s">
        <v>135</v>
      </c>
      <c r="D122" s="694" t="s">
        <v>171</v>
      </c>
      <c r="E122" s="190" t="s">
        <v>30</v>
      </c>
      <c r="F122" s="192">
        <f>SUM(F123:F123)</f>
        <v>0</v>
      </c>
      <c r="G122" s="695" t="s">
        <v>30</v>
      </c>
      <c r="H122" s="190" t="s">
        <v>30</v>
      </c>
      <c r="I122" s="192">
        <f>SUM(I123:I123)</f>
        <v>0</v>
      </c>
      <c r="J122" s="695" t="s">
        <v>30</v>
      </c>
      <c r="K122" s="190" t="s">
        <v>30</v>
      </c>
      <c r="L122" s="192">
        <f>SUM(L123:L123)</f>
        <v>0</v>
      </c>
      <c r="M122" s="362" t="s">
        <v>30</v>
      </c>
      <c r="N122" s="194">
        <f>SUM(N123:N123)</f>
        <v>1000000</v>
      </c>
      <c r="O122" s="195">
        <f>SUM(O123:O123)</f>
        <v>0</v>
      </c>
      <c r="P122" s="443"/>
    </row>
    <row r="123" spans="1:16" s="230" customFormat="1" ht="13.5" thickBot="1" x14ac:dyDescent="0.25">
      <c r="A123" s="391"/>
      <c r="B123" s="667"/>
      <c r="C123" s="696" t="s">
        <v>415</v>
      </c>
      <c r="D123" s="697" t="s">
        <v>193</v>
      </c>
      <c r="E123" s="698"/>
      <c r="F123" s="512"/>
      <c r="G123" s="699"/>
      <c r="H123" s="698"/>
      <c r="I123" s="512"/>
      <c r="J123" s="699"/>
      <c r="K123" s="512"/>
      <c r="L123" s="512"/>
      <c r="M123" s="514"/>
      <c r="N123" s="524">
        <v>1000000</v>
      </c>
      <c r="O123" s="525"/>
      <c r="P123" s="196"/>
    </row>
    <row r="124" spans="1:16" s="197" customFormat="1" ht="39" thickBot="1" x14ac:dyDescent="0.25">
      <c r="A124" s="539" t="s">
        <v>172</v>
      </c>
      <c r="B124" s="186" t="s">
        <v>169</v>
      </c>
      <c r="C124" s="405" t="s">
        <v>136</v>
      </c>
      <c r="D124" s="406" t="s">
        <v>172</v>
      </c>
      <c r="E124" s="189" t="s">
        <v>30</v>
      </c>
      <c r="F124" s="192">
        <f>F125+F127+F131+F133</f>
        <v>0</v>
      </c>
      <c r="G124" s="191" t="s">
        <v>30</v>
      </c>
      <c r="H124" s="189" t="s">
        <v>30</v>
      </c>
      <c r="I124" s="192">
        <f>I125+I127+I131+I133</f>
        <v>0</v>
      </c>
      <c r="J124" s="193" t="s">
        <v>30</v>
      </c>
      <c r="K124" s="189" t="s">
        <v>30</v>
      </c>
      <c r="L124" s="192">
        <f>L125+L127+L131+L133</f>
        <v>-3852815</v>
      </c>
      <c r="M124" s="362" t="s">
        <v>30</v>
      </c>
      <c r="N124" s="194">
        <f t="shared" ref="N124:O124" si="25">N125+N127+N131+N133</f>
        <v>-7224880</v>
      </c>
      <c r="O124" s="540">
        <f t="shared" si="25"/>
        <v>0</v>
      </c>
      <c r="P124" s="541"/>
    </row>
    <row r="125" spans="1:16" s="551" customFormat="1" ht="40.5" x14ac:dyDescent="0.25">
      <c r="A125" s="542" t="s">
        <v>173</v>
      </c>
      <c r="B125" s="543"/>
      <c r="C125" s="544" t="s">
        <v>137</v>
      </c>
      <c r="D125" s="545"/>
      <c r="E125" s="308" t="s">
        <v>30</v>
      </c>
      <c r="F125" s="203">
        <f>SUM(F126:F126)</f>
        <v>0</v>
      </c>
      <c r="G125" s="546" t="s">
        <v>30</v>
      </c>
      <c r="H125" s="308" t="s">
        <v>30</v>
      </c>
      <c r="I125" s="203">
        <f>SUM(I126:I126)</f>
        <v>0</v>
      </c>
      <c r="J125" s="309" t="s">
        <v>30</v>
      </c>
      <c r="K125" s="547" t="s">
        <v>30</v>
      </c>
      <c r="L125" s="203">
        <f>SUM(L126:L126)</f>
        <v>-53555</v>
      </c>
      <c r="M125" s="309" t="s">
        <v>30</v>
      </c>
      <c r="N125" s="548">
        <f>SUM(N126:N126)</f>
        <v>0</v>
      </c>
      <c r="O125" s="549">
        <f>SUM(O126:O126)</f>
        <v>0</v>
      </c>
      <c r="P125" s="550"/>
    </row>
    <row r="126" spans="1:16" s="230" customFormat="1" x14ac:dyDescent="0.2">
      <c r="A126" s="224"/>
      <c r="B126" s="211"/>
      <c r="C126" s="244" t="s">
        <v>253</v>
      </c>
      <c r="D126" s="213" t="s">
        <v>193</v>
      </c>
      <c r="E126" s="225"/>
      <c r="F126" s="215"/>
      <c r="G126" s="223"/>
      <c r="H126" s="225"/>
      <c r="I126" s="215"/>
      <c r="J126" s="226"/>
      <c r="K126" s="214">
        <v>656864</v>
      </c>
      <c r="L126" s="215">
        <v>-53555</v>
      </c>
      <c r="M126" s="216">
        <f>L126/K126</f>
        <v>-8.1531336775953617E-2</v>
      </c>
      <c r="N126" s="220"/>
      <c r="O126" s="221"/>
      <c r="P126" s="246"/>
    </row>
    <row r="127" spans="1:16" s="551" customFormat="1" ht="27" x14ac:dyDescent="0.25">
      <c r="A127" s="542" t="s">
        <v>174</v>
      </c>
      <c r="B127" s="481"/>
      <c r="C127" s="552" t="s">
        <v>138</v>
      </c>
      <c r="D127" s="553"/>
      <c r="E127" s="348" t="s">
        <v>30</v>
      </c>
      <c r="F127" s="236">
        <f>SUM(F128:F130)</f>
        <v>0</v>
      </c>
      <c r="G127" s="448" t="s">
        <v>30</v>
      </c>
      <c r="H127" s="348" t="s">
        <v>30</v>
      </c>
      <c r="I127" s="236">
        <f>SUM(I128:I130)</f>
        <v>0</v>
      </c>
      <c r="J127" s="349" t="s">
        <v>30</v>
      </c>
      <c r="K127" s="449" t="s">
        <v>30</v>
      </c>
      <c r="L127" s="236">
        <f>SUM(L128:L130)</f>
        <v>-3799260</v>
      </c>
      <c r="M127" s="349" t="s">
        <v>30</v>
      </c>
      <c r="N127" s="457">
        <f t="shared" ref="N127:O127" si="26">SUM(N128:N130)</f>
        <v>-3924880</v>
      </c>
      <c r="O127" s="554">
        <f t="shared" si="26"/>
        <v>0</v>
      </c>
      <c r="P127" s="443"/>
    </row>
    <row r="128" spans="1:16" s="230" customFormat="1" x14ac:dyDescent="0.2">
      <c r="A128" s="352"/>
      <c r="B128" s="211"/>
      <c r="C128" s="244" t="s">
        <v>222</v>
      </c>
      <c r="D128" s="213" t="s">
        <v>193</v>
      </c>
      <c r="E128" s="225"/>
      <c r="F128" s="215"/>
      <c r="G128" s="223"/>
      <c r="H128" s="225"/>
      <c r="I128" s="215"/>
      <c r="J128" s="226"/>
      <c r="K128" s="214">
        <v>19270640</v>
      </c>
      <c r="L128" s="555">
        <v>-1018832</v>
      </c>
      <c r="M128" s="216">
        <f>L128/K128</f>
        <v>-5.2869650411195478E-2</v>
      </c>
      <c r="N128" s="220">
        <v>-1592850</v>
      </c>
      <c r="O128" s="556"/>
      <c r="P128" s="557"/>
    </row>
    <row r="129" spans="1:16" s="230" customFormat="1" x14ac:dyDescent="0.2">
      <c r="A129" s="352"/>
      <c r="B129" s="211"/>
      <c r="C129" s="244" t="s">
        <v>398</v>
      </c>
      <c r="D129" s="213" t="s">
        <v>193</v>
      </c>
      <c r="E129" s="225"/>
      <c r="F129" s="215"/>
      <c r="G129" s="223"/>
      <c r="H129" s="225"/>
      <c r="I129" s="215"/>
      <c r="J129" s="226"/>
      <c r="K129" s="214">
        <v>6530194</v>
      </c>
      <c r="L129" s="555">
        <f>1801783-67671</f>
        <v>1734112</v>
      </c>
      <c r="M129" s="216">
        <f>L129/K129</f>
        <v>0.26555290700398793</v>
      </c>
      <c r="N129" s="220">
        <v>-2332030</v>
      </c>
      <c r="O129" s="556"/>
      <c r="P129" s="558"/>
    </row>
    <row r="130" spans="1:16" s="230" customFormat="1" ht="13.5" thickBot="1" x14ac:dyDescent="0.25">
      <c r="A130" s="352"/>
      <c r="B130" s="211"/>
      <c r="C130" s="244" t="s">
        <v>363</v>
      </c>
      <c r="D130" s="213" t="s">
        <v>193</v>
      </c>
      <c r="E130" s="225"/>
      <c r="F130" s="215"/>
      <c r="G130" s="223"/>
      <c r="H130" s="225"/>
      <c r="I130" s="215"/>
      <c r="J130" s="226"/>
      <c r="K130" s="214">
        <v>31536235</v>
      </c>
      <c r="L130" s="555">
        <v>-4514540</v>
      </c>
      <c r="M130" s="216">
        <f>L130/K130</f>
        <v>-0.14315405754681876</v>
      </c>
      <c r="N130" s="220"/>
      <c r="O130" s="556"/>
      <c r="P130" s="559"/>
    </row>
    <row r="131" spans="1:16" s="197" customFormat="1" ht="54" x14ac:dyDescent="0.25">
      <c r="A131" s="459"/>
      <c r="B131" s="222"/>
      <c r="C131" s="552" t="s">
        <v>251</v>
      </c>
      <c r="D131" s="553"/>
      <c r="E131" s="348" t="s">
        <v>30</v>
      </c>
      <c r="F131" s="236">
        <f>SUM(F132:F132)</f>
        <v>0</v>
      </c>
      <c r="G131" s="448" t="s">
        <v>30</v>
      </c>
      <c r="H131" s="348" t="s">
        <v>30</v>
      </c>
      <c r="I131" s="236">
        <f>SUM(I132:I132)</f>
        <v>0</v>
      </c>
      <c r="J131" s="349" t="s">
        <v>30</v>
      </c>
      <c r="K131" s="449" t="s">
        <v>30</v>
      </c>
      <c r="L131" s="236">
        <f>SUM(L132:L132)</f>
        <v>0</v>
      </c>
      <c r="M131" s="349" t="s">
        <v>30</v>
      </c>
      <c r="N131" s="457">
        <f t="shared" ref="N131:O131" si="27">SUM(N132:N132)</f>
        <v>-3300000</v>
      </c>
      <c r="O131" s="554">
        <f t="shared" si="27"/>
        <v>0</v>
      </c>
      <c r="P131" s="562"/>
    </row>
    <row r="132" spans="1:16" s="197" customFormat="1" ht="13.5" thickBot="1" x14ac:dyDescent="0.25">
      <c r="A132" s="459"/>
      <c r="B132" s="222"/>
      <c r="C132" s="244" t="s">
        <v>62</v>
      </c>
      <c r="D132" s="213" t="s">
        <v>193</v>
      </c>
      <c r="E132" s="225"/>
      <c r="F132" s="215"/>
      <c r="G132" s="223"/>
      <c r="H132" s="225"/>
      <c r="I132" s="215"/>
      <c r="J132" s="226"/>
      <c r="K132" s="214"/>
      <c r="L132" s="215"/>
      <c r="M132" s="216"/>
      <c r="N132" s="220">
        <v>-3300000</v>
      </c>
      <c r="O132" s="221"/>
      <c r="P132" s="562"/>
    </row>
    <row r="133" spans="1:16" s="197" customFormat="1" ht="27" hidden="1" x14ac:dyDescent="0.25">
      <c r="A133" s="459"/>
      <c r="B133" s="222"/>
      <c r="C133" s="560" t="s">
        <v>252</v>
      </c>
      <c r="D133" s="561"/>
      <c r="E133" s="453" t="s">
        <v>30</v>
      </c>
      <c r="F133" s="240">
        <f>SUM(F134:F134)</f>
        <v>0</v>
      </c>
      <c r="G133" s="454" t="s">
        <v>30</v>
      </c>
      <c r="H133" s="453" t="s">
        <v>30</v>
      </c>
      <c r="I133" s="240">
        <f>SUM(I134:I134)</f>
        <v>0</v>
      </c>
      <c r="J133" s="455" t="s">
        <v>30</v>
      </c>
      <c r="K133" s="456" t="s">
        <v>30</v>
      </c>
      <c r="L133" s="240">
        <f>SUM(L134:L134)</f>
        <v>0</v>
      </c>
      <c r="M133" s="455" t="s">
        <v>30</v>
      </c>
      <c r="N133" s="457">
        <f t="shared" ref="N133:O133" si="28">SUM(N134:N134)</f>
        <v>0</v>
      </c>
      <c r="O133" s="554">
        <f t="shared" si="28"/>
        <v>0</v>
      </c>
      <c r="P133" s="562"/>
    </row>
    <row r="134" spans="1:16" s="197" customFormat="1" ht="13.5" hidden="1" thickBot="1" x14ac:dyDescent="0.25">
      <c r="A134" s="459"/>
      <c r="B134" s="460"/>
      <c r="C134" s="563" t="s">
        <v>267</v>
      </c>
      <c r="D134" s="503" t="s">
        <v>193</v>
      </c>
      <c r="E134" s="354"/>
      <c r="F134" s="317"/>
      <c r="G134" s="504"/>
      <c r="H134" s="354"/>
      <c r="I134" s="317"/>
      <c r="J134" s="318"/>
      <c r="K134" s="564"/>
      <c r="L134" s="317"/>
      <c r="M134" s="565">
        <v>0</v>
      </c>
      <c r="N134" s="535">
        <v>0</v>
      </c>
      <c r="O134" s="536">
        <v>0</v>
      </c>
      <c r="P134" s="562"/>
    </row>
    <row r="135" spans="1:16" s="197" customFormat="1" ht="39" thickBot="1" x14ac:dyDescent="0.25">
      <c r="A135" s="566" t="s">
        <v>175</v>
      </c>
      <c r="B135" s="186" t="s">
        <v>170</v>
      </c>
      <c r="C135" s="187" t="s">
        <v>139</v>
      </c>
      <c r="D135" s="406" t="s">
        <v>175</v>
      </c>
      <c r="E135" s="189" t="s">
        <v>30</v>
      </c>
      <c r="F135" s="192">
        <f t="shared" ref="F135" si="29">F136+F137</f>
        <v>0</v>
      </c>
      <c r="G135" s="191" t="s">
        <v>30</v>
      </c>
      <c r="H135" s="189" t="s">
        <v>30</v>
      </c>
      <c r="I135" s="192">
        <f t="shared" ref="I135" si="30">I136+I137</f>
        <v>-721551</v>
      </c>
      <c r="J135" s="193" t="s">
        <v>30</v>
      </c>
      <c r="K135" s="189" t="s">
        <v>30</v>
      </c>
      <c r="L135" s="192">
        <f t="shared" ref="L135" si="31">L136+L137</f>
        <v>0</v>
      </c>
      <c r="M135" s="362" t="s">
        <v>30</v>
      </c>
      <c r="N135" s="194">
        <f t="shared" ref="N135:O135" si="32">N136+N137</f>
        <v>0</v>
      </c>
      <c r="O135" s="195">
        <f t="shared" si="32"/>
        <v>0</v>
      </c>
      <c r="P135" s="567"/>
    </row>
    <row r="136" spans="1:16" s="197" customFormat="1" x14ac:dyDescent="0.2">
      <c r="A136" s="507"/>
      <c r="B136" s="508"/>
      <c r="C136" s="568" t="s">
        <v>502</v>
      </c>
      <c r="D136" s="569" t="s">
        <v>193</v>
      </c>
      <c r="E136" s="511"/>
      <c r="F136" s="512"/>
      <c r="G136" s="522"/>
      <c r="H136" s="531">
        <v>700000</v>
      </c>
      <c r="I136" s="512">
        <f>-419380</f>
        <v>-419380</v>
      </c>
      <c r="J136" s="513">
        <f>I136/H136</f>
        <v>-0.59911428571428571</v>
      </c>
      <c r="K136" s="511"/>
      <c r="L136" s="512"/>
      <c r="M136" s="513"/>
      <c r="N136" s="524"/>
      <c r="O136" s="525"/>
      <c r="P136" s="570"/>
    </row>
    <row r="137" spans="1:16" s="197" customFormat="1" ht="13.5" thickBot="1" x14ac:dyDescent="0.25">
      <c r="A137" s="357"/>
      <c r="B137" s="290"/>
      <c r="C137" s="571" t="s">
        <v>490</v>
      </c>
      <c r="D137" s="572"/>
      <c r="E137" s="293"/>
      <c r="F137" s="294"/>
      <c r="G137" s="377"/>
      <c r="H137" s="329">
        <v>566747</v>
      </c>
      <c r="I137" s="330">
        <f>-300000-2171</f>
        <v>-302171</v>
      </c>
      <c r="J137" s="513">
        <f>I137/H137</f>
        <v>-0.53316735686293881</v>
      </c>
      <c r="K137" s="293"/>
      <c r="L137" s="294"/>
      <c r="M137" s="295"/>
      <c r="N137" s="462"/>
      <c r="O137" s="463"/>
      <c r="P137" s="573"/>
    </row>
    <row r="138" spans="1:16" s="230" customFormat="1" ht="26.25" hidden="1" thickBot="1" x14ac:dyDescent="0.25">
      <c r="A138" s="380" t="s">
        <v>176</v>
      </c>
      <c r="B138" s="381" t="s">
        <v>171</v>
      </c>
      <c r="C138" s="466" t="s">
        <v>140</v>
      </c>
      <c r="D138" s="574" t="s">
        <v>176</v>
      </c>
      <c r="E138" s="384" t="s">
        <v>30</v>
      </c>
      <c r="F138" s="385">
        <f t="shared" ref="F138" si="33">F139+F140</f>
        <v>0</v>
      </c>
      <c r="G138" s="386" t="s">
        <v>30</v>
      </c>
      <c r="H138" s="384" t="s">
        <v>30</v>
      </c>
      <c r="I138" s="385">
        <f t="shared" ref="I138" si="34">I139+I140</f>
        <v>0</v>
      </c>
      <c r="J138" s="387" t="s">
        <v>30</v>
      </c>
      <c r="K138" s="384" t="s">
        <v>30</v>
      </c>
      <c r="L138" s="385">
        <f t="shared" ref="L138" si="35">L139+L140</f>
        <v>0</v>
      </c>
      <c r="M138" s="388" t="s">
        <v>30</v>
      </c>
      <c r="N138" s="389">
        <f t="shared" ref="N138:O138" si="36">N139+N140</f>
        <v>0</v>
      </c>
      <c r="O138" s="390">
        <f t="shared" si="36"/>
        <v>0</v>
      </c>
      <c r="P138" s="492"/>
    </row>
    <row r="139" spans="1:16" s="230" customFormat="1" ht="25.5" hidden="1" x14ac:dyDescent="0.2">
      <c r="A139" s="391"/>
      <c r="B139" s="392"/>
      <c r="C139" s="575" t="s">
        <v>184</v>
      </c>
      <c r="D139" s="394" t="s">
        <v>193</v>
      </c>
      <c r="E139" s="395"/>
      <c r="F139" s="396"/>
      <c r="G139" s="397"/>
      <c r="H139" s="395"/>
      <c r="I139" s="396"/>
      <c r="J139" s="398"/>
      <c r="K139" s="528"/>
      <c r="L139" s="396"/>
      <c r="M139" s="398">
        <v>-1</v>
      </c>
      <c r="N139" s="399"/>
      <c r="O139" s="400"/>
      <c r="P139" s="576"/>
    </row>
    <row r="140" spans="1:16" s="230" customFormat="1" ht="13.5" hidden="1" thickBot="1" x14ac:dyDescent="0.25">
      <c r="A140" s="352"/>
      <c r="B140" s="290"/>
      <c r="C140" s="461"/>
      <c r="D140" s="572"/>
      <c r="E140" s="293"/>
      <c r="F140" s="294"/>
      <c r="G140" s="377"/>
      <c r="H140" s="293"/>
      <c r="I140" s="294"/>
      <c r="J140" s="295"/>
      <c r="K140" s="293"/>
      <c r="L140" s="294"/>
      <c r="M140" s="295"/>
      <c r="N140" s="378"/>
      <c r="O140" s="379"/>
      <c r="P140" s="577"/>
    </row>
    <row r="141" spans="1:16" s="230" customFormat="1" ht="26.25" hidden="1" thickBot="1" x14ac:dyDescent="0.25">
      <c r="A141" s="380" t="s">
        <v>177</v>
      </c>
      <c r="B141" s="381" t="s">
        <v>376</v>
      </c>
      <c r="C141" s="466" t="s">
        <v>130</v>
      </c>
      <c r="D141" s="574" t="s">
        <v>177</v>
      </c>
      <c r="E141" s="384" t="s">
        <v>30</v>
      </c>
      <c r="F141" s="385">
        <f>F142</f>
        <v>0</v>
      </c>
      <c r="G141" s="386" t="s">
        <v>30</v>
      </c>
      <c r="H141" s="384" t="s">
        <v>30</v>
      </c>
      <c r="I141" s="385">
        <f>I142</f>
        <v>0</v>
      </c>
      <c r="J141" s="387" t="s">
        <v>30</v>
      </c>
      <c r="K141" s="384" t="s">
        <v>30</v>
      </c>
      <c r="L141" s="385">
        <f>L142</f>
        <v>0</v>
      </c>
      <c r="M141" s="388" t="s">
        <v>30</v>
      </c>
      <c r="N141" s="389">
        <f>N142</f>
        <v>0</v>
      </c>
      <c r="O141" s="390">
        <f>O142</f>
        <v>0</v>
      </c>
      <c r="P141" s="492"/>
    </row>
    <row r="142" spans="1:16" s="230" customFormat="1" ht="13.5" hidden="1" thickBot="1" x14ac:dyDescent="0.25">
      <c r="A142" s="352"/>
      <c r="B142" s="578"/>
      <c r="C142" s="579"/>
      <c r="D142" s="580"/>
      <c r="E142" s="581"/>
      <c r="F142" s="582"/>
      <c r="G142" s="583"/>
      <c r="H142" s="581"/>
      <c r="I142" s="582"/>
      <c r="J142" s="584"/>
      <c r="K142" s="581"/>
      <c r="L142" s="582"/>
      <c r="M142" s="584"/>
      <c r="N142" s="585"/>
      <c r="O142" s="586"/>
      <c r="P142" s="587"/>
    </row>
    <row r="143" spans="1:16" s="230" customFormat="1" ht="26.25" thickBot="1" x14ac:dyDescent="0.25">
      <c r="A143" s="380" t="s">
        <v>178</v>
      </c>
      <c r="B143" s="186" t="s">
        <v>172</v>
      </c>
      <c r="C143" s="187" t="s">
        <v>141</v>
      </c>
      <c r="D143" s="406" t="s">
        <v>178</v>
      </c>
      <c r="E143" s="189" t="s">
        <v>30</v>
      </c>
      <c r="F143" s="192">
        <f>SUM(F144:F146)</f>
        <v>0</v>
      </c>
      <c r="G143" s="191" t="s">
        <v>30</v>
      </c>
      <c r="H143" s="189" t="s">
        <v>30</v>
      </c>
      <c r="I143" s="192">
        <f>SUM(I144:I146)</f>
        <v>0</v>
      </c>
      <c r="J143" s="193" t="s">
        <v>30</v>
      </c>
      <c r="K143" s="189" t="s">
        <v>30</v>
      </c>
      <c r="L143" s="192">
        <f>SUM(L144:L146)</f>
        <v>-2142666</v>
      </c>
      <c r="M143" s="362" t="s">
        <v>30</v>
      </c>
      <c r="N143" s="194">
        <f t="shared" ref="N143:O143" si="37">SUM(N144:N146)</f>
        <v>49134199</v>
      </c>
      <c r="O143" s="540">
        <f t="shared" si="37"/>
        <v>0</v>
      </c>
      <c r="P143" s="567"/>
    </row>
    <row r="144" spans="1:16" s="230" customFormat="1" x14ac:dyDescent="0.2">
      <c r="A144" s="391"/>
      <c r="B144" s="392"/>
      <c r="C144" s="520" t="s">
        <v>365</v>
      </c>
      <c r="D144" s="521" t="s">
        <v>193</v>
      </c>
      <c r="E144" s="511"/>
      <c r="F144" s="512"/>
      <c r="G144" s="588"/>
      <c r="H144" s="511"/>
      <c r="I144" s="512"/>
      <c r="J144" s="513"/>
      <c r="K144" s="512">
        <f>13973233+2619841</f>
        <v>16593074</v>
      </c>
      <c r="L144" s="589">
        <f>-155626-874991</f>
        <v>-1030617</v>
      </c>
      <c r="M144" s="216">
        <f>L144/K144</f>
        <v>-6.2111276066146637E-2</v>
      </c>
      <c r="N144" s="524">
        <v>36790353</v>
      </c>
      <c r="O144" s="525"/>
      <c r="P144" s="570"/>
    </row>
    <row r="145" spans="1:16" s="230" customFormat="1" ht="26.25" thickBot="1" x14ac:dyDescent="0.25">
      <c r="A145" s="352"/>
      <c r="B145" s="211"/>
      <c r="C145" s="212" t="s">
        <v>364</v>
      </c>
      <c r="D145" s="213" t="s">
        <v>193</v>
      </c>
      <c r="E145" s="225"/>
      <c r="F145" s="215"/>
      <c r="G145" s="590"/>
      <c r="H145" s="225"/>
      <c r="I145" s="215"/>
      <c r="J145" s="226"/>
      <c r="K145" s="215">
        <f>5287773+4599568</f>
        <v>9887341</v>
      </c>
      <c r="L145" s="591">
        <f>-1137505-42215</f>
        <v>-1179720</v>
      </c>
      <c r="M145" s="216">
        <f>L145/K145</f>
        <v>-0.11931620442745931</v>
      </c>
      <c r="N145" s="220">
        <v>12343846</v>
      </c>
      <c r="O145" s="221"/>
      <c r="P145" s="573"/>
    </row>
    <row r="146" spans="1:16" s="230" customFormat="1" ht="26.25" thickBot="1" x14ac:dyDescent="0.25">
      <c r="A146" s="592"/>
      <c r="B146" s="290"/>
      <c r="C146" s="593" t="s">
        <v>366</v>
      </c>
      <c r="D146" s="526" t="s">
        <v>193</v>
      </c>
      <c r="E146" s="343"/>
      <c r="F146" s="330"/>
      <c r="G146" s="594"/>
      <c r="H146" s="343"/>
      <c r="I146" s="330"/>
      <c r="J146" s="331"/>
      <c r="K146" s="330">
        <v>3655627</v>
      </c>
      <c r="L146" s="330">
        <v>67671</v>
      </c>
      <c r="M146" s="216">
        <f>L146/K146</f>
        <v>1.8511461918844566E-2</v>
      </c>
      <c r="N146" s="462"/>
      <c r="O146" s="463"/>
      <c r="P146" s="573"/>
    </row>
    <row r="147" spans="1:16" s="197" customFormat="1" ht="26.25" hidden="1" thickBot="1" x14ac:dyDescent="0.25">
      <c r="A147" s="185" t="s">
        <v>179</v>
      </c>
      <c r="B147" s="381" t="s">
        <v>377</v>
      </c>
      <c r="C147" s="595" t="s">
        <v>142</v>
      </c>
      <c r="D147" s="574" t="s">
        <v>179</v>
      </c>
      <c r="E147" s="384" t="s">
        <v>30</v>
      </c>
      <c r="F147" s="385">
        <f t="shared" ref="F147" si="38">F148+F149</f>
        <v>0</v>
      </c>
      <c r="G147" s="386" t="s">
        <v>30</v>
      </c>
      <c r="H147" s="384" t="s">
        <v>30</v>
      </c>
      <c r="I147" s="385">
        <f t="shared" ref="I147" si="39">I148+I149</f>
        <v>0</v>
      </c>
      <c r="J147" s="387" t="s">
        <v>30</v>
      </c>
      <c r="K147" s="384" t="s">
        <v>30</v>
      </c>
      <c r="L147" s="385">
        <f t="shared" ref="L147" si="40">L148+L149</f>
        <v>0</v>
      </c>
      <c r="M147" s="388" t="s">
        <v>30</v>
      </c>
      <c r="N147" s="194">
        <f t="shared" ref="N147:O147" si="41">N148+N149</f>
        <v>0</v>
      </c>
      <c r="O147" s="195">
        <f t="shared" si="41"/>
        <v>0</v>
      </c>
      <c r="P147" s="567"/>
    </row>
    <row r="148" spans="1:16" s="197" customFormat="1" hidden="1" x14ac:dyDescent="0.2">
      <c r="A148" s="507"/>
      <c r="B148" s="392"/>
      <c r="C148" s="575" t="s">
        <v>219</v>
      </c>
      <c r="D148" s="596" t="s">
        <v>193</v>
      </c>
      <c r="E148" s="395"/>
      <c r="F148" s="396"/>
      <c r="G148" s="397"/>
      <c r="H148" s="597"/>
      <c r="I148" s="396"/>
      <c r="J148" s="398"/>
      <c r="K148" s="395"/>
      <c r="L148" s="396"/>
      <c r="M148" s="565" t="e">
        <f>L148/K148</f>
        <v>#DIV/0!</v>
      </c>
      <c r="N148" s="524"/>
      <c r="O148" s="525"/>
      <c r="P148" s="570"/>
    </row>
    <row r="149" spans="1:16" s="197" customFormat="1" ht="13.5" hidden="1" thickBot="1" x14ac:dyDescent="0.25">
      <c r="A149" s="357"/>
      <c r="B149" s="290"/>
      <c r="C149" s="461"/>
      <c r="D149" s="572"/>
      <c r="E149" s="293"/>
      <c r="F149" s="294"/>
      <c r="G149" s="377"/>
      <c r="H149" s="293"/>
      <c r="I149" s="294"/>
      <c r="J149" s="295"/>
      <c r="K149" s="293"/>
      <c r="L149" s="294"/>
      <c r="M149" s="295"/>
      <c r="N149" s="462"/>
      <c r="O149" s="463"/>
      <c r="P149" s="573"/>
    </row>
    <row r="150" spans="1:16" s="230" customFormat="1" ht="39" hidden="1" thickBot="1" x14ac:dyDescent="0.25">
      <c r="A150" s="380" t="s">
        <v>180</v>
      </c>
      <c r="B150" s="381" t="s">
        <v>175</v>
      </c>
      <c r="C150" s="595" t="s">
        <v>143</v>
      </c>
      <c r="D150" s="574" t="s">
        <v>180</v>
      </c>
      <c r="E150" s="384" t="s">
        <v>30</v>
      </c>
      <c r="F150" s="385">
        <f t="shared" ref="F150" si="42">F151+F152</f>
        <v>0</v>
      </c>
      <c r="G150" s="386" t="s">
        <v>30</v>
      </c>
      <c r="H150" s="384" t="s">
        <v>30</v>
      </c>
      <c r="I150" s="385">
        <f t="shared" ref="I150" si="43">I151+I152</f>
        <v>0</v>
      </c>
      <c r="J150" s="387" t="s">
        <v>30</v>
      </c>
      <c r="K150" s="384" t="s">
        <v>30</v>
      </c>
      <c r="L150" s="385">
        <f t="shared" ref="L150" si="44">L151+L152</f>
        <v>0</v>
      </c>
      <c r="M150" s="388" t="s">
        <v>30</v>
      </c>
      <c r="N150" s="389">
        <f t="shared" ref="N150:O150" si="45">N151+N152</f>
        <v>0</v>
      </c>
      <c r="O150" s="390">
        <f t="shared" si="45"/>
        <v>0</v>
      </c>
      <c r="P150" s="598"/>
    </row>
    <row r="151" spans="1:16" s="230" customFormat="1" ht="25.5" hidden="1" x14ac:dyDescent="0.2">
      <c r="A151" s="391"/>
      <c r="B151" s="392"/>
      <c r="C151" s="599" t="s">
        <v>201</v>
      </c>
      <c r="D151" s="596" t="s">
        <v>193</v>
      </c>
      <c r="E151" s="395"/>
      <c r="F151" s="396"/>
      <c r="G151" s="397"/>
      <c r="H151" s="528"/>
      <c r="I151" s="396"/>
      <c r="J151" s="398">
        <v>0</v>
      </c>
      <c r="K151" s="395"/>
      <c r="L151" s="396"/>
      <c r="M151" s="398"/>
      <c r="N151" s="399"/>
      <c r="O151" s="400"/>
      <c r="P151" s="576"/>
    </row>
    <row r="152" spans="1:16" s="230" customFormat="1" ht="13.5" hidden="1" thickBot="1" x14ac:dyDescent="0.25">
      <c r="A152" s="224"/>
      <c r="B152" s="290"/>
      <c r="C152" s="375" t="s">
        <v>220</v>
      </c>
      <c r="D152" s="572" t="s">
        <v>193</v>
      </c>
      <c r="E152" s="293"/>
      <c r="F152" s="294"/>
      <c r="G152" s="377"/>
      <c r="H152" s="361"/>
      <c r="I152" s="294"/>
      <c r="J152" s="295">
        <v>0</v>
      </c>
      <c r="K152" s="293"/>
      <c r="L152" s="294"/>
      <c r="M152" s="295"/>
      <c r="N152" s="378"/>
      <c r="O152" s="379"/>
      <c r="P152" s="577"/>
    </row>
    <row r="153" spans="1:16" s="197" customFormat="1" ht="26.25" hidden="1" thickBot="1" x14ac:dyDescent="0.25">
      <c r="A153" s="459"/>
      <c r="B153" s="186" t="s">
        <v>176</v>
      </c>
      <c r="C153" s="595" t="s">
        <v>202</v>
      </c>
      <c r="D153" s="574" t="s">
        <v>367</v>
      </c>
      <c r="E153" s="384" t="s">
        <v>30</v>
      </c>
      <c r="F153" s="385">
        <f>F154</f>
        <v>0</v>
      </c>
      <c r="G153" s="386" t="s">
        <v>30</v>
      </c>
      <c r="H153" s="384" t="s">
        <v>30</v>
      </c>
      <c r="I153" s="385">
        <f>I154</f>
        <v>0</v>
      </c>
      <c r="J153" s="387" t="s">
        <v>30</v>
      </c>
      <c r="K153" s="384" t="s">
        <v>30</v>
      </c>
      <c r="L153" s="385">
        <f>L154</f>
        <v>0</v>
      </c>
      <c r="M153" s="388" t="s">
        <v>30</v>
      </c>
      <c r="N153" s="194">
        <f t="shared" ref="N153:O153" si="46">N154</f>
        <v>0</v>
      </c>
      <c r="O153" s="540">
        <f t="shared" si="46"/>
        <v>0</v>
      </c>
      <c r="P153" s="467"/>
    </row>
    <row r="154" spans="1:16" s="197" customFormat="1" hidden="1" x14ac:dyDescent="0.2">
      <c r="A154" s="459"/>
      <c r="B154" s="508"/>
      <c r="C154" s="599" t="s">
        <v>430</v>
      </c>
      <c r="D154" s="596" t="s">
        <v>193</v>
      </c>
      <c r="E154" s="395"/>
      <c r="F154" s="396"/>
      <c r="G154" s="397"/>
      <c r="H154" s="528"/>
      <c r="I154" s="396"/>
      <c r="J154" s="398">
        <v>0</v>
      </c>
      <c r="K154" s="395"/>
      <c r="L154" s="396"/>
      <c r="M154" s="398"/>
      <c r="N154" s="524"/>
      <c r="O154" s="525"/>
      <c r="P154" s="600"/>
    </row>
    <row r="155" spans="1:16" s="230" customFormat="1" ht="13.5" hidden="1" thickBot="1" x14ac:dyDescent="0.25">
      <c r="A155" s="592"/>
      <c r="B155" s="290"/>
      <c r="C155" s="375"/>
      <c r="D155" s="572"/>
      <c r="E155" s="293"/>
      <c r="F155" s="294"/>
      <c r="G155" s="377"/>
      <c r="H155" s="361"/>
      <c r="I155" s="294"/>
      <c r="J155" s="295"/>
      <c r="K155" s="293"/>
      <c r="L155" s="294"/>
      <c r="M155" s="295"/>
      <c r="N155" s="378"/>
      <c r="O155" s="379"/>
      <c r="P155" s="577"/>
    </row>
    <row r="156" spans="1:16" s="197" customFormat="1" ht="26.25" thickBot="1" x14ac:dyDescent="0.25">
      <c r="A156" s="459"/>
      <c r="B156" s="186" t="s">
        <v>177</v>
      </c>
      <c r="C156" s="601" t="s">
        <v>249</v>
      </c>
      <c r="D156" s="406" t="s">
        <v>368</v>
      </c>
      <c r="E156" s="189" t="s">
        <v>30</v>
      </c>
      <c r="F156" s="192">
        <f>SUM(F157:F162)</f>
        <v>0</v>
      </c>
      <c r="G156" s="602" t="s">
        <v>30</v>
      </c>
      <c r="H156" s="189" t="s">
        <v>30</v>
      </c>
      <c r="I156" s="192">
        <f>SUM(I157:I162)</f>
        <v>0</v>
      </c>
      <c r="J156" s="362" t="s">
        <v>30</v>
      </c>
      <c r="K156" s="189" t="s">
        <v>30</v>
      </c>
      <c r="L156" s="192">
        <f>SUM(L157:L162)</f>
        <v>2294691</v>
      </c>
      <c r="M156" s="362" t="s">
        <v>30</v>
      </c>
      <c r="N156" s="194">
        <f>SUM(N157:N163)</f>
        <v>12348937</v>
      </c>
      <c r="O156" s="194">
        <f>SUM(O157:O163)</f>
        <v>19070057</v>
      </c>
      <c r="P156" s="467"/>
    </row>
    <row r="157" spans="1:16" s="230" customFormat="1" x14ac:dyDescent="0.2">
      <c r="A157" s="592"/>
      <c r="B157" s="392"/>
      <c r="C157" s="725" t="s">
        <v>495</v>
      </c>
      <c r="D157" s="723" t="s">
        <v>193</v>
      </c>
      <c r="E157" s="537"/>
      <c r="F157" s="396"/>
      <c r="G157" s="538"/>
      <c r="H157" s="396"/>
      <c r="I157" s="512"/>
      <c r="J157" s="538"/>
      <c r="K157" s="512">
        <v>2148564</v>
      </c>
      <c r="L157" s="512">
        <v>1035343</v>
      </c>
      <c r="M157" s="699">
        <f>L157/K157</f>
        <v>0.48187673255253277</v>
      </c>
      <c r="N157" s="726"/>
      <c r="O157" s="726"/>
      <c r="P157" s="724"/>
    </row>
    <row r="158" spans="1:16" s="230" customFormat="1" x14ac:dyDescent="0.2">
      <c r="A158" s="592"/>
      <c r="B158" s="211"/>
      <c r="C158" s="700" t="s">
        <v>414</v>
      </c>
      <c r="D158" s="606" t="s">
        <v>193</v>
      </c>
      <c r="E158" s="701"/>
      <c r="F158" s="218"/>
      <c r="G158" s="702"/>
      <c r="H158" s="215">
        <v>600000</v>
      </c>
      <c r="I158" s="215">
        <v>-203000</v>
      </c>
      <c r="J158" s="703">
        <f>I158/H158</f>
        <v>-0.33833333333333332</v>
      </c>
      <c r="K158" s="701"/>
      <c r="L158" s="218"/>
      <c r="M158" s="699"/>
      <c r="N158" s="603"/>
      <c r="O158" s="603"/>
      <c r="P158" s="707"/>
    </row>
    <row r="159" spans="1:16" s="230" customFormat="1" x14ac:dyDescent="0.2">
      <c r="A159" s="592"/>
      <c r="B159" s="211"/>
      <c r="C159" s="704" t="s">
        <v>399</v>
      </c>
      <c r="D159" s="633" t="s">
        <v>193</v>
      </c>
      <c r="E159" s="701"/>
      <c r="F159" s="218"/>
      <c r="G159" s="702"/>
      <c r="H159" s="705"/>
      <c r="I159" s="215"/>
      <c r="J159" s="702"/>
      <c r="K159" s="215">
        <v>19619370</v>
      </c>
      <c r="L159" s="215">
        <v>2298832</v>
      </c>
      <c r="M159" s="699">
        <f t="shared" ref="M159:M160" si="47">L159/K159</f>
        <v>0.11717155036068946</v>
      </c>
      <c r="N159" s="604"/>
      <c r="O159" s="605"/>
      <c r="P159" s="707"/>
    </row>
    <row r="160" spans="1:16" s="197" customFormat="1" x14ac:dyDescent="0.2">
      <c r="A160" s="459"/>
      <c r="B160" s="222"/>
      <c r="C160" s="700" t="s">
        <v>369</v>
      </c>
      <c r="D160" s="606" t="s">
        <v>193</v>
      </c>
      <c r="E160" s="705"/>
      <c r="F160" s="215"/>
      <c r="G160" s="703"/>
      <c r="H160" s="215">
        <v>15607921</v>
      </c>
      <c r="I160" s="215">
        <v>203000</v>
      </c>
      <c r="J160" s="703">
        <f>I160/H160</f>
        <v>1.3006216523007774E-2</v>
      </c>
      <c r="K160" s="706">
        <v>16283820</v>
      </c>
      <c r="L160" s="215">
        <v>-423653</v>
      </c>
      <c r="M160" s="699">
        <f t="shared" si="47"/>
        <v>-2.6016806867184727E-2</v>
      </c>
      <c r="N160" s="603">
        <v>-6721120</v>
      </c>
      <c r="O160" s="603"/>
      <c r="P160" s="707" t="s">
        <v>494</v>
      </c>
    </row>
    <row r="161" spans="1:16" s="197" customFormat="1" x14ac:dyDescent="0.2">
      <c r="A161" s="459"/>
      <c r="B161" s="222"/>
      <c r="C161" s="700" t="s">
        <v>497</v>
      </c>
      <c r="D161" s="606" t="s">
        <v>193</v>
      </c>
      <c r="E161" s="705"/>
      <c r="F161" s="215"/>
      <c r="G161" s="703"/>
      <c r="H161" s="218"/>
      <c r="I161" s="215"/>
      <c r="J161" s="703"/>
      <c r="K161" s="706">
        <v>44445000</v>
      </c>
      <c r="L161" s="215">
        <f>-516650+276970</f>
        <v>-239680</v>
      </c>
      <c r="M161" s="703">
        <f>L161/K161</f>
        <v>-5.3927325908426143E-3</v>
      </c>
      <c r="N161" s="603"/>
      <c r="O161" s="603"/>
      <c r="P161" s="707"/>
    </row>
    <row r="162" spans="1:16" s="230" customFormat="1" x14ac:dyDescent="0.2">
      <c r="A162" s="592"/>
      <c r="B162" s="211"/>
      <c r="C162" s="700" t="s">
        <v>496</v>
      </c>
      <c r="D162" s="606" t="s">
        <v>193</v>
      </c>
      <c r="E162" s="705"/>
      <c r="F162" s="215"/>
      <c r="G162" s="703"/>
      <c r="H162" s="215"/>
      <c r="I162" s="215"/>
      <c r="J162" s="703"/>
      <c r="K162" s="705">
        <v>75425257</v>
      </c>
      <c r="L162" s="215">
        <v>-376151</v>
      </c>
      <c r="M162" s="703">
        <f>L162/K162</f>
        <v>-4.9870695170451985E-3</v>
      </c>
      <c r="N162" s="603"/>
      <c r="O162" s="603"/>
      <c r="P162" s="707"/>
    </row>
    <row r="163" spans="1:16" s="230" customFormat="1" ht="26.25" thickBot="1" x14ac:dyDescent="0.25">
      <c r="A163" s="592"/>
      <c r="B163" s="708"/>
      <c r="C163" s="709" t="s">
        <v>515</v>
      </c>
      <c r="D163" s="710" t="s">
        <v>193</v>
      </c>
      <c r="E163" s="711"/>
      <c r="F163" s="330"/>
      <c r="G163" s="712"/>
      <c r="H163" s="330"/>
      <c r="I163" s="330"/>
      <c r="J163" s="712"/>
      <c r="K163" s="711"/>
      <c r="L163" s="330"/>
      <c r="M163" s="712"/>
      <c r="N163" s="713">
        <v>19070057</v>
      </c>
      <c r="O163" s="713">
        <v>19070057</v>
      </c>
      <c r="P163" s="714"/>
    </row>
    <row r="164" spans="1:16" s="230" customFormat="1" ht="39" thickBot="1" x14ac:dyDescent="0.25">
      <c r="A164" s="592"/>
      <c r="B164" s="186" t="s">
        <v>178</v>
      </c>
      <c r="C164" s="601" t="s">
        <v>250</v>
      </c>
      <c r="D164" s="406" t="s">
        <v>371</v>
      </c>
      <c r="E164" s="189" t="s">
        <v>30</v>
      </c>
      <c r="F164" s="192">
        <f>SUM(F165:F168)</f>
        <v>0</v>
      </c>
      <c r="G164" s="602" t="s">
        <v>30</v>
      </c>
      <c r="H164" s="189" t="s">
        <v>30</v>
      </c>
      <c r="I164" s="192">
        <f>SUM(I165:I168)</f>
        <v>0</v>
      </c>
      <c r="J164" s="362" t="s">
        <v>30</v>
      </c>
      <c r="K164" s="189" t="s">
        <v>30</v>
      </c>
      <c r="L164" s="192">
        <f>SUM(L165:L168)</f>
        <v>-719831</v>
      </c>
      <c r="M164" s="362" t="s">
        <v>30</v>
      </c>
      <c r="N164" s="194">
        <f>SUM(N165:N168)</f>
        <v>0</v>
      </c>
      <c r="O164" s="540">
        <f>SUM(O165:O168)</f>
        <v>0</v>
      </c>
      <c r="P164" s="467"/>
    </row>
    <row r="165" spans="1:16" s="230" customFormat="1" x14ac:dyDescent="0.2">
      <c r="A165" s="592"/>
      <c r="B165" s="667"/>
      <c r="C165" s="16" t="s">
        <v>370</v>
      </c>
      <c r="D165" s="723" t="s">
        <v>193</v>
      </c>
      <c r="E165" s="698"/>
      <c r="F165" s="512"/>
      <c r="G165" s="699"/>
      <c r="H165" s="512"/>
      <c r="I165" s="512"/>
      <c r="J165" s="699"/>
      <c r="K165" s="512">
        <v>3606546.4</v>
      </c>
      <c r="L165" s="512">
        <v>-326908.95</v>
      </c>
      <c r="M165" s="699">
        <f>L165/K165</f>
        <v>-9.0643212021339861E-2</v>
      </c>
      <c r="N165" s="648"/>
      <c r="O165" s="648"/>
      <c r="P165" s="724"/>
    </row>
    <row r="166" spans="1:16" s="230" customFormat="1" x14ac:dyDescent="0.2">
      <c r="A166" s="592"/>
      <c r="B166" s="222"/>
      <c r="C166" s="14" t="s">
        <v>372</v>
      </c>
      <c r="D166" s="606" t="s">
        <v>193</v>
      </c>
      <c r="E166" s="705"/>
      <c r="F166" s="215"/>
      <c r="G166" s="703"/>
      <c r="H166" s="215"/>
      <c r="I166" s="215"/>
      <c r="J166" s="703"/>
      <c r="K166" s="215">
        <v>1737600</v>
      </c>
      <c r="L166" s="215">
        <v>-202432.05</v>
      </c>
      <c r="M166" s="703">
        <f>L166/K166</f>
        <v>-0.11650094958563535</v>
      </c>
      <c r="N166" s="603"/>
      <c r="O166" s="603"/>
      <c r="P166" s="707"/>
    </row>
    <row r="167" spans="1:16" s="230" customFormat="1" x14ac:dyDescent="0.2">
      <c r="A167" s="592"/>
      <c r="B167" s="222"/>
      <c r="C167" s="14" t="s">
        <v>498</v>
      </c>
      <c r="D167" s="606" t="s">
        <v>193</v>
      </c>
      <c r="E167" s="705"/>
      <c r="F167" s="215"/>
      <c r="G167" s="703"/>
      <c r="H167" s="215"/>
      <c r="I167" s="215"/>
      <c r="J167" s="703"/>
      <c r="K167" s="215">
        <v>200000</v>
      </c>
      <c r="L167" s="215">
        <v>-130690</v>
      </c>
      <c r="M167" s="703">
        <f>L167/K167</f>
        <v>-0.65344999999999998</v>
      </c>
      <c r="N167" s="603"/>
      <c r="O167" s="603"/>
      <c r="P167" s="707"/>
    </row>
    <row r="168" spans="1:16" s="230" customFormat="1" ht="13.5" thickBot="1" x14ac:dyDescent="0.25">
      <c r="A168" s="592"/>
      <c r="B168" s="722"/>
      <c r="C168" s="63" t="s">
        <v>410</v>
      </c>
      <c r="D168" s="710" t="s">
        <v>193</v>
      </c>
      <c r="E168" s="711"/>
      <c r="F168" s="330"/>
      <c r="G168" s="712"/>
      <c r="H168" s="330"/>
      <c r="I168" s="330"/>
      <c r="J168" s="712"/>
      <c r="K168" s="330">
        <v>350000</v>
      </c>
      <c r="L168" s="330">
        <v>-59800</v>
      </c>
      <c r="M168" s="703">
        <f>L168/K168</f>
        <v>-0.17085714285714285</v>
      </c>
      <c r="N168" s="713"/>
      <c r="O168" s="713"/>
      <c r="P168" s="714"/>
    </row>
    <row r="169" spans="1:16" s="230" customFormat="1" ht="26.25" hidden="1" thickBot="1" x14ac:dyDescent="0.25">
      <c r="A169" s="592"/>
      <c r="B169" s="715" t="s">
        <v>179</v>
      </c>
      <c r="C169" s="716" t="s">
        <v>412</v>
      </c>
      <c r="D169" s="717" t="s">
        <v>411</v>
      </c>
      <c r="E169" s="718" t="s">
        <v>30</v>
      </c>
      <c r="F169" s="719">
        <f>SUM(F170:F170)</f>
        <v>0</v>
      </c>
      <c r="G169" s="720" t="s">
        <v>30</v>
      </c>
      <c r="H169" s="718" t="s">
        <v>30</v>
      </c>
      <c r="I169" s="719">
        <f>SUM(I170:I170)</f>
        <v>0</v>
      </c>
      <c r="J169" s="721" t="s">
        <v>30</v>
      </c>
      <c r="K169" s="718" t="s">
        <v>30</v>
      </c>
      <c r="L169" s="719">
        <f>SUM(L170:L170)</f>
        <v>0</v>
      </c>
      <c r="M169" s="721" t="s">
        <v>30</v>
      </c>
      <c r="N169" s="607">
        <f>SUM(N170:N170)</f>
        <v>0</v>
      </c>
      <c r="O169" s="608">
        <f>SUM(O170:O170)</f>
        <v>0</v>
      </c>
      <c r="P169" s="609"/>
    </row>
    <row r="170" spans="1:16" s="230" customFormat="1" ht="13.5" hidden="1" thickBot="1" x14ac:dyDescent="0.25">
      <c r="A170" s="592"/>
      <c r="B170" s="392"/>
      <c r="C170" s="599" t="s">
        <v>413</v>
      </c>
      <c r="D170" s="596" t="s">
        <v>193</v>
      </c>
      <c r="E170" s="395"/>
      <c r="F170" s="396"/>
      <c r="G170" s="397"/>
      <c r="H170" s="528"/>
      <c r="I170" s="396"/>
      <c r="J170" s="398">
        <v>0</v>
      </c>
      <c r="K170" s="396"/>
      <c r="L170" s="396"/>
      <c r="M170" s="398"/>
      <c r="N170" s="524">
        <v>0</v>
      </c>
      <c r="O170" s="525">
        <v>0</v>
      </c>
      <c r="P170" s="600"/>
    </row>
    <row r="171" spans="1:16" s="197" customFormat="1" ht="14.25" thickBot="1" x14ac:dyDescent="0.3">
      <c r="A171" s="610"/>
      <c r="B171" s="611"/>
      <c r="C171" s="612" t="s">
        <v>188</v>
      </c>
      <c r="D171" s="613"/>
      <c r="E171" s="614" t="s">
        <v>30</v>
      </c>
      <c r="F171" s="615">
        <f>F169++F147+F143+F156+F124+F122+F119+F116+F110+F97+F87+F55+F29+F7</f>
        <v>1637867</v>
      </c>
      <c r="G171" s="616" t="s">
        <v>30</v>
      </c>
      <c r="H171" s="617" t="s">
        <v>30</v>
      </c>
      <c r="I171" s="615">
        <f>I169++I147+I143+I156+I124+I122+I119+I116+I110+I97+I87+I55+I29+I7+I135+I113+I164+I150+I153+I141+I138</f>
        <v>4203347.34</v>
      </c>
      <c r="J171" s="618" t="s">
        <v>30</v>
      </c>
      <c r="K171" s="617" t="s">
        <v>30</v>
      </c>
      <c r="L171" s="615">
        <f>L169++L147+L143+L156+L124+L122+L119+L116+L110+L97+L87+L55+L29+L7+L135+L113+L164+L150+L153+L141+L138</f>
        <v>-4752189</v>
      </c>
      <c r="M171" s="618" t="s">
        <v>30</v>
      </c>
      <c r="N171" s="619">
        <f>N169++N147+N143+N156+N124+N122+N119+N116+N110+N97+N87+N55+N29+N7</f>
        <v>55258256</v>
      </c>
      <c r="O171" s="620">
        <f>O169++O147+O143+O156+O124+O122+O119+O116+O110+O97+O87+O55+O29+O7</f>
        <v>19070057</v>
      </c>
      <c r="P171" s="464"/>
    </row>
    <row r="172" spans="1:16" s="197" customFormat="1" ht="14.25" thickBot="1" x14ac:dyDescent="0.3">
      <c r="A172" s="621"/>
      <c r="B172" s="621"/>
      <c r="C172" s="622" t="s">
        <v>104</v>
      </c>
      <c r="D172" s="837">
        <f>F171+I171+L171</f>
        <v>1089025.3399999999</v>
      </c>
      <c r="E172" s="837"/>
      <c r="F172" s="837"/>
      <c r="G172" s="837"/>
      <c r="H172" s="837"/>
      <c r="I172" s="837"/>
      <c r="J172" s="837"/>
      <c r="K172" s="837"/>
      <c r="L172" s="837"/>
      <c r="M172" s="838"/>
      <c r="N172" s="623">
        <f>N171</f>
        <v>55258256</v>
      </c>
      <c r="O172" s="624">
        <f>O171</f>
        <v>19070057</v>
      </c>
      <c r="P172" s="467"/>
    </row>
    <row r="173" spans="1:16" s="197" customFormat="1" ht="14.25" thickBot="1" x14ac:dyDescent="0.3">
      <c r="A173" s="610"/>
      <c r="B173" s="625"/>
      <c r="C173" s="626" t="s">
        <v>105</v>
      </c>
      <c r="D173" s="627" t="s">
        <v>181</v>
      </c>
      <c r="E173" s="628" t="s">
        <v>30</v>
      </c>
      <c r="F173" s="629">
        <f>SUM(F174:F188)</f>
        <v>2762712</v>
      </c>
      <c r="G173" s="628" t="s">
        <v>30</v>
      </c>
      <c r="H173" s="628" t="s">
        <v>30</v>
      </c>
      <c r="I173" s="629">
        <f>SUM(I174:I187)</f>
        <v>-5328849.34</v>
      </c>
      <c r="J173" s="628"/>
      <c r="K173" s="628" t="s">
        <v>30</v>
      </c>
      <c r="L173" s="629">
        <f>SUM(L174:L187)</f>
        <v>-1714398</v>
      </c>
      <c r="M173" s="630" t="s">
        <v>30</v>
      </c>
      <c r="N173" s="631">
        <f>SUM(N174:N187)</f>
        <v>-1000000</v>
      </c>
      <c r="O173" s="629">
        <f>SUM(O174:O187)</f>
        <v>0</v>
      </c>
      <c r="P173" s="530"/>
    </row>
    <row r="174" spans="1:16" s="197" customFormat="1" ht="25.5" x14ac:dyDescent="0.2">
      <c r="A174" s="210"/>
      <c r="B174" s="210"/>
      <c r="C174" s="632" t="s">
        <v>207</v>
      </c>
      <c r="D174" s="633" t="s">
        <v>383</v>
      </c>
      <c r="E174" s="215">
        <v>2400818</v>
      </c>
      <c r="F174" s="215">
        <f>173398</f>
        <v>173398</v>
      </c>
      <c r="G174" s="634">
        <f>F174/E174</f>
        <v>7.2224550132496512E-2</v>
      </c>
      <c r="H174" s="215">
        <f>42082322+8387470+17389582</f>
        <v>67859374</v>
      </c>
      <c r="I174" s="215">
        <f>219274.26+12853</f>
        <v>232127.26</v>
      </c>
      <c r="J174" s="634">
        <f t="shared" ref="J174:J176" si="48">I174/H174</f>
        <v>3.4207103059925074E-3</v>
      </c>
      <c r="K174" s="215"/>
      <c r="L174" s="215"/>
      <c r="M174" s="635"/>
      <c r="N174" s="220">
        <v>-3500000</v>
      </c>
      <c r="O174" s="604"/>
      <c r="P174" s="196"/>
    </row>
    <row r="175" spans="1:16" s="197" customFormat="1" x14ac:dyDescent="0.2">
      <c r="A175" s="210"/>
      <c r="B175" s="210"/>
      <c r="C175" s="731" t="s">
        <v>531</v>
      </c>
      <c r="D175" s="261" t="s">
        <v>193</v>
      </c>
      <c r="E175" s="214">
        <v>0</v>
      </c>
      <c r="F175" s="215">
        <v>3000000</v>
      </c>
      <c r="G175" s="216">
        <v>1</v>
      </c>
      <c r="H175" s="214"/>
      <c r="I175" s="215"/>
      <c r="J175" s="634"/>
      <c r="K175" s="214"/>
      <c r="L175" s="215"/>
      <c r="M175" s="635"/>
      <c r="N175" s="516">
        <v>3500000</v>
      </c>
      <c r="O175" s="517"/>
      <c r="P175" s="196"/>
    </row>
    <row r="176" spans="1:16" s="197" customFormat="1" x14ac:dyDescent="0.2">
      <c r="A176" s="210"/>
      <c r="B176" s="210"/>
      <c r="C176" s="632" t="s">
        <v>401</v>
      </c>
      <c r="D176" s="633" t="s">
        <v>433</v>
      </c>
      <c r="E176" s="215"/>
      <c r="F176" s="215"/>
      <c r="G176" s="634"/>
      <c r="H176" s="591">
        <v>3157308</v>
      </c>
      <c r="I176" s="215">
        <v>-10919.24</v>
      </c>
      <c r="J176" s="634">
        <f t="shared" si="48"/>
        <v>-3.4584019044071723E-3</v>
      </c>
      <c r="K176" s="591">
        <v>1198000</v>
      </c>
      <c r="L176" s="591">
        <f>17000-48000</f>
        <v>-31000</v>
      </c>
      <c r="M176" s="326">
        <f>L176/K176</f>
        <v>-2.5876460767946578E-2</v>
      </c>
      <c r="N176" s="220"/>
      <c r="O176" s="604"/>
      <c r="P176" s="196"/>
    </row>
    <row r="177" spans="1:16" s="197" customFormat="1" x14ac:dyDescent="0.2">
      <c r="A177" s="210"/>
      <c r="B177" s="210"/>
      <c r="C177" s="632" t="s">
        <v>432</v>
      </c>
      <c r="D177" s="633" t="s">
        <v>194</v>
      </c>
      <c r="E177" s="218"/>
      <c r="F177" s="218"/>
      <c r="G177" s="636"/>
      <c r="H177" s="245"/>
      <c r="I177" s="218"/>
      <c r="J177" s="636"/>
      <c r="K177" s="591">
        <v>1127000</v>
      </c>
      <c r="L177" s="591">
        <v>-460000</v>
      </c>
      <c r="M177" s="326">
        <f>L177/K177</f>
        <v>-0.40816326530612246</v>
      </c>
      <c r="N177" s="220"/>
      <c r="O177" s="604"/>
      <c r="P177" s="265"/>
    </row>
    <row r="178" spans="1:16" s="197" customFormat="1" ht="25.5" hidden="1" x14ac:dyDescent="0.2">
      <c r="A178" s="210"/>
      <c r="B178" s="210"/>
      <c r="C178" s="632" t="s">
        <v>544</v>
      </c>
      <c r="D178" s="633" t="s">
        <v>193</v>
      </c>
      <c r="E178" s="218">
        <v>0</v>
      </c>
      <c r="F178" s="218"/>
      <c r="G178" s="636">
        <v>1</v>
      </c>
      <c r="H178" s="245"/>
      <c r="I178" s="218"/>
      <c r="J178" s="636"/>
      <c r="K178" s="218"/>
      <c r="L178" s="218"/>
      <c r="M178" s="326" t="e">
        <f t="shared" ref="M178:M181" si="49">L178/K178</f>
        <v>#DIV/0!</v>
      </c>
      <c r="N178" s="220"/>
      <c r="O178" s="604"/>
      <c r="P178" s="196"/>
    </row>
    <row r="179" spans="1:16" s="197" customFormat="1" x14ac:dyDescent="0.2">
      <c r="A179" s="210"/>
      <c r="B179" s="224"/>
      <c r="C179" s="632" t="s">
        <v>441</v>
      </c>
      <c r="D179" s="633" t="s">
        <v>193</v>
      </c>
      <c r="E179" s="215"/>
      <c r="F179" s="215"/>
      <c r="G179" s="634"/>
      <c r="H179" s="591">
        <v>-2342777.6</v>
      </c>
      <c r="I179" s="215">
        <f>-2342777.6</f>
        <v>-2342777.6</v>
      </c>
      <c r="J179" s="634">
        <f t="shared" ref="J179:J183" si="50">I179/H179</f>
        <v>1</v>
      </c>
      <c r="K179" s="215"/>
      <c r="L179" s="215"/>
      <c r="M179" s="326"/>
      <c r="N179" s="220"/>
      <c r="O179" s="604"/>
      <c r="P179" s="196"/>
    </row>
    <row r="180" spans="1:16" s="197" customFormat="1" x14ac:dyDescent="0.2">
      <c r="A180" s="210"/>
      <c r="B180" s="224"/>
      <c r="C180" s="632" t="s">
        <v>442</v>
      </c>
      <c r="D180" s="633" t="s">
        <v>193</v>
      </c>
      <c r="E180" s="215"/>
      <c r="F180" s="215"/>
      <c r="G180" s="634"/>
      <c r="H180" s="591">
        <v>2900000</v>
      </c>
      <c r="I180" s="215">
        <v>-2900000</v>
      </c>
      <c r="J180" s="634">
        <f t="shared" si="50"/>
        <v>-1</v>
      </c>
      <c r="K180" s="215"/>
      <c r="L180" s="215"/>
      <c r="M180" s="326"/>
      <c r="N180" s="220"/>
      <c r="O180" s="604"/>
      <c r="P180" s="196"/>
    </row>
    <row r="181" spans="1:16" s="197" customFormat="1" x14ac:dyDescent="0.2">
      <c r="A181" s="210"/>
      <c r="B181" s="210"/>
      <c r="C181" s="632" t="s">
        <v>228</v>
      </c>
      <c r="D181" s="633" t="s">
        <v>193</v>
      </c>
      <c r="E181" s="218"/>
      <c r="F181" s="218"/>
      <c r="G181" s="636"/>
      <c r="H181" s="245"/>
      <c r="I181" s="218"/>
      <c r="J181" s="636"/>
      <c r="K181" s="215">
        <v>372238</v>
      </c>
      <c r="L181" s="215">
        <f>-20200-54000</f>
        <v>-74200</v>
      </c>
      <c r="M181" s="326">
        <f t="shared" si="49"/>
        <v>-0.19933483416523837</v>
      </c>
      <c r="N181" s="220"/>
      <c r="O181" s="604"/>
      <c r="P181" s="196"/>
    </row>
    <row r="182" spans="1:16" s="197" customFormat="1" x14ac:dyDescent="0.2">
      <c r="A182" s="210"/>
      <c r="B182" s="210"/>
      <c r="C182" s="632" t="s">
        <v>403</v>
      </c>
      <c r="D182" s="633" t="s">
        <v>404</v>
      </c>
      <c r="E182" s="215"/>
      <c r="F182" s="215"/>
      <c r="G182" s="634"/>
      <c r="H182" s="215">
        <v>150000</v>
      </c>
      <c r="I182" s="215">
        <v>-150000</v>
      </c>
      <c r="J182" s="634">
        <f t="shared" si="50"/>
        <v>-1</v>
      </c>
      <c r="K182" s="215"/>
      <c r="L182" s="215"/>
      <c r="M182" s="635">
        <v>0</v>
      </c>
      <c r="N182" s="220"/>
      <c r="O182" s="604"/>
      <c r="P182" s="196"/>
    </row>
    <row r="183" spans="1:16" s="197" customFormat="1" x14ac:dyDescent="0.2">
      <c r="A183" s="210"/>
      <c r="B183" s="210"/>
      <c r="C183" s="632" t="s">
        <v>427</v>
      </c>
      <c r="D183" s="633" t="s">
        <v>193</v>
      </c>
      <c r="E183" s="215"/>
      <c r="F183" s="215"/>
      <c r="G183" s="634"/>
      <c r="H183" s="215">
        <v>199990</v>
      </c>
      <c r="I183" s="215">
        <v>-100000</v>
      </c>
      <c r="J183" s="634">
        <f t="shared" si="50"/>
        <v>-0.50002500125006255</v>
      </c>
      <c r="K183" s="215">
        <v>199990</v>
      </c>
      <c r="L183" s="215">
        <v>-100000</v>
      </c>
      <c r="M183" s="635">
        <f>L183/K183</f>
        <v>-0.50002500125006255</v>
      </c>
      <c r="N183" s="220"/>
      <c r="O183" s="604"/>
      <c r="P183" s="196"/>
    </row>
    <row r="184" spans="1:16" s="197" customFormat="1" x14ac:dyDescent="0.2">
      <c r="A184" s="210"/>
      <c r="B184" s="357"/>
      <c r="C184" s="637" t="s">
        <v>68</v>
      </c>
      <c r="D184" s="633" t="s">
        <v>194</v>
      </c>
      <c r="E184" s="315"/>
      <c r="F184" s="315"/>
      <c r="G184" s="638"/>
      <c r="H184" s="315">
        <v>413000</v>
      </c>
      <c r="I184" s="315">
        <v>-281930.76</v>
      </c>
      <c r="J184" s="638">
        <f>I184/H184</f>
        <v>-0.68264106537530267</v>
      </c>
      <c r="K184" s="315">
        <v>500000</v>
      </c>
      <c r="L184" s="315">
        <v>-390000</v>
      </c>
      <c r="M184" s="639">
        <f>L184/K184</f>
        <v>-0.78</v>
      </c>
      <c r="N184" s="535"/>
      <c r="O184" s="640"/>
      <c r="P184" s="196"/>
    </row>
    <row r="185" spans="1:16" s="197" customFormat="1" x14ac:dyDescent="0.2">
      <c r="A185" s="210"/>
      <c r="B185" s="357"/>
      <c r="C185" s="637" t="s">
        <v>499</v>
      </c>
      <c r="D185" s="633" t="s">
        <v>194</v>
      </c>
      <c r="E185" s="315"/>
      <c r="F185" s="315"/>
      <c r="G185" s="638"/>
      <c r="H185" s="317"/>
      <c r="I185" s="315"/>
      <c r="J185" s="638"/>
      <c r="K185" s="315">
        <v>60000</v>
      </c>
      <c r="L185" s="315">
        <v>25000</v>
      </c>
      <c r="M185" s="639">
        <f>L185/K185</f>
        <v>0.41666666666666669</v>
      </c>
      <c r="N185" s="535"/>
      <c r="O185" s="640"/>
      <c r="P185" s="196"/>
    </row>
    <row r="186" spans="1:16" s="197" customFormat="1" x14ac:dyDescent="0.2">
      <c r="A186" s="210"/>
      <c r="B186" s="357"/>
      <c r="C186" s="637" t="s">
        <v>500</v>
      </c>
      <c r="D186" s="633" t="s">
        <v>193</v>
      </c>
      <c r="E186" s="315"/>
      <c r="F186" s="315"/>
      <c r="G186" s="638"/>
      <c r="H186" s="317"/>
      <c r="I186" s="315"/>
      <c r="J186" s="638"/>
      <c r="K186" s="315">
        <v>500000</v>
      </c>
      <c r="L186" s="315">
        <v>-500000</v>
      </c>
      <c r="M186" s="639">
        <f>L186/K186</f>
        <v>-1</v>
      </c>
      <c r="N186" s="535"/>
      <c r="O186" s="640"/>
      <c r="P186" s="196"/>
    </row>
    <row r="187" spans="1:16" s="197" customFormat="1" x14ac:dyDescent="0.2">
      <c r="A187" s="210"/>
      <c r="B187" s="641"/>
      <c r="C187" s="632" t="s">
        <v>529</v>
      </c>
      <c r="D187" s="633" t="s">
        <v>193</v>
      </c>
      <c r="E187" s="215"/>
      <c r="F187" s="215"/>
      <c r="G187" s="634"/>
      <c r="H187" s="215">
        <v>44648543</v>
      </c>
      <c r="I187" s="215">
        <f>45000+20000-183757-11592-140000-238000+623000+105000+29250+5000+11250-40500</f>
        <v>224651</v>
      </c>
      <c r="J187" s="634">
        <f>I187/H187</f>
        <v>5.031541566765124E-3</v>
      </c>
      <c r="K187" s="215">
        <v>2702975</v>
      </c>
      <c r="L187" s="215">
        <v>-184198</v>
      </c>
      <c r="M187" s="642">
        <f>L187/K187</f>
        <v>-6.814639425077923E-2</v>
      </c>
      <c r="N187" s="604">
        <v>-1000000</v>
      </c>
      <c r="O187" s="604"/>
      <c r="P187" s="167"/>
    </row>
    <row r="188" spans="1:16" s="197" customFormat="1" x14ac:dyDescent="0.2">
      <c r="A188" s="459"/>
      <c r="B188" s="643"/>
      <c r="C188" s="637" t="s">
        <v>501</v>
      </c>
      <c r="D188" s="644" t="s">
        <v>193</v>
      </c>
      <c r="E188" s="315">
        <v>618854</v>
      </c>
      <c r="F188" s="315">
        <v>-410686</v>
      </c>
      <c r="G188" s="638">
        <f>F188/E188</f>
        <v>-0.66362340713641665</v>
      </c>
      <c r="H188" s="317"/>
      <c r="I188" s="315"/>
      <c r="J188" s="638"/>
      <c r="K188" s="315"/>
      <c r="L188" s="315"/>
      <c r="M188" s="645"/>
      <c r="N188" s="640"/>
      <c r="O188" s="640"/>
      <c r="P188" s="167"/>
    </row>
    <row r="189" spans="1:16" s="197" customFormat="1" ht="14.25" hidden="1" thickBot="1" x14ac:dyDescent="0.3">
      <c r="A189" s="610"/>
      <c r="B189" s="610"/>
      <c r="C189" s="732" t="s">
        <v>379</v>
      </c>
      <c r="D189" s="733" t="s">
        <v>265</v>
      </c>
      <c r="E189" s="734" t="s">
        <v>30</v>
      </c>
      <c r="F189" s="735"/>
      <c r="G189" s="734" t="s">
        <v>30</v>
      </c>
      <c r="H189" s="734" t="s">
        <v>30</v>
      </c>
      <c r="I189" s="735">
        <f>SUM(I190)</f>
        <v>0</v>
      </c>
      <c r="J189" s="734"/>
      <c r="K189" s="734" t="s">
        <v>30</v>
      </c>
      <c r="L189" s="735">
        <f>SUM(L190)</f>
        <v>0</v>
      </c>
      <c r="M189" s="736" t="s">
        <v>30</v>
      </c>
      <c r="N189" s="646">
        <f>SUM(N190)</f>
        <v>0</v>
      </c>
      <c r="O189" s="647">
        <f>SUM(O190)</f>
        <v>0</v>
      </c>
      <c r="P189" s="530"/>
    </row>
    <row r="190" spans="1:16" s="197" customFormat="1" hidden="1" x14ac:dyDescent="0.2">
      <c r="A190" s="210"/>
      <c r="B190" s="507"/>
      <c r="C190" s="737" t="s">
        <v>540</v>
      </c>
      <c r="D190" s="697" t="s">
        <v>193</v>
      </c>
      <c r="E190" s="512"/>
      <c r="F190" s="512"/>
      <c r="G190" s="738"/>
      <c r="H190" s="512"/>
      <c r="I190" s="512"/>
      <c r="J190" s="738"/>
      <c r="K190" s="512"/>
      <c r="L190" s="512"/>
      <c r="M190" s="739"/>
      <c r="N190" s="524"/>
      <c r="O190" s="648"/>
      <c r="P190" s="196"/>
    </row>
    <row r="191" spans="1:16" s="197" customFormat="1" hidden="1" x14ac:dyDescent="0.2">
      <c r="A191" s="210"/>
      <c r="B191" s="507"/>
      <c r="C191" s="737"/>
      <c r="D191" s="697" t="s">
        <v>193</v>
      </c>
      <c r="E191" s="512"/>
      <c r="F191" s="512"/>
      <c r="G191" s="738"/>
      <c r="H191" s="512"/>
      <c r="I191" s="512"/>
      <c r="J191" s="738"/>
      <c r="K191" s="512"/>
      <c r="L191" s="512"/>
      <c r="M191" s="739"/>
      <c r="N191" s="524"/>
      <c r="O191" s="648"/>
      <c r="P191" s="196"/>
    </row>
    <row r="192" spans="1:16" s="197" customFormat="1" x14ac:dyDescent="0.2">
      <c r="A192" s="649"/>
      <c r="B192" s="649"/>
      <c r="C192" s="650" t="s">
        <v>106</v>
      </c>
      <c r="D192" s="651"/>
      <c r="E192" s="652" t="s">
        <v>103</v>
      </c>
      <c r="F192" s="652">
        <f>F173+F171+F189</f>
        <v>4400579</v>
      </c>
      <c r="G192" s="652" t="s">
        <v>103</v>
      </c>
      <c r="H192" s="652" t="s">
        <v>103</v>
      </c>
      <c r="I192" s="652">
        <f>I173+I171+I189</f>
        <v>-1125502</v>
      </c>
      <c r="J192" s="652" t="s">
        <v>103</v>
      </c>
      <c r="K192" s="652" t="s">
        <v>103</v>
      </c>
      <c r="L192" s="652">
        <f>L173+L171+L189</f>
        <v>-6466587</v>
      </c>
      <c r="M192" s="653" t="s">
        <v>103</v>
      </c>
      <c r="N192" s="654">
        <f>N173+N171+N189</f>
        <v>54258256</v>
      </c>
      <c r="O192" s="652">
        <f>O173+O171+O189</f>
        <v>19070057</v>
      </c>
      <c r="P192" s="196"/>
    </row>
    <row r="193" spans="1:16" s="197" customFormat="1" x14ac:dyDescent="0.2">
      <c r="A193" s="655"/>
      <c r="B193" s="655"/>
      <c r="C193" s="650" t="s">
        <v>273</v>
      </c>
      <c r="D193" s="651"/>
      <c r="E193" s="652"/>
      <c r="F193" s="652"/>
      <c r="G193" s="652"/>
      <c r="H193" s="652"/>
      <c r="I193" s="652"/>
      <c r="J193" s="652"/>
      <c r="K193" s="652"/>
      <c r="L193" s="652"/>
      <c r="M193" s="653"/>
      <c r="N193" s="654"/>
      <c r="O193" s="652"/>
      <c r="P193" s="196"/>
    </row>
    <row r="194" spans="1:16" s="662" customFormat="1" ht="14.25" thickBot="1" x14ac:dyDescent="0.3">
      <c r="A194" s="656"/>
      <c r="B194" s="656"/>
      <c r="C194" s="657" t="s">
        <v>107</v>
      </c>
      <c r="D194" s="658"/>
      <c r="E194" s="825">
        <f>F192+I192+L192</f>
        <v>-3191510</v>
      </c>
      <c r="F194" s="825"/>
      <c r="G194" s="825"/>
      <c r="H194" s="825"/>
      <c r="I194" s="825"/>
      <c r="J194" s="825"/>
      <c r="K194" s="825"/>
      <c r="L194" s="825"/>
      <c r="M194" s="826"/>
      <c r="N194" s="659">
        <f>N192+N193</f>
        <v>54258256</v>
      </c>
      <c r="O194" s="660">
        <f>O192+O193</f>
        <v>19070057</v>
      </c>
      <c r="P194" s="661"/>
    </row>
    <row r="195" spans="1:16" s="197" customFormat="1" x14ac:dyDescent="0.2">
      <c r="A195" s="663"/>
      <c r="B195" s="663"/>
      <c r="D195" s="664"/>
      <c r="E195" s="664"/>
      <c r="F195" s="664"/>
      <c r="G195" s="664"/>
      <c r="H195" s="664"/>
      <c r="I195" s="664"/>
      <c r="J195" s="664"/>
      <c r="K195" s="664"/>
      <c r="L195" s="664"/>
      <c r="M195" s="664"/>
      <c r="N195" s="664"/>
      <c r="O195" s="664"/>
    </row>
    <row r="215" spans="8:8" x14ac:dyDescent="0.2">
      <c r="H215" s="666" t="s">
        <v>208</v>
      </c>
    </row>
  </sheetData>
  <mergeCells count="12">
    <mergeCell ref="A6:M6"/>
    <mergeCell ref="E194:M194"/>
    <mergeCell ref="A1:O1"/>
    <mergeCell ref="E2:K2"/>
    <mergeCell ref="A4:A5"/>
    <mergeCell ref="C4:C5"/>
    <mergeCell ref="D4:D5"/>
    <mergeCell ref="E4:G4"/>
    <mergeCell ref="K4:M4"/>
    <mergeCell ref="D172:M172"/>
    <mergeCell ref="H4:J4"/>
    <mergeCell ref="B4:B5"/>
  </mergeCells>
  <pageMargins left="0.31496062992125984" right="0.31496062992125984" top="0.15748031496062992" bottom="0.15748031496062992" header="0" footer="0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2"/>
  <sheetViews>
    <sheetView view="pageBreakPreview" zoomScaleSheetLayoutView="100" workbookViewId="0">
      <selection activeCell="J12" sqref="J12"/>
    </sheetView>
  </sheetViews>
  <sheetFormatPr defaultRowHeight="15" x14ac:dyDescent="0.25"/>
  <cols>
    <col min="1" max="1" width="32.42578125" customWidth="1"/>
    <col min="2" max="6" width="0" hidden="1" customWidth="1"/>
    <col min="7" max="7" width="19.7109375" customWidth="1"/>
    <col min="8" max="8" width="21.28515625" customWidth="1"/>
    <col min="9" max="9" width="20.5703125" customWidth="1"/>
    <col min="10" max="10" width="20.7109375" customWidth="1"/>
  </cols>
  <sheetData>
    <row r="1" spans="1:11" ht="1.5" customHeight="1" x14ac:dyDescent="0.25"/>
    <row r="2" spans="1:11" hidden="1" x14ac:dyDescent="0.25"/>
    <row r="3" spans="1:11" ht="39.75" customHeight="1" x14ac:dyDescent="0.25">
      <c r="A3" s="841" t="s">
        <v>389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</row>
    <row r="4" spans="1:11" ht="15.75" x14ac:dyDescent="0.25">
      <c r="A4" s="113"/>
      <c r="B4" s="114"/>
      <c r="C4" s="115"/>
      <c r="D4" s="842"/>
      <c r="E4" s="842"/>
      <c r="F4" s="842"/>
      <c r="G4" s="842"/>
      <c r="H4" s="115"/>
      <c r="I4" s="115"/>
      <c r="J4" s="115"/>
      <c r="K4" s="115"/>
    </row>
    <row r="5" spans="1:11" ht="51.75" customHeight="1" x14ac:dyDescent="0.25">
      <c r="A5" s="741"/>
      <c r="B5" s="741"/>
      <c r="C5" s="741"/>
      <c r="D5" s="741"/>
      <c r="E5" s="741"/>
      <c r="F5" s="741"/>
      <c r="G5" s="742" t="s">
        <v>405</v>
      </c>
      <c r="H5" s="743" t="s">
        <v>89</v>
      </c>
      <c r="I5" s="743" t="s">
        <v>90</v>
      </c>
      <c r="J5" s="742" t="s">
        <v>406</v>
      </c>
      <c r="K5" s="138"/>
    </row>
    <row r="6" spans="1:11" ht="15.75" x14ac:dyDescent="0.25">
      <c r="A6" s="744"/>
      <c r="B6" s="843">
        <f>-3500000+G7</f>
        <v>-31419245</v>
      </c>
      <c r="C6" s="843"/>
      <c r="D6" s="844"/>
      <c r="E6" s="844"/>
      <c r="F6" s="844"/>
      <c r="G6" s="844"/>
      <c r="H6" s="745">
        <f>H7+H9+H8</f>
        <v>7527735</v>
      </c>
      <c r="I6" s="745">
        <f>расходы!E194</f>
        <v>-3191510</v>
      </c>
      <c r="J6" s="745">
        <f>B6+H6-I6</f>
        <v>-20700000</v>
      </c>
      <c r="K6" s="138"/>
    </row>
    <row r="7" spans="1:11" ht="15.75" x14ac:dyDescent="0.25">
      <c r="A7" s="746" t="s">
        <v>91</v>
      </c>
      <c r="B7" s="745"/>
      <c r="C7" s="745"/>
      <c r="D7" s="745"/>
      <c r="E7" s="745"/>
      <c r="F7" s="745"/>
      <c r="G7" s="745">
        <v>-27919245</v>
      </c>
      <c r="H7" s="745">
        <v>0</v>
      </c>
      <c r="I7" s="745">
        <v>0</v>
      </c>
      <c r="J7" s="745">
        <f>J6</f>
        <v>-20700000</v>
      </c>
      <c r="K7" s="138"/>
    </row>
    <row r="8" spans="1:11" ht="31.5" hidden="1" x14ac:dyDescent="0.25">
      <c r="A8" s="746" t="s">
        <v>92</v>
      </c>
      <c r="B8" s="745"/>
      <c r="C8" s="745"/>
      <c r="D8" s="745"/>
      <c r="E8" s="745"/>
      <c r="F8" s="745"/>
      <c r="G8" s="745"/>
      <c r="H8" s="745">
        <f>Доходы!D6</f>
        <v>9700890</v>
      </c>
      <c r="I8" s="745">
        <v>0</v>
      </c>
      <c r="J8" s="745">
        <v>0</v>
      </c>
      <c r="K8" s="138"/>
    </row>
    <row r="9" spans="1:11" ht="22.7" hidden="1" customHeight="1" x14ac:dyDescent="0.25">
      <c r="A9" s="746" t="s">
        <v>93</v>
      </c>
      <c r="B9" s="745"/>
      <c r="C9" s="745"/>
      <c r="D9" s="745"/>
      <c r="E9" s="745"/>
      <c r="F9" s="745"/>
      <c r="G9" s="745"/>
      <c r="H9" s="745">
        <f>Доходы!D22</f>
        <v>-2173155</v>
      </c>
      <c r="I9" s="745">
        <v>0</v>
      </c>
      <c r="J9" s="745">
        <v>0</v>
      </c>
      <c r="K9" s="138"/>
    </row>
    <row r="10" spans="1:11" ht="15.75" hidden="1" x14ac:dyDescent="0.25">
      <c r="A10" s="746" t="s">
        <v>94</v>
      </c>
      <c r="B10" s="745"/>
      <c r="C10" s="745"/>
      <c r="D10" s="745"/>
      <c r="E10" s="745"/>
      <c r="F10" s="745"/>
      <c r="G10" s="745"/>
      <c r="H10" s="745"/>
      <c r="I10" s="745"/>
      <c r="J10" s="745"/>
      <c r="K10" s="138"/>
    </row>
    <row r="11" spans="1:11" ht="20.25" hidden="1" customHeight="1" x14ac:dyDescent="0.25">
      <c r="A11" s="746" t="s">
        <v>95</v>
      </c>
      <c r="B11" s="745"/>
      <c r="C11" s="745"/>
      <c r="D11" s="745"/>
      <c r="E11" s="745"/>
      <c r="F11" s="745"/>
      <c r="G11" s="745"/>
      <c r="H11" s="745"/>
      <c r="I11" s="745"/>
      <c r="J11" s="745"/>
      <c r="K11" s="138"/>
    </row>
    <row r="12" spans="1:11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Доходы</vt:lpstr>
      <vt:lpstr>Расходы старые</vt:lpstr>
      <vt:lpstr>расходы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Соколова</cp:lastModifiedBy>
  <cp:lastPrinted>2021-12-20T13:49:10Z</cp:lastPrinted>
  <dcterms:created xsi:type="dcterms:W3CDTF">2012-07-26T06:35:37Z</dcterms:created>
  <dcterms:modified xsi:type="dcterms:W3CDTF">2021-12-21T04:57:16Z</dcterms:modified>
</cp:coreProperties>
</file>