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3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Пр.12!$A$8:$I$1133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Пр1!$A$9:$L$174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Пр.12!$A$9:$F$1110</definedName>
    <definedName name="Z_91923F83_3A6B_4204_9891_178562AB34F1_.wvu.PrintArea" localSheetId="11">Пр.12!$A$1:$F$1110</definedName>
    <definedName name="Z_91923F83_3A6B_4204_9891_178562AB34F1_.wvu.PrintArea" localSheetId="2">Пр_3!$A$1:$B$120</definedName>
    <definedName name="Z_91923F83_3A6B_4204_9891_178562AB34F1_.wvu.PrintArea" localSheetId="0">Пр1!$A$1:$I$174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Пр.12!$A$9:$F$1110</definedName>
    <definedName name="Z_A5E41FC9_89B1_40D2_B587_57BC4C5E4715_.wvu.PrintArea" localSheetId="11">Пр.12!$A$1:$F$1110</definedName>
    <definedName name="Z_A5E41FC9_89B1_40D2_B587_57BC4C5E4715_.wvu.PrintArea" localSheetId="2">Пр_3!$A$1:$B$120</definedName>
    <definedName name="Z_A5E41FC9_89B1_40D2_B587_57BC4C5E4715_.wvu.PrintArea" localSheetId="0">Пр1!$A$1:$I$174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Пр.12!$A$9:$F$1110</definedName>
    <definedName name="Z_B3311466_F005_49F1_A579_3E6CECE305A8_.wvu.PrintArea" localSheetId="11">Пр.12!$A$1:$F$1110</definedName>
    <definedName name="Z_B3311466_F005_49F1_A579_3E6CECE305A8_.wvu.PrintArea" localSheetId="2">Пр_3!$A$1:$B$120</definedName>
    <definedName name="Z_B3311466_F005_49F1_A579_3E6CECE305A8_.wvu.PrintArea" localSheetId="0">Пр1!$A$1:$I$174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Пр.12!$A$9:$F$1110</definedName>
    <definedName name="Z_E5662E33_D4B0_43EA_9B06_C8DA9DFDBEF6_.wvu.PrintArea" localSheetId="11">Пр.12!$A$1:$F$1110</definedName>
    <definedName name="Z_E5662E33_D4B0_43EA_9B06_C8DA9DFDBEF6_.wvu.PrintArea" localSheetId="2">Пр_3!$A$1:$B$120</definedName>
    <definedName name="Z_E5662E33_D4B0_43EA_9B06_C8DA9DFDBEF6_.wvu.PrintArea" localSheetId="0">Пр1!$A$1:$I$174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Пр.12!$A$9:$F$1110</definedName>
    <definedName name="Z_F3607253_7816_4CF7_9CFD_2ADFFAD916F8_.wvu.PrintArea" localSheetId="11">Пр.12!$A$1:$F$1110</definedName>
    <definedName name="Z_F3607253_7816_4CF7_9CFD_2ADFFAD916F8_.wvu.PrintArea" localSheetId="2">Пр_3!$A$1:$B$120</definedName>
    <definedName name="Z_F3607253_7816_4CF7_9CFD_2ADFFAD916F8_.wvu.PrintArea" localSheetId="0">Пр1!$A$1:$I$174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Пр.12!$A$1:$I$1133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</workbook>
</file>

<file path=xl/calcChain.xml><?xml version="1.0" encoding="utf-8"?>
<calcChain xmlns="http://schemas.openxmlformats.org/spreadsheetml/2006/main">
  <c r="H91" i="14" l="1"/>
  <c r="H90" i="14"/>
  <c r="H872" i="14"/>
  <c r="H1127" i="14" l="1"/>
  <c r="H1126" i="14" s="1"/>
  <c r="H1125" i="14" s="1"/>
  <c r="H1124" i="14" s="1"/>
  <c r="G1126" i="14"/>
  <c r="G1125" i="14" s="1"/>
  <c r="G1124" i="14" s="1"/>
  <c r="G1127" i="14"/>
  <c r="I1128" i="14"/>
  <c r="I1127" i="14" s="1"/>
  <c r="I1126" i="14" s="1"/>
  <c r="I1125" i="14" s="1"/>
  <c r="I1124" i="14" s="1"/>
  <c r="A1124" i="14"/>
  <c r="A1125" i="14"/>
  <c r="A1126" i="14"/>
  <c r="A1127" i="14"/>
  <c r="A1128" i="14"/>
  <c r="D24" i="16"/>
  <c r="I785" i="14"/>
  <c r="H784" i="14"/>
  <c r="A785" i="14"/>
  <c r="H456" i="14"/>
  <c r="G336" i="14"/>
  <c r="H191" i="14"/>
  <c r="L163" i="1" l="1"/>
  <c r="H89" i="14" l="1"/>
  <c r="H262" i="14"/>
  <c r="H182" i="14" l="1"/>
  <c r="H315" i="14" l="1"/>
  <c r="H172" i="14" l="1"/>
  <c r="H169" i="14"/>
  <c r="B19" i="56" l="1"/>
  <c r="C19" i="56"/>
  <c r="D9" i="56"/>
  <c r="B176" i="16" l="1"/>
  <c r="B175" i="16"/>
  <c r="H286" i="14"/>
  <c r="H285" i="14" s="1"/>
  <c r="H284" i="14" s="1"/>
  <c r="E175" i="16" s="1"/>
  <c r="I288" i="14"/>
  <c r="I287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E176" i="16" l="1"/>
  <c r="I286" i="14"/>
  <c r="I285" i="14" s="1"/>
  <c r="I284" i="14" s="1"/>
  <c r="F175" i="16" s="1"/>
  <c r="D176" i="16"/>
  <c r="D175" i="16"/>
  <c r="F176" i="16" l="1"/>
  <c r="H349" i="14"/>
  <c r="A351" i="14"/>
  <c r="I351" i="14"/>
  <c r="D16" i="56"/>
  <c r="C9" i="56" l="1"/>
  <c r="N88" i="2"/>
  <c r="K88" i="2"/>
  <c r="N50" i="2" l="1"/>
  <c r="N59" i="2"/>
  <c r="K59" i="2"/>
  <c r="J380" i="15" l="1"/>
  <c r="J378" i="15" s="1"/>
  <c r="J377" i="15" s="1"/>
  <c r="J379" i="15" l="1"/>
  <c r="H374" i="14" l="1"/>
  <c r="I376" i="14"/>
  <c r="A376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10" i="14" l="1"/>
  <c r="I1011" i="14"/>
  <c r="I1010" i="14" s="1"/>
  <c r="A1010" i="14"/>
  <c r="A1011" i="14"/>
  <c r="K275" i="15"/>
  <c r="H562" i="14"/>
  <c r="A563" i="14"/>
  <c r="I563" i="14"/>
  <c r="H361" i="14"/>
  <c r="H360" i="14" s="1"/>
  <c r="I362" i="14"/>
  <c r="I361" i="14" s="1"/>
  <c r="I360" i="14" s="1"/>
  <c r="A360" i="14"/>
  <c r="A361" i="14"/>
  <c r="A362" i="14"/>
  <c r="H386" i="14"/>
  <c r="H385" i="14" s="1"/>
  <c r="H384" i="14" s="1"/>
  <c r="I387" i="14"/>
  <c r="I386" i="14" s="1"/>
  <c r="I385" i="14" s="1"/>
  <c r="I384" i="14" s="1"/>
  <c r="A384" i="14"/>
  <c r="A385" i="14"/>
  <c r="A386" i="14"/>
  <c r="A387" i="14"/>
  <c r="H871" i="14"/>
  <c r="H362" i="15"/>
  <c r="H62" i="15"/>
  <c r="H63" i="15" l="1"/>
  <c r="A874" i="14"/>
  <c r="I874" i="14"/>
  <c r="I875" i="14"/>
  <c r="H688" i="14"/>
  <c r="I424" i="14"/>
  <c r="I423" i="14" s="1"/>
  <c r="A423" i="14"/>
  <c r="A424" i="14"/>
  <c r="I92" i="14"/>
  <c r="A92" i="14"/>
  <c r="K48" i="1"/>
  <c r="H423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K166" i="1"/>
  <c r="L166" i="1" s="1"/>
  <c r="K168" i="1"/>
  <c r="L168" i="1" s="1"/>
  <c r="K119" i="1"/>
  <c r="L171" i="1"/>
  <c r="L165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O105" i="2" l="1"/>
  <c r="K11" i="2"/>
  <c r="L105" i="2"/>
  <c r="K47" i="2"/>
  <c r="K46" i="2" s="1"/>
  <c r="H342" i="14"/>
  <c r="A342" i="14"/>
  <c r="A343" i="14"/>
  <c r="K139" i="2" l="1"/>
  <c r="D19" i="6" s="1"/>
  <c r="I343" i="14"/>
  <c r="I342" i="14" s="1"/>
  <c r="A325" i="14"/>
  <c r="A326" i="14"/>
  <c r="A321" i="14"/>
  <c r="A322" i="14"/>
  <c r="H321" i="14"/>
  <c r="I322" i="14"/>
  <c r="I321" i="14" s="1"/>
  <c r="I326" i="14"/>
  <c r="I325" i="14" s="1"/>
  <c r="H325" i="14"/>
  <c r="I313" i="14"/>
  <c r="I314" i="14"/>
  <c r="A313" i="14"/>
  <c r="A314" i="14"/>
  <c r="H312" i="14"/>
  <c r="I312" i="14" s="1"/>
  <c r="A310" i="14"/>
  <c r="A311" i="14"/>
  <c r="A312" i="14"/>
  <c r="A315" i="14"/>
  <c r="I315" i="14"/>
  <c r="I311" i="14"/>
  <c r="H310" i="14"/>
  <c r="I310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42" i="14" l="1"/>
  <c r="H941" i="14" s="1"/>
  <c r="I943" i="14"/>
  <c r="I942" i="14" s="1"/>
  <c r="I941" i="14" s="1"/>
  <c r="A941" i="14"/>
  <c r="A942" i="14"/>
  <c r="A943" i="14"/>
  <c r="H802" i="14" l="1"/>
  <c r="I803" i="14"/>
  <c r="I802" i="14" s="1"/>
  <c r="A802" i="14"/>
  <c r="A803" i="14"/>
  <c r="I365" i="14" l="1"/>
  <c r="I364" i="14" s="1"/>
  <c r="I363" i="14" s="1"/>
  <c r="A357" i="14"/>
  <c r="A358" i="14"/>
  <c r="A359" i="14"/>
  <c r="A363" i="14"/>
  <c r="A364" i="14"/>
  <c r="A365" i="14"/>
  <c r="I359" i="14" l="1"/>
  <c r="I358" i="14" s="1"/>
  <c r="I357" i="14" s="1"/>
  <c r="H364" i="14"/>
  <c r="H363" i="14" s="1"/>
  <c r="H359" i="14" s="1"/>
  <c r="H417" i="14"/>
  <c r="H358" i="14" l="1"/>
  <c r="H357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50" i="14" l="1"/>
  <c r="A650" i="14"/>
  <c r="H648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9" i="14"/>
  <c r="I320" i="14"/>
  <c r="I319" i="14" s="1"/>
  <c r="H323" i="14"/>
  <c r="I324" i="14"/>
  <c r="I323" i="14" s="1"/>
  <c r="H318" i="14" l="1"/>
  <c r="L111" i="1"/>
  <c r="I318" i="14" l="1"/>
  <c r="F138" i="16" s="1"/>
  <c r="E138" i="16"/>
  <c r="L157" i="1" l="1"/>
  <c r="L164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8" i="14"/>
  <c r="A319" i="14"/>
  <c r="A320" i="14"/>
  <c r="A323" i="14"/>
  <c r="A324" i="14"/>
  <c r="H214" i="14"/>
  <c r="I215" i="14"/>
  <c r="I214" i="14" s="1"/>
  <c r="A214" i="14"/>
  <c r="A215" i="14"/>
  <c r="L57" i="1"/>
  <c r="C76" i="3" l="1"/>
  <c r="I44" i="14" l="1"/>
  <c r="B111" i="16"/>
  <c r="H398" i="14"/>
  <c r="H397" i="14" s="1"/>
  <c r="A397" i="14"/>
  <c r="A398" i="14"/>
  <c r="A399" i="14"/>
  <c r="I399" i="14"/>
  <c r="I398" i="14" s="1"/>
  <c r="I397" i="14" s="1"/>
  <c r="I883" i="14"/>
  <c r="I882" i="14" s="1"/>
  <c r="I881" i="14" s="1"/>
  <c r="H42" i="14"/>
  <c r="D111" i="16"/>
  <c r="A42" i="14"/>
  <c r="A43" i="14"/>
  <c r="A44" i="14"/>
  <c r="A881" i="14"/>
  <c r="A882" i="14"/>
  <c r="A883" i="14"/>
  <c r="D75" i="3"/>
  <c r="A1129" i="14"/>
  <c r="A1130" i="14"/>
  <c r="A1131" i="14"/>
  <c r="A1132" i="14"/>
  <c r="H1131" i="14"/>
  <c r="H1130" i="14" s="1"/>
  <c r="H1129" i="14" s="1"/>
  <c r="I1132" i="14"/>
  <c r="I1131" i="14" s="1"/>
  <c r="I1130" i="14" s="1"/>
  <c r="I1129" i="14" s="1"/>
  <c r="I1025" i="14"/>
  <c r="I1024" i="14" s="1"/>
  <c r="H1024" i="14"/>
  <c r="A1024" i="14"/>
  <c r="A1025" i="14"/>
  <c r="H995" i="14"/>
  <c r="H994" i="14" s="1"/>
  <c r="I996" i="14"/>
  <c r="I995" i="14" s="1"/>
  <c r="I994" i="14" s="1"/>
  <c r="A994" i="14"/>
  <c r="A995" i="14"/>
  <c r="A996" i="14"/>
  <c r="A923" i="14"/>
  <c r="A924" i="14"/>
  <c r="H923" i="14"/>
  <c r="I924" i="14"/>
  <c r="I923" i="14" s="1"/>
  <c r="A800" i="14"/>
  <c r="A801" i="14"/>
  <c r="I801" i="14"/>
  <c r="I800" i="14" s="1"/>
  <c r="H800" i="14"/>
  <c r="A501" i="14"/>
  <c r="A502" i="14"/>
  <c r="H501" i="14"/>
  <c r="I502" i="14"/>
  <c r="I501" i="14" s="1"/>
  <c r="I105" i="14"/>
  <c r="I104" i="14" s="1"/>
  <c r="H104" i="14"/>
  <c r="A104" i="14"/>
  <c r="A105" i="14"/>
  <c r="I43" i="14" l="1"/>
  <c r="I42" i="14" s="1"/>
  <c r="H882" i="14"/>
  <c r="H881" i="14" s="1"/>
  <c r="L115" i="1"/>
  <c r="H160" i="14" l="1"/>
  <c r="L170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12" i="14"/>
  <c r="A713" i="14"/>
  <c r="H712" i="14"/>
  <c r="I713" i="14"/>
  <c r="I712" i="14" s="1"/>
  <c r="H379" i="14"/>
  <c r="H381" i="14"/>
  <c r="I380" i="14"/>
  <c r="I379" i="14" s="1"/>
  <c r="I382" i="14"/>
  <c r="I381" i="14" s="1"/>
  <c r="A379" i="14"/>
  <c r="A380" i="14"/>
  <c r="A381" i="14"/>
  <c r="A382" i="14"/>
  <c r="H377" i="14"/>
  <c r="I378" i="14"/>
  <c r="I377" i="14" s="1"/>
  <c r="A377" i="14"/>
  <c r="A378" i="14"/>
  <c r="A1035" i="14"/>
  <c r="A1036" i="14"/>
  <c r="H1035" i="14"/>
  <c r="I1036" i="14"/>
  <c r="I1035" i="14" s="1"/>
  <c r="A1016" i="14"/>
  <c r="A1017" i="14"/>
  <c r="H1016" i="14"/>
  <c r="I1017" i="14"/>
  <c r="I1016" i="14" s="1"/>
  <c r="H953" i="14"/>
  <c r="H952" i="14" s="1"/>
  <c r="I952" i="14" s="1"/>
  <c r="I954" i="14"/>
  <c r="A952" i="14"/>
  <c r="A953" i="14"/>
  <c r="A954" i="14"/>
  <c r="A946" i="14"/>
  <c r="A947" i="14"/>
  <c r="A948" i="14"/>
  <c r="I948" i="14"/>
  <c r="H947" i="14"/>
  <c r="H946" i="14" s="1"/>
  <c r="I926" i="14"/>
  <c r="I925" i="14" s="1"/>
  <c r="H925" i="14"/>
  <c r="H922" i="14" s="1"/>
  <c r="A919" i="14"/>
  <c r="A920" i="14"/>
  <c r="A921" i="14"/>
  <c r="A922" i="14"/>
  <c r="A925" i="14"/>
  <c r="A926" i="14"/>
  <c r="A842" i="14"/>
  <c r="A843" i="14"/>
  <c r="I843" i="14"/>
  <c r="I842" i="14" s="1"/>
  <c r="H842" i="14"/>
  <c r="I526" i="14"/>
  <c r="A526" i="14"/>
  <c r="I922" i="14" l="1"/>
  <c r="I921" i="14" s="1"/>
  <c r="I920" i="14" s="1"/>
  <c r="I919" i="14" s="1"/>
  <c r="H921" i="14"/>
  <c r="H920" i="14" s="1"/>
  <c r="H919" i="14" s="1"/>
  <c r="I953" i="14"/>
  <c r="I946" i="14"/>
  <c r="I947" i="14"/>
  <c r="H525" i="14"/>
  <c r="I505" i="14"/>
  <c r="I504" i="14" s="1"/>
  <c r="I503" i="14" s="1"/>
  <c r="F38" i="16" s="1"/>
  <c r="H504" i="14"/>
  <c r="H503" i="14" s="1"/>
  <c r="E38" i="16" s="1"/>
  <c r="D38" i="16"/>
  <c r="A503" i="14"/>
  <c r="A504" i="14"/>
  <c r="A505" i="14"/>
  <c r="H476" i="14"/>
  <c r="I478" i="14"/>
  <c r="A478" i="14"/>
  <c r="I449" i="14"/>
  <c r="I448" i="14" s="1"/>
  <c r="I447" i="14" s="1"/>
  <c r="I446" i="14" s="1"/>
  <c r="I445" i="14" s="1"/>
  <c r="I444" i="14" s="1"/>
  <c r="H448" i="14"/>
  <c r="H447" i="14" s="1"/>
  <c r="H446" i="14" s="1"/>
  <c r="H445" i="14" s="1"/>
  <c r="H444" i="14" s="1"/>
  <c r="A444" i="14"/>
  <c r="A445" i="14"/>
  <c r="A446" i="14"/>
  <c r="A447" i="14"/>
  <c r="A448" i="14"/>
  <c r="A449" i="14"/>
  <c r="L149" i="1"/>
  <c r="E47" i="3" l="1"/>
  <c r="D47" i="3"/>
  <c r="I196" i="14"/>
  <c r="H183" i="14"/>
  <c r="I185" i="14"/>
  <c r="A185" i="14"/>
  <c r="I183" i="14" l="1"/>
  <c r="H353" i="14"/>
  <c r="D174" i="16"/>
  <c r="B174" i="16"/>
  <c r="D173" i="16"/>
  <c r="B173" i="16"/>
  <c r="A309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92" i="14"/>
  <c r="I282" i="14"/>
  <c r="H282" i="14"/>
  <c r="H280" i="14"/>
  <c r="I280" i="14" s="1"/>
  <c r="I281" i="14"/>
  <c r="I172" i="14"/>
  <c r="I171" i="14" s="1"/>
  <c r="I170" i="14" s="1"/>
  <c r="H279" i="14" l="1"/>
  <c r="I279" i="14" s="1"/>
  <c r="F103" i="16" s="1"/>
  <c r="E103" i="16"/>
  <c r="A1107" i="14"/>
  <c r="A1108" i="14"/>
  <c r="A1109" i="14"/>
  <c r="H1109" i="14"/>
  <c r="H1108" i="14" s="1"/>
  <c r="H1107" i="14" s="1"/>
  <c r="I1107" i="14" s="1"/>
  <c r="A1110" i="14"/>
  <c r="I1110" i="14"/>
  <c r="H278" i="14" l="1"/>
  <c r="H277" i="14" s="1"/>
  <c r="I277" i="14" s="1"/>
  <c r="I1109" i="14"/>
  <c r="E102" i="16"/>
  <c r="I1108" i="14"/>
  <c r="I278" i="14" l="1"/>
  <c r="F102" i="16" s="1"/>
  <c r="L251" i="15"/>
  <c r="I251" i="15"/>
  <c r="I354" i="14"/>
  <c r="I353" i="14" s="1"/>
  <c r="I356" i="14"/>
  <c r="I355" i="14" s="1"/>
  <c r="I293" i="14"/>
  <c r="I292" i="14" s="1"/>
  <c r="D16" i="16"/>
  <c r="D39" i="16" l="1"/>
  <c r="H507" i="14"/>
  <c r="H506" i="14" s="1"/>
  <c r="I508" i="14"/>
  <c r="I507" i="14" s="1"/>
  <c r="I506" i="14" s="1"/>
  <c r="F39" i="16" s="1"/>
  <c r="L133" i="1"/>
  <c r="A372" i="14"/>
  <c r="A373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30" i="14"/>
  <c r="I329" i="14" s="1"/>
  <c r="I328" i="14" s="1"/>
  <c r="I334" i="14"/>
  <c r="I333" i="14" s="1"/>
  <c r="I332" i="14" s="1"/>
  <c r="M104" i="2"/>
  <c r="J104" i="2"/>
  <c r="L156" i="1"/>
  <c r="L161" i="1"/>
  <c r="L162" i="1"/>
  <c r="L167" i="1"/>
  <c r="L169" i="1"/>
  <c r="L173" i="1"/>
  <c r="L120" i="1"/>
  <c r="L121" i="1"/>
  <c r="M47" i="2" l="1"/>
  <c r="O47" i="2" s="1"/>
  <c r="O104" i="2"/>
  <c r="J47" i="2"/>
  <c r="L47" i="2" s="1"/>
  <c r="L104" i="2"/>
  <c r="I331" i="14"/>
  <c r="F141" i="16" s="1"/>
  <c r="F142" i="16"/>
  <c r="I327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5" i="14" l="1"/>
  <c r="A353" i="14"/>
  <c r="A354" i="14"/>
  <c r="A355" i="14"/>
  <c r="A356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6" i="14" l="1"/>
  <c r="A507" i="14"/>
  <c r="A508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32" i="14"/>
  <c r="A328" i="14"/>
  <c r="B139" i="16"/>
  <c r="B140" i="16"/>
  <c r="B141" i="16"/>
  <c r="B142" i="16"/>
  <c r="H329" i="14"/>
  <c r="A329" i="14"/>
  <c r="A330" i="14"/>
  <c r="H333" i="14"/>
  <c r="H332" i="14" s="1"/>
  <c r="A333" i="14"/>
  <c r="A334" i="14"/>
  <c r="A331" i="14"/>
  <c r="A327" i="14"/>
  <c r="H253" i="14"/>
  <c r="A292" i="14"/>
  <c r="A293" i="14"/>
  <c r="I201" i="15" l="1"/>
  <c r="I200" i="15" s="1"/>
  <c r="I199" i="15" s="1"/>
  <c r="F23" i="21"/>
  <c r="L201" i="15"/>
  <c r="L200" i="15" s="1"/>
  <c r="L199" i="15" s="1"/>
  <c r="I23" i="21"/>
  <c r="D23" i="21"/>
  <c r="H331" i="14"/>
  <c r="E141" i="16" s="1"/>
  <c r="E142" i="16"/>
  <c r="H328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7" i="14"/>
  <c r="E139" i="16" s="1"/>
  <c r="E140" i="16"/>
  <c r="H166" i="14"/>
  <c r="I207" i="14" l="1"/>
  <c r="F172" i="16" s="1"/>
  <c r="E172" i="16"/>
  <c r="H782" i="14" l="1"/>
  <c r="H227" i="14"/>
  <c r="H118" i="15" l="1"/>
  <c r="H158" i="14" l="1"/>
  <c r="H255" i="14"/>
  <c r="A254" i="14" l="1"/>
  <c r="H472" i="15" l="1"/>
  <c r="D69" i="16" l="1"/>
  <c r="B69" i="16"/>
  <c r="K172" i="1"/>
  <c r="L172" i="1" l="1"/>
  <c r="B74" i="16"/>
  <c r="H290" i="14"/>
  <c r="I291" i="14"/>
  <c r="I290" i="14" s="1"/>
  <c r="A290" i="14"/>
  <c r="A291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I276" i="14"/>
  <c r="I275" i="14" s="1"/>
  <c r="I274" i="14" s="1"/>
  <c r="F74" i="16" s="1"/>
  <c r="A411" i="14"/>
  <c r="A412" i="14"/>
  <c r="I411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6" i="14"/>
  <c r="A717" i="14"/>
  <c r="H716" i="14"/>
  <c r="I717" i="14"/>
  <c r="I716" i="14" s="1"/>
  <c r="A78" i="14" l="1"/>
  <c r="A79" i="14"/>
  <c r="H78" i="14"/>
  <c r="I79" i="14"/>
  <c r="I78" i="14" s="1"/>
  <c r="H48" i="14"/>
  <c r="H47" i="14" s="1"/>
  <c r="A56" i="14"/>
  <c r="I56" i="14"/>
  <c r="H55" i="14"/>
  <c r="H408" i="14"/>
  <c r="K233" i="15" l="1"/>
  <c r="K116" i="15"/>
  <c r="L113" i="15"/>
  <c r="I113" i="15"/>
  <c r="K108" i="15"/>
  <c r="G114" i="21"/>
  <c r="D114" i="21"/>
  <c r="I352" i="14"/>
  <c r="A352" i="14"/>
  <c r="K104" i="15" l="1"/>
  <c r="D155" i="21"/>
  <c r="G155" i="21"/>
  <c r="H348" i="14"/>
  <c r="A1101" i="14" l="1"/>
  <c r="A1102" i="14"/>
  <c r="A1103" i="14"/>
  <c r="A1104" i="14"/>
  <c r="A1105" i="14"/>
  <c r="A1106" i="14"/>
  <c r="H1105" i="14"/>
  <c r="H1104" i="14" s="1"/>
  <c r="H1103" i="14" s="1"/>
  <c r="H1102" i="14" s="1"/>
  <c r="H1101" i="14" s="1"/>
  <c r="I1106" i="14"/>
  <c r="I1105" i="14" s="1"/>
  <c r="I1104" i="14" s="1"/>
  <c r="I1103" i="14" s="1"/>
  <c r="I1102" i="14" s="1"/>
  <c r="I1101" i="14" s="1"/>
  <c r="A1037" i="14"/>
  <c r="A1038" i="14"/>
  <c r="H1037" i="14"/>
  <c r="I1038" i="14"/>
  <c r="I1037" i="14" s="1"/>
  <c r="A1020" i="14"/>
  <c r="A1021" i="14"/>
  <c r="H1020" i="14"/>
  <c r="I1021" i="14"/>
  <c r="I1020" i="14" s="1"/>
  <c r="A1000" i="14"/>
  <c r="A1001" i="14"/>
  <c r="I1001" i="14"/>
  <c r="I1000" i="14" s="1"/>
  <c r="H1000" i="14"/>
  <c r="A980" i="14"/>
  <c r="A981" i="14"/>
  <c r="H980" i="14"/>
  <c r="I981" i="14"/>
  <c r="I980" i="14" s="1"/>
  <c r="I970" i="14"/>
  <c r="I969" i="14" s="1"/>
  <c r="H969" i="14"/>
  <c r="A969" i="14"/>
  <c r="A970" i="14"/>
  <c r="A965" i="14"/>
  <c r="A966" i="14"/>
  <c r="H965" i="14"/>
  <c r="I966" i="14"/>
  <c r="I965" i="14" s="1"/>
  <c r="I808" i="14"/>
  <c r="I807" i="14" s="1"/>
  <c r="H807" i="14"/>
  <c r="A807" i="14"/>
  <c r="A808" i="14"/>
  <c r="A718" i="14"/>
  <c r="A719" i="14"/>
  <c r="H718" i="14"/>
  <c r="I719" i="14"/>
  <c r="I718" i="14" s="1"/>
  <c r="A703" i="14"/>
  <c r="A704" i="14"/>
  <c r="H703" i="14"/>
  <c r="I704" i="14"/>
  <c r="I703" i="14" s="1"/>
  <c r="A581" i="14"/>
  <c r="A582" i="14"/>
  <c r="H581" i="14"/>
  <c r="I582" i="14"/>
  <c r="I581" i="14" s="1"/>
  <c r="A550" i="14"/>
  <c r="A551" i="14"/>
  <c r="A552" i="14"/>
  <c r="A553" i="14"/>
  <c r="A554" i="14"/>
  <c r="H553" i="14"/>
  <c r="H552" i="14" s="1"/>
  <c r="H551" i="14" s="1"/>
  <c r="H550" i="14" s="1"/>
  <c r="I554" i="14"/>
  <c r="I553" i="14" s="1"/>
  <c r="I552" i="14" s="1"/>
  <c r="I551" i="14" s="1"/>
  <c r="I550" i="14" s="1"/>
  <c r="A534" i="14"/>
  <c r="A535" i="14"/>
  <c r="H534" i="14"/>
  <c r="I535" i="14"/>
  <c r="I534" i="14" s="1"/>
  <c r="H499" i="14"/>
  <c r="I500" i="14"/>
  <c r="I499" i="14" s="1"/>
  <c r="A499" i="14"/>
  <c r="A500" i="14"/>
  <c r="I470" i="14"/>
  <c r="I469" i="14" s="1"/>
  <c r="A469" i="14"/>
  <c r="A470" i="14"/>
  <c r="A383" i="14"/>
  <c r="A388" i="14"/>
  <c r="A389" i="14"/>
  <c r="A390" i="14"/>
  <c r="H389" i="14"/>
  <c r="H388" i="14" s="1"/>
  <c r="H383" i="14" s="1"/>
  <c r="I390" i="14"/>
  <c r="I389" i="14" s="1"/>
  <c r="I388" i="14" s="1"/>
  <c r="I383" i="14" s="1"/>
  <c r="G153" i="21" l="1"/>
  <c r="H469" i="14"/>
  <c r="A60" i="14"/>
  <c r="A61" i="14"/>
  <c r="H60" i="14"/>
  <c r="I61" i="14"/>
  <c r="I60" i="14" s="1"/>
  <c r="K47" i="1" l="1"/>
  <c r="K40" i="1"/>
  <c r="L59" i="1"/>
  <c r="L48" i="1" l="1"/>
  <c r="I369" i="14" l="1"/>
  <c r="A366" i="14"/>
  <c r="A367" i="14"/>
  <c r="A368" i="14"/>
  <c r="A369" i="14"/>
  <c r="I101" i="14"/>
  <c r="H100" i="14"/>
  <c r="A100" i="14"/>
  <c r="A101" i="14"/>
  <c r="B44" i="16"/>
  <c r="I100" i="14" l="1"/>
  <c r="D23" i="56"/>
  <c r="D21" i="56"/>
  <c r="D20" i="56"/>
  <c r="A1046" i="14"/>
  <c r="A1047" i="14"/>
  <c r="A1048" i="14"/>
  <c r="H1047" i="14"/>
  <c r="H1046" i="14" s="1"/>
  <c r="I1048" i="14"/>
  <c r="I1047" i="14" s="1"/>
  <c r="I1046" i="14" s="1"/>
  <c r="D19" i="56" l="1"/>
  <c r="B56" i="16"/>
  <c r="I1019" i="14" l="1"/>
  <c r="I1018" i="14" s="1"/>
  <c r="H1018" i="14"/>
  <c r="A1018" i="14"/>
  <c r="A1019" i="14"/>
  <c r="A1039" i="14" l="1"/>
  <c r="A1040" i="14"/>
  <c r="H1039" i="14"/>
  <c r="I1040" i="14"/>
  <c r="I1039" i="14" s="1"/>
  <c r="A1031" i="14"/>
  <c r="A1032" i="14"/>
  <c r="H1031" i="14"/>
  <c r="I1032" i="14"/>
  <c r="I1031" i="14" s="1"/>
  <c r="A1012" i="14"/>
  <c r="A1013" i="14"/>
  <c r="H1012" i="14"/>
  <c r="I1013" i="14"/>
  <c r="I1012" i="14" s="1"/>
  <c r="I904" i="14"/>
  <c r="I903" i="14" s="1"/>
  <c r="I902" i="14" s="1"/>
  <c r="H903" i="14"/>
  <c r="H902" i="14" s="1"/>
  <c r="I901" i="14"/>
  <c r="I900" i="14" s="1"/>
  <c r="I899" i="14" s="1"/>
  <c r="I898" i="14" s="1"/>
  <c r="H900" i="14"/>
  <c r="H899" i="14" s="1"/>
  <c r="H898" i="14" s="1"/>
  <c r="A897" i="14"/>
  <c r="A898" i="14"/>
  <c r="A899" i="14"/>
  <c r="A900" i="14"/>
  <c r="A901" i="14"/>
  <c r="A902" i="14"/>
  <c r="A903" i="14"/>
  <c r="A904" i="14"/>
  <c r="A606" i="14"/>
  <c r="A607" i="14"/>
  <c r="A608" i="14"/>
  <c r="A609" i="14"/>
  <c r="H608" i="14"/>
  <c r="H606" i="14"/>
  <c r="I607" i="14"/>
  <c r="I606" i="14" s="1"/>
  <c r="I609" i="14"/>
  <c r="I608" i="14" s="1"/>
  <c r="A536" i="14"/>
  <c r="A537" i="14"/>
  <c r="H536" i="14"/>
  <c r="I537" i="14"/>
  <c r="I536" i="14" s="1"/>
  <c r="A532" i="14"/>
  <c r="A533" i="14"/>
  <c r="I533" i="14"/>
  <c r="H532" i="14"/>
  <c r="I472" i="14"/>
  <c r="I471" i="14" s="1"/>
  <c r="H471" i="14"/>
  <c r="A471" i="14"/>
  <c r="A472" i="14"/>
  <c r="H460" i="14"/>
  <c r="I461" i="14"/>
  <c r="I460" i="14" s="1"/>
  <c r="A460" i="14"/>
  <c r="A461" i="14"/>
  <c r="H124" i="14"/>
  <c r="A124" i="14"/>
  <c r="A125" i="14"/>
  <c r="I125" i="14"/>
  <c r="I124" i="14" s="1"/>
  <c r="H897" i="14" l="1"/>
  <c r="I897" i="14"/>
  <c r="I532" i="14"/>
  <c r="L144" i="1" l="1"/>
  <c r="A341" i="14" l="1"/>
  <c r="A344" i="14"/>
  <c r="A345" i="14"/>
  <c r="H344" i="14"/>
  <c r="H341" i="14" s="1"/>
  <c r="I341" i="14" s="1"/>
  <c r="I345" i="14"/>
  <c r="I344" i="14" s="1"/>
  <c r="A435" i="14"/>
  <c r="A436" i="14"/>
  <c r="I436" i="14"/>
  <c r="H435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5" i="14"/>
  <c r="F165" i="16"/>
  <c r="F166" i="16"/>
  <c r="D165" i="16"/>
  <c r="D166" i="16"/>
  <c r="E165" i="16"/>
  <c r="E166" i="16"/>
  <c r="H613" i="14" l="1"/>
  <c r="H892" i="14"/>
  <c r="H870" i="14"/>
  <c r="H95" i="14"/>
  <c r="D70" i="16" l="1"/>
  <c r="D71" i="16"/>
  <c r="C21" i="5" l="1"/>
  <c r="B156" i="16" l="1"/>
  <c r="D130" i="16"/>
  <c r="B130" i="16"/>
  <c r="I564" i="14"/>
  <c r="I562" i="14" s="1"/>
  <c r="A560" i="14"/>
  <c r="A561" i="14"/>
  <c r="A562" i="14"/>
  <c r="A564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I62" i="15" l="1"/>
  <c r="I61" i="15" s="1"/>
  <c r="I60" i="15" s="1"/>
  <c r="I59" i="15" s="1"/>
  <c r="L459" i="15"/>
  <c r="I459" i="15"/>
  <c r="L61" i="15"/>
  <c r="L60" i="15" s="1"/>
  <c r="L59" i="15" s="1"/>
  <c r="I1034" i="14" l="1"/>
  <c r="I1033" i="14" s="1"/>
  <c r="H1033" i="14"/>
  <c r="A1033" i="14"/>
  <c r="A1034" i="14"/>
  <c r="I999" i="14"/>
  <c r="I998" i="14" s="1"/>
  <c r="H998" i="14"/>
  <c r="A993" i="14"/>
  <c r="A997" i="14"/>
  <c r="A998" i="14"/>
  <c r="A999" i="14"/>
  <c r="A988" i="14"/>
  <c r="I918" i="14"/>
  <c r="I917" i="14" s="1"/>
  <c r="I916" i="14" s="1"/>
  <c r="I915" i="14" s="1"/>
  <c r="I914" i="14" s="1"/>
  <c r="E45" i="3" s="1"/>
  <c r="H917" i="14"/>
  <c r="H916" i="14" s="1"/>
  <c r="H915" i="14" s="1"/>
  <c r="H914" i="14" s="1"/>
  <c r="D45" i="3" s="1"/>
  <c r="C45" i="3"/>
  <c r="A917" i="14"/>
  <c r="A918" i="14"/>
  <c r="A914" i="14"/>
  <c r="A915" i="14"/>
  <c r="A916" i="14"/>
  <c r="I997" i="14" l="1"/>
  <c r="I993" i="14" s="1"/>
  <c r="H997" i="14"/>
  <c r="H993" i="14" s="1"/>
  <c r="I841" i="14"/>
  <c r="I840" i="14" s="1"/>
  <c r="H840" i="14"/>
  <c r="A840" i="14"/>
  <c r="A841" i="14"/>
  <c r="A837" i="14"/>
  <c r="A838" i="14"/>
  <c r="I828" i="14"/>
  <c r="I827" i="14"/>
  <c r="H826" i="14"/>
  <c r="A826" i="14"/>
  <c r="A827" i="14"/>
  <c r="A828" i="14"/>
  <c r="A824" i="14"/>
  <c r="A825" i="14"/>
  <c r="H824" i="14"/>
  <c r="I825" i="14"/>
  <c r="I824" i="14" s="1"/>
  <c r="A804" i="14"/>
  <c r="H805" i="14"/>
  <c r="H804" i="14" s="1"/>
  <c r="I806" i="14"/>
  <c r="I805" i="14" s="1"/>
  <c r="I804" i="14" s="1"/>
  <c r="A745" i="14"/>
  <c r="A746" i="14"/>
  <c r="A747" i="14"/>
  <c r="H746" i="14"/>
  <c r="H745" i="14" s="1"/>
  <c r="E53" i="16" s="1"/>
  <c r="D53" i="16"/>
  <c r="I747" i="14"/>
  <c r="I746" i="14" s="1"/>
  <c r="I745" i="14" s="1"/>
  <c r="F53" i="16" s="1"/>
  <c r="B52" i="16"/>
  <c r="B53" i="16"/>
  <c r="H736" i="14"/>
  <c r="I737" i="14"/>
  <c r="I738" i="14"/>
  <c r="A736" i="14"/>
  <c r="A737" i="14"/>
  <c r="A738" i="14"/>
  <c r="F16" i="16" l="1"/>
  <c r="E16" i="16"/>
  <c r="I826" i="14"/>
  <c r="I736" i="14"/>
  <c r="I123" i="14"/>
  <c r="I122" i="14" s="1"/>
  <c r="I121" i="14" s="1"/>
  <c r="H122" i="14"/>
  <c r="H121" i="14" s="1"/>
  <c r="A121" i="14"/>
  <c r="A122" i="14"/>
  <c r="A123" i="14"/>
  <c r="H368" i="14"/>
  <c r="H367" i="14" s="1"/>
  <c r="A370" i="14"/>
  <c r="H441" i="14"/>
  <c r="H440" i="14" s="1"/>
  <c r="H439" i="14" s="1"/>
  <c r="A439" i="14"/>
  <c r="A440" i="14"/>
  <c r="A441" i="14"/>
  <c r="A442" i="14"/>
  <c r="I442" i="14"/>
  <c r="I441" i="14" s="1"/>
  <c r="I440" i="14" s="1"/>
  <c r="I439" i="14" s="1"/>
  <c r="A421" i="14"/>
  <c r="A422" i="14"/>
  <c r="H421" i="14"/>
  <c r="I422" i="14"/>
  <c r="I421" i="14" s="1"/>
  <c r="I368" i="14" l="1"/>
  <c r="I367" i="14" s="1"/>
  <c r="H695" i="14"/>
  <c r="H694" i="14" s="1"/>
  <c r="I696" i="14"/>
  <c r="I695" i="14" s="1"/>
  <c r="I694" i="14" s="1"/>
  <c r="A694" i="14"/>
  <c r="A695" i="14"/>
  <c r="A696" i="14"/>
  <c r="I671" i="14"/>
  <c r="I670" i="14" s="1"/>
  <c r="H670" i="14"/>
  <c r="I669" i="14"/>
  <c r="I668" i="14" s="1"/>
  <c r="H668" i="14"/>
  <c r="A670" i="14"/>
  <c r="A671" i="14"/>
  <c r="A667" i="14"/>
  <c r="A668" i="14"/>
  <c r="A669" i="14"/>
  <c r="I531" i="14"/>
  <c r="I530" i="14" s="1"/>
  <c r="H530" i="14"/>
  <c r="A530" i="14"/>
  <c r="A531" i="14"/>
  <c r="H466" i="14"/>
  <c r="H17" i="14"/>
  <c r="H1114" i="14"/>
  <c r="I1118" i="14"/>
  <c r="A1118" i="14"/>
  <c r="I527" i="14"/>
  <c r="I525" i="14" s="1"/>
  <c r="A525" i="14"/>
  <c r="A527" i="14"/>
  <c r="I96" i="14"/>
  <c r="A96" i="14"/>
  <c r="A805" i="14"/>
  <c r="A806" i="14"/>
  <c r="I667" i="14" l="1"/>
  <c r="H667" i="14"/>
  <c r="L52" i="1" l="1"/>
  <c r="D144" i="21"/>
  <c r="E144" i="21"/>
  <c r="F144" i="21"/>
  <c r="G144" i="21"/>
  <c r="H144" i="21"/>
  <c r="I144" i="21"/>
  <c r="D159" i="16"/>
  <c r="E159" i="16"/>
  <c r="F159" i="16"/>
  <c r="H366" i="14" l="1"/>
  <c r="I366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7" i="14" l="1"/>
  <c r="I437" i="14" s="1"/>
  <c r="I438" i="14"/>
  <c r="A437" i="14"/>
  <c r="A438" i="14"/>
  <c r="A339" i="14"/>
  <c r="A340" i="14"/>
  <c r="I340" i="14" l="1"/>
  <c r="H339" i="14"/>
  <c r="I339" i="14" s="1"/>
  <c r="A263" i="14" l="1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29" i="14"/>
  <c r="A430" i="14"/>
  <c r="I430" i="14"/>
  <c r="H429" i="14"/>
  <c r="I429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5" i="14"/>
  <c r="A336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9" i="14"/>
  <c r="A300" i="14"/>
  <c r="A301" i="14"/>
  <c r="A302" i="14"/>
  <c r="A303" i="14"/>
  <c r="A304" i="14"/>
  <c r="A305" i="14"/>
  <c r="A306" i="14"/>
  <c r="A307" i="14"/>
  <c r="A308" i="14"/>
  <c r="A316" i="14"/>
  <c r="A317" i="14"/>
  <c r="A337" i="14"/>
  <c r="A338" i="14"/>
  <c r="I308" i="14"/>
  <c r="I317" i="14"/>
  <c r="I338" i="14"/>
  <c r="H307" i="14"/>
  <c r="H306" i="14" s="1"/>
  <c r="H316" i="14"/>
  <c r="H309" i="14" s="1"/>
  <c r="I309" i="14" s="1"/>
  <c r="H337" i="14"/>
  <c r="H336" i="14" s="1"/>
  <c r="H335" i="14" l="1"/>
  <c r="I336" i="14"/>
  <c r="H305" i="14"/>
  <c r="I337" i="14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7" i="14"/>
  <c r="I306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6" i="14"/>
  <c r="H303" i="14"/>
  <c r="I303" i="14" s="1"/>
  <c r="I304" i="14"/>
  <c r="A289" i="14"/>
  <c r="A294" i="14"/>
  <c r="A295" i="14"/>
  <c r="I273" i="14"/>
  <c r="H294" i="14"/>
  <c r="H289" i="14" s="1"/>
  <c r="I295" i="14"/>
  <c r="A264" i="14"/>
  <c r="A266" i="14"/>
  <c r="I264" i="14"/>
  <c r="I266" i="14"/>
  <c r="I335" i="14" l="1"/>
  <c r="H142" i="15"/>
  <c r="E157" i="21" s="1"/>
  <c r="E158" i="21"/>
  <c r="G55" i="4"/>
  <c r="H153" i="21"/>
  <c r="I305" i="14"/>
  <c r="H163" i="15"/>
  <c r="L141" i="15"/>
  <c r="E174" i="16"/>
  <c r="I242" i="14"/>
  <c r="H100" i="15"/>
  <c r="H95" i="15" s="1"/>
  <c r="E155" i="21"/>
  <c r="I155" i="21"/>
  <c r="H242" i="14"/>
  <c r="H241" i="14" s="1"/>
  <c r="I294" i="14"/>
  <c r="I289" i="14" s="1"/>
  <c r="I183" i="15"/>
  <c r="E140" i="21"/>
  <c r="H141" i="21"/>
  <c r="H302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301" i="14"/>
  <c r="H300" i="14" s="1"/>
  <c r="H299" i="14" s="1"/>
  <c r="I302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8" i="14"/>
  <c r="I192" i="14" l="1"/>
  <c r="I241" i="14"/>
  <c r="I301" i="14"/>
  <c r="H141" i="15"/>
  <c r="I141" i="15" s="1"/>
  <c r="I300" i="14" l="1"/>
  <c r="I299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5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82" i="14"/>
  <c r="I780" i="14"/>
  <c r="I781" i="14"/>
  <c r="I783" i="14"/>
  <c r="I786" i="14"/>
  <c r="I784" i="14" s="1"/>
  <c r="A779" i="14"/>
  <c r="A780" i="14"/>
  <c r="A781" i="14"/>
  <c r="A782" i="14"/>
  <c r="A783" i="14"/>
  <c r="A784" i="14"/>
  <c r="A786" i="14"/>
  <c r="A126" i="14" l="1"/>
  <c r="A127" i="14"/>
  <c r="A128" i="14"/>
  <c r="A129" i="14"/>
  <c r="A130" i="14"/>
  <c r="A131" i="14"/>
  <c r="A132" i="14"/>
  <c r="A133" i="14"/>
  <c r="H260" i="14"/>
  <c r="H259" i="14" s="1"/>
  <c r="H297" i="14"/>
  <c r="A296" i="14"/>
  <c r="A297" i="14"/>
  <c r="A298" i="14"/>
  <c r="H296" i="14" l="1"/>
  <c r="I296" i="14" s="1"/>
  <c r="I297" i="14"/>
  <c r="L141" i="1"/>
  <c r="I261" i="14"/>
  <c r="I896" i="14"/>
  <c r="I895" i="14"/>
  <c r="H894" i="14"/>
  <c r="H891" i="14" s="1"/>
  <c r="A895" i="14"/>
  <c r="A894" i="14"/>
  <c r="A896" i="14"/>
  <c r="H869" i="14"/>
  <c r="A224" i="14"/>
  <c r="H221" i="14"/>
  <c r="H220" i="14" s="1"/>
  <c r="H272" i="14"/>
  <c r="H257" i="14"/>
  <c r="H252" i="14" s="1"/>
  <c r="H251" i="14" l="1"/>
  <c r="I227" i="14"/>
  <c r="I226" i="14" s="1"/>
  <c r="H271" i="14"/>
  <c r="I894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l="1"/>
  <c r="I249" i="14" s="1"/>
  <c r="H88" i="15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H148" i="15" l="1"/>
  <c r="H147" i="15" s="1"/>
  <c r="H146" i="15" s="1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24" i="56"/>
  <c r="B24" i="56"/>
  <c r="H434" i="15"/>
  <c r="H432" i="15"/>
  <c r="A654" i="14"/>
  <c r="I654" i="14"/>
  <c r="H653" i="14"/>
  <c r="H256" i="15"/>
  <c r="K256" i="15"/>
  <c r="L258" i="15"/>
  <c r="I258" i="15"/>
  <c r="A258" i="15"/>
  <c r="I468" i="14"/>
  <c r="A468" i="14"/>
  <c r="K248" i="15"/>
  <c r="A250" i="15"/>
  <c r="L250" i="15"/>
  <c r="I250" i="15"/>
  <c r="F71" i="16" l="1"/>
  <c r="I270" i="14"/>
  <c r="F70" i="16" s="1"/>
  <c r="I155" i="14"/>
  <c r="I156" i="14"/>
  <c r="I653" i="14"/>
  <c r="H454" i="14"/>
  <c r="I456" i="14"/>
  <c r="I457" i="14"/>
  <c r="A456" i="14"/>
  <c r="A457" i="14"/>
  <c r="I250" i="14" l="1"/>
  <c r="I454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8" i="14"/>
  <c r="I547" i="14" s="1"/>
  <c r="I546" i="14" s="1"/>
  <c r="I545" i="14" s="1"/>
  <c r="I544" i="14" s="1"/>
  <c r="I543" i="14" s="1"/>
  <c r="E76" i="3" s="1"/>
  <c r="H547" i="14"/>
  <c r="H546" i="14" s="1"/>
  <c r="H545" i="14" s="1"/>
  <c r="H544" i="14" s="1"/>
  <c r="H543" i="14" s="1"/>
  <c r="D76" i="3" s="1"/>
  <c r="A543" i="14"/>
  <c r="A544" i="14"/>
  <c r="A545" i="14"/>
  <c r="A546" i="14"/>
  <c r="A547" i="14"/>
  <c r="A548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62" i="14" l="1"/>
  <c r="H861" i="14" s="1"/>
  <c r="H860" i="14" s="1"/>
  <c r="I863" i="14"/>
  <c r="I862" i="14" s="1"/>
  <c r="I861" i="14" s="1"/>
  <c r="I860" i="14" s="1"/>
  <c r="A860" i="14"/>
  <c r="A861" i="14"/>
  <c r="A862" i="14"/>
  <c r="A863" i="14"/>
  <c r="H866" i="14"/>
  <c r="H865" i="14" s="1"/>
  <c r="H864" i="14" s="1"/>
  <c r="I867" i="14"/>
  <c r="I866" i="14" s="1"/>
  <c r="I865" i="14" s="1"/>
  <c r="I864" i="14" s="1"/>
  <c r="A866" i="14"/>
  <c r="A867" i="14"/>
  <c r="A864" i="14"/>
  <c r="A865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79" i="14"/>
  <c r="I680" i="14"/>
  <c r="A680" i="14"/>
  <c r="I663" i="14"/>
  <c r="I662" i="14" s="1"/>
  <c r="I661" i="14" s="1"/>
  <c r="I660" i="14" s="1"/>
  <c r="I659" i="14" s="1"/>
  <c r="I658" i="14" s="1"/>
  <c r="H662" i="14"/>
  <c r="H661" i="14" s="1"/>
  <c r="H660" i="14" s="1"/>
  <c r="H659" i="14" s="1"/>
  <c r="H658" i="14" s="1"/>
  <c r="A658" i="14"/>
  <c r="A659" i="14"/>
  <c r="A660" i="14"/>
  <c r="A661" i="14"/>
  <c r="A662" i="14"/>
  <c r="A663" i="14"/>
  <c r="I465" i="14"/>
  <c r="I464" i="14" s="1"/>
  <c r="H464" i="14"/>
  <c r="A464" i="14"/>
  <c r="A465" i="14"/>
  <c r="I830" i="14"/>
  <c r="I829" i="14" s="1"/>
  <c r="H829" i="14"/>
  <c r="A829" i="14"/>
  <c r="A830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71" i="14"/>
  <c r="B160" i="16"/>
  <c r="B161" i="16"/>
  <c r="B155" i="16"/>
  <c r="B157" i="16"/>
  <c r="B158" i="16"/>
  <c r="B151" i="16"/>
  <c r="B152" i="16"/>
  <c r="B153" i="16"/>
  <c r="B154" i="16"/>
  <c r="H726" i="14"/>
  <c r="H725" i="14" s="1"/>
  <c r="H724" i="14" s="1"/>
  <c r="H723" i="14" s="1"/>
  <c r="I727" i="14"/>
  <c r="I726" i="14" s="1"/>
  <c r="I725" i="14" s="1"/>
  <c r="I724" i="14" s="1"/>
  <c r="I723" i="14" s="1"/>
  <c r="A723" i="14"/>
  <c r="A724" i="14"/>
  <c r="A725" i="14"/>
  <c r="A726" i="14"/>
  <c r="A727" i="14"/>
  <c r="I645" i="14"/>
  <c r="H644" i="14"/>
  <c r="H643" i="14" s="1"/>
  <c r="A643" i="14"/>
  <c r="A644" i="14"/>
  <c r="A645" i="14"/>
  <c r="A640" i="14"/>
  <c r="I542" i="14"/>
  <c r="I541" i="14" s="1"/>
  <c r="I540" i="14" s="1"/>
  <c r="I539" i="14" s="1"/>
  <c r="I538" i="14" s="1"/>
  <c r="H541" i="14"/>
  <c r="H540" i="14" s="1"/>
  <c r="H539" i="14" s="1"/>
  <c r="H538" i="14" s="1"/>
  <c r="A538" i="14"/>
  <c r="A539" i="14"/>
  <c r="A540" i="14"/>
  <c r="A541" i="14"/>
  <c r="A542" i="14"/>
  <c r="I459" i="14"/>
  <c r="H458" i="14"/>
  <c r="A458" i="14"/>
  <c r="A459" i="14"/>
  <c r="I893" i="14"/>
  <c r="I892" i="14" s="1"/>
  <c r="A891" i="14"/>
  <c r="A892" i="14"/>
  <c r="A893" i="14"/>
  <c r="I873" i="14"/>
  <c r="I872" i="14"/>
  <c r="A870" i="14"/>
  <c r="A871" i="14"/>
  <c r="A872" i="14"/>
  <c r="A873" i="14"/>
  <c r="A875" i="14"/>
  <c r="I871" i="14" l="1"/>
  <c r="F153" i="21"/>
  <c r="D153" i="21"/>
  <c r="I458" i="14"/>
  <c r="I643" i="14"/>
  <c r="I644" i="14"/>
  <c r="I891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90" i="14"/>
  <c r="I791" i="14"/>
  <c r="I790" i="14" s="1"/>
  <c r="H792" i="14"/>
  <c r="I793" i="14"/>
  <c r="I792" i="14" s="1"/>
  <c r="L433" i="15"/>
  <c r="L432" i="15" s="1"/>
  <c r="I433" i="15"/>
  <c r="I432" i="15" s="1"/>
  <c r="A432" i="15"/>
  <c r="A433" i="15"/>
  <c r="A792" i="14"/>
  <c r="A793" i="14"/>
  <c r="A790" i="14"/>
  <c r="A791" i="14"/>
  <c r="A787" i="14"/>
  <c r="A789" i="14"/>
  <c r="I870" i="14" l="1"/>
  <c r="I869" i="14" s="1"/>
  <c r="L74" i="1" l="1"/>
  <c r="L102" i="1"/>
  <c r="L98" i="1"/>
  <c r="L97" i="1"/>
  <c r="L72" i="1" l="1"/>
  <c r="L101" i="1"/>
  <c r="H373" i="14" l="1"/>
  <c r="A374" i="14"/>
  <c r="H372" i="14" l="1"/>
  <c r="H371" i="14" s="1"/>
  <c r="H370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5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5" i="14"/>
  <c r="I796" i="14"/>
  <c r="A795" i="14"/>
  <c r="A79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5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50" i="14"/>
  <c r="I375" i="14"/>
  <c r="I396" i="14"/>
  <c r="I403" i="14"/>
  <c r="I406" i="14"/>
  <c r="I412" i="14"/>
  <c r="I416" i="14"/>
  <c r="I418" i="14"/>
  <c r="I420" i="14"/>
  <c r="I428" i="14"/>
  <c r="I434" i="14"/>
  <c r="I463" i="14"/>
  <c r="I467" i="14"/>
  <c r="I477" i="14"/>
  <c r="I481" i="14"/>
  <c r="I484" i="14"/>
  <c r="I490" i="14"/>
  <c r="I492" i="14"/>
  <c r="I494" i="14"/>
  <c r="I496" i="14"/>
  <c r="I498" i="14"/>
  <c r="I512" i="14"/>
  <c r="I517" i="14"/>
  <c r="I520" i="14"/>
  <c r="I529" i="14"/>
  <c r="I559" i="14"/>
  <c r="I561" i="14"/>
  <c r="I566" i="14"/>
  <c r="I568" i="14"/>
  <c r="I569" i="14"/>
  <c r="I571" i="14"/>
  <c r="I574" i="14"/>
  <c r="I580" i="14"/>
  <c r="I586" i="14"/>
  <c r="I588" i="14"/>
  <c r="I593" i="14"/>
  <c r="I594" i="14"/>
  <c r="I595" i="14"/>
  <c r="I596" i="14"/>
  <c r="I599" i="14"/>
  <c r="I601" i="14"/>
  <c r="I604" i="14"/>
  <c r="I605" i="14"/>
  <c r="I612" i="14"/>
  <c r="I613" i="14"/>
  <c r="I614" i="14"/>
  <c r="I618" i="14"/>
  <c r="I619" i="14"/>
  <c r="I621" i="14"/>
  <c r="I624" i="14"/>
  <c r="I625" i="14"/>
  <c r="I629" i="14"/>
  <c r="I632" i="14"/>
  <c r="I633" i="14"/>
  <c r="I637" i="14"/>
  <c r="I642" i="14"/>
  <c r="I649" i="14"/>
  <c r="I648" i="14" s="1"/>
  <c r="I657" i="14"/>
  <c r="I674" i="14"/>
  <c r="I676" i="14"/>
  <c r="I678" i="14"/>
  <c r="I681" i="14"/>
  <c r="I679" i="14" s="1"/>
  <c r="I683" i="14"/>
  <c r="I686" i="14"/>
  <c r="I687" i="14"/>
  <c r="I689" i="14"/>
  <c r="I692" i="14"/>
  <c r="I693" i="14"/>
  <c r="I702" i="14"/>
  <c r="I708" i="14"/>
  <c r="I715" i="14"/>
  <c r="I722" i="14"/>
  <c r="I734" i="14"/>
  <c r="I735" i="14"/>
  <c r="I744" i="14"/>
  <c r="I753" i="14"/>
  <c r="I754" i="14"/>
  <c r="I756" i="14"/>
  <c r="I757" i="14"/>
  <c r="I759" i="14"/>
  <c r="I761" i="14"/>
  <c r="I762" i="14"/>
  <c r="I764" i="14"/>
  <c r="I766" i="14"/>
  <c r="I768" i="14"/>
  <c r="I769" i="14"/>
  <c r="I771" i="14"/>
  <c r="I772" i="14"/>
  <c r="I774" i="14"/>
  <c r="I775" i="14"/>
  <c r="I777" i="14"/>
  <c r="I778" i="14"/>
  <c r="I788" i="14"/>
  <c r="I789" i="14"/>
  <c r="I798" i="14"/>
  <c r="I799" i="14"/>
  <c r="I814" i="14"/>
  <c r="I816" i="14"/>
  <c r="I818" i="14"/>
  <c r="I820" i="14"/>
  <c r="I822" i="14"/>
  <c r="I823" i="14"/>
  <c r="I832" i="14"/>
  <c r="I833" i="14"/>
  <c r="I836" i="14"/>
  <c r="I839" i="14"/>
  <c r="I849" i="14"/>
  <c r="I850" i="14"/>
  <c r="I852" i="14"/>
  <c r="I856" i="14"/>
  <c r="I859" i="14"/>
  <c r="I880" i="14"/>
  <c r="I890" i="14"/>
  <c r="I908" i="14"/>
  <c r="I912" i="14"/>
  <c r="I930" i="14"/>
  <c r="I936" i="14"/>
  <c r="I940" i="14"/>
  <c r="I951" i="14"/>
  <c r="I962" i="14"/>
  <c r="I961" i="14" s="1"/>
  <c r="I964" i="14"/>
  <c r="I968" i="14"/>
  <c r="I973" i="14"/>
  <c r="I975" i="14"/>
  <c r="I979" i="14"/>
  <c r="I985" i="14"/>
  <c r="I990" i="14"/>
  <c r="I1005" i="14"/>
  <c r="I1015" i="14"/>
  <c r="I1023" i="14"/>
  <c r="I1030" i="14"/>
  <c r="I1045" i="14"/>
  <c r="I1051" i="14"/>
  <c r="I1061" i="14"/>
  <c r="I1065" i="14"/>
  <c r="I1070" i="14"/>
  <c r="I1074" i="14"/>
  <c r="I1075" i="14"/>
  <c r="I1078" i="14"/>
  <c r="I1083" i="14"/>
  <c r="I1088" i="14"/>
  <c r="I1092" i="14"/>
  <c r="I1096" i="14"/>
  <c r="I1100" i="14"/>
  <c r="I1115" i="14"/>
  <c r="I1117" i="14"/>
  <c r="I1120" i="14"/>
  <c r="I112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7" i="14"/>
  <c r="H346" i="14" s="1"/>
  <c r="D70" i="3" s="1"/>
  <c r="H395" i="14"/>
  <c r="H394" i="14" s="1"/>
  <c r="H393" i="14" s="1"/>
  <c r="H402" i="14"/>
  <c r="H401" i="14" s="1"/>
  <c r="H405" i="14"/>
  <c r="H404" i="14" s="1"/>
  <c r="H413" i="14"/>
  <c r="H415" i="14"/>
  <c r="H419" i="14"/>
  <c r="H427" i="14"/>
  <c r="H433" i="14"/>
  <c r="H432" i="14" s="1"/>
  <c r="I432" i="14" s="1"/>
  <c r="H462" i="14"/>
  <c r="H453" i="14" s="1"/>
  <c r="H475" i="14"/>
  <c r="H480" i="14"/>
  <c r="H479" i="14" s="1"/>
  <c r="H483" i="14"/>
  <c r="H482" i="14" s="1"/>
  <c r="H489" i="14"/>
  <c r="H491" i="14"/>
  <c r="H493" i="14"/>
  <c r="H495" i="14"/>
  <c r="H497" i="14"/>
  <c r="H511" i="14"/>
  <c r="H510" i="14" s="1"/>
  <c r="H516" i="14"/>
  <c r="H515" i="14" s="1"/>
  <c r="H519" i="14"/>
  <c r="H518" i="14" s="1"/>
  <c r="H528" i="14"/>
  <c r="H524" i="14" s="1"/>
  <c r="H558" i="14"/>
  <c r="H560" i="14"/>
  <c r="H565" i="14"/>
  <c r="H567" i="14"/>
  <c r="H570" i="14"/>
  <c r="H573" i="14"/>
  <c r="H572" i="14" s="1"/>
  <c r="H579" i="14"/>
  <c r="H585" i="14"/>
  <c r="H587" i="14"/>
  <c r="H591" i="14"/>
  <c r="H592" i="14"/>
  <c r="H598" i="14"/>
  <c r="H600" i="14"/>
  <c r="H603" i="14"/>
  <c r="H611" i="14"/>
  <c r="H610" i="14" s="1"/>
  <c r="H616" i="14"/>
  <c r="H620" i="14"/>
  <c r="H622" i="14"/>
  <c r="H627" i="14"/>
  <c r="H630" i="14"/>
  <c r="H636" i="14"/>
  <c r="H635" i="14" s="1"/>
  <c r="H641" i="14"/>
  <c r="H647" i="14"/>
  <c r="H646" i="14" s="1"/>
  <c r="H652" i="14"/>
  <c r="H651" i="14" s="1"/>
  <c r="H656" i="14"/>
  <c r="H655" i="14" s="1"/>
  <c r="H673" i="14"/>
  <c r="H675" i="14"/>
  <c r="H677" i="14"/>
  <c r="H682" i="14"/>
  <c r="H685" i="14"/>
  <c r="H691" i="14"/>
  <c r="H690" i="14" s="1"/>
  <c r="H701" i="14"/>
  <c r="H707" i="14"/>
  <c r="H706" i="14" s="1"/>
  <c r="H705" i="14" s="1"/>
  <c r="H714" i="14"/>
  <c r="H711" i="14" s="1"/>
  <c r="H721" i="14"/>
  <c r="H720" i="14" s="1"/>
  <c r="H733" i="14"/>
  <c r="H732" i="14" s="1"/>
  <c r="H743" i="14"/>
  <c r="H742" i="14" s="1"/>
  <c r="H741" i="14" s="1"/>
  <c r="H740" i="14" s="1"/>
  <c r="H752" i="14"/>
  <c r="H755" i="14"/>
  <c r="H758" i="14"/>
  <c r="H760" i="14"/>
  <c r="H763" i="14"/>
  <c r="H765" i="14"/>
  <c r="H767" i="14"/>
  <c r="H770" i="14"/>
  <c r="H773" i="14"/>
  <c r="H776" i="14"/>
  <c r="H779" i="14"/>
  <c r="H787" i="14"/>
  <c r="H797" i="14"/>
  <c r="H794" i="14" s="1"/>
  <c r="H813" i="14"/>
  <c r="H815" i="14"/>
  <c r="H817" i="14"/>
  <c r="H819" i="14"/>
  <c r="H821" i="14"/>
  <c r="H831" i="14"/>
  <c r="H835" i="14"/>
  <c r="H834" i="14" s="1"/>
  <c r="H838" i="14"/>
  <c r="H837" i="14" s="1"/>
  <c r="H848" i="14"/>
  <c r="H851" i="14"/>
  <c r="H853" i="14"/>
  <c r="H858" i="14"/>
  <c r="H857" i="14" s="1"/>
  <c r="E51" i="16" s="1"/>
  <c r="H879" i="14"/>
  <c r="H878" i="14" s="1"/>
  <c r="H877" i="14" s="1"/>
  <c r="H886" i="14"/>
  <c r="H885" i="14" s="1"/>
  <c r="H889" i="14"/>
  <c r="H888" i="14" s="1"/>
  <c r="D26" i="3"/>
  <c r="H907" i="14"/>
  <c r="H906" i="14" s="1"/>
  <c r="H905" i="14" s="1"/>
  <c r="H911" i="14"/>
  <c r="H910" i="14" s="1"/>
  <c r="H929" i="14"/>
  <c r="H928" i="14" s="1"/>
  <c r="H927" i="14" s="1"/>
  <c r="D62" i="3" s="1"/>
  <c r="H935" i="14"/>
  <c r="H937" i="14"/>
  <c r="H939" i="14"/>
  <c r="H950" i="14"/>
  <c r="H949" i="14" s="1"/>
  <c r="H945" i="14" s="1"/>
  <c r="H959" i="14"/>
  <c r="H961" i="14"/>
  <c r="H963" i="14"/>
  <c r="H967" i="14"/>
  <c r="H972" i="14"/>
  <c r="H974" i="14"/>
  <c r="H978" i="14"/>
  <c r="H984" i="14"/>
  <c r="H983" i="14" s="1"/>
  <c r="H982" i="14" s="1"/>
  <c r="H989" i="14"/>
  <c r="H1004" i="14"/>
  <c r="H1006" i="14"/>
  <c r="H1008" i="14"/>
  <c r="H1014" i="14"/>
  <c r="H1022" i="14"/>
  <c r="H1027" i="14"/>
  <c r="H1029" i="14"/>
  <c r="H1044" i="14"/>
  <c r="H1043" i="14" s="1"/>
  <c r="H1050" i="14"/>
  <c r="H1049" i="14" s="1"/>
  <c r="H1054" i="14"/>
  <c r="H1053" i="14" s="1"/>
  <c r="H1052" i="14" s="1"/>
  <c r="H1060" i="14"/>
  <c r="H1059" i="14" s="1"/>
  <c r="H1058" i="14" s="1"/>
  <c r="H1064" i="14"/>
  <c r="H1063" i="14" s="1"/>
  <c r="H1062" i="14" s="1"/>
  <c r="H1068" i="14"/>
  <c r="H1072" i="14"/>
  <c r="H1076" i="14"/>
  <c r="H1082" i="14"/>
  <c r="H1081" i="14" s="1"/>
  <c r="H1080" i="14" s="1"/>
  <c r="H1079" i="14" s="1"/>
  <c r="H1087" i="14"/>
  <c r="H1086" i="14" s="1"/>
  <c r="H1085" i="14" s="1"/>
  <c r="H1084" i="14" s="1"/>
  <c r="H1091" i="14"/>
  <c r="H1090" i="14" s="1"/>
  <c r="H1089" i="14" s="1"/>
  <c r="H1095" i="14"/>
  <c r="H1094" i="14" s="1"/>
  <c r="H1093" i="14" s="1"/>
  <c r="H1099" i="14"/>
  <c r="H1098" i="14" s="1"/>
  <c r="H1097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5" i="14"/>
  <c r="I1007" i="14"/>
  <c r="I349" i="14" l="1"/>
  <c r="I348" i="14" s="1"/>
  <c r="K378" i="15"/>
  <c r="K377" i="15" s="1"/>
  <c r="K379" i="15"/>
  <c r="H407" i="14"/>
  <c r="I374" i="14"/>
  <c r="I373" i="14" s="1"/>
  <c r="L119" i="1"/>
  <c r="H1003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8" i="14"/>
  <c r="H487" i="14" s="1"/>
  <c r="H958" i="14"/>
  <c r="H1026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7" i="14"/>
  <c r="H976" i="14" s="1"/>
  <c r="E43" i="16"/>
  <c r="H700" i="14"/>
  <c r="H699" i="14" s="1"/>
  <c r="H578" i="14"/>
  <c r="H577" i="14" s="1"/>
  <c r="H1042" i="14"/>
  <c r="H1041" i="14" s="1"/>
  <c r="H944" i="14"/>
  <c r="H602" i="14"/>
  <c r="E33" i="16" s="1"/>
  <c r="K554" i="15"/>
  <c r="H20" i="21" s="1"/>
  <c r="K561" i="15"/>
  <c r="H21" i="21" s="1"/>
  <c r="H557" i="14"/>
  <c r="H812" i="14"/>
  <c r="H751" i="14"/>
  <c r="H987" i="14"/>
  <c r="H986" i="14" s="1"/>
  <c r="H988" i="14"/>
  <c r="E56" i="16" s="1"/>
  <c r="H523" i="14"/>
  <c r="D10" i="6"/>
  <c r="G10" i="6"/>
  <c r="H431" i="14"/>
  <c r="D60" i="3" s="1"/>
  <c r="H426" i="14"/>
  <c r="H425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39" i="14"/>
  <c r="H638" i="14" s="1"/>
  <c r="H640" i="14"/>
  <c r="E55" i="16" s="1"/>
  <c r="H53" i="14"/>
  <c r="E115" i="16" s="1"/>
  <c r="H909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4" i="14"/>
  <c r="H597" i="14"/>
  <c r="H15" i="14"/>
  <c r="H971" i="14"/>
  <c r="E13" i="16" s="1"/>
  <c r="D64" i="3"/>
  <c r="H1067" i="14"/>
  <c r="H884" i="14"/>
  <c r="H876" i="14" s="1"/>
  <c r="H514" i="14"/>
  <c r="H513" i="14" s="1"/>
  <c r="H934" i="14"/>
  <c r="H933" i="14" s="1"/>
  <c r="H932" i="14" s="1"/>
  <c r="E148" i="16"/>
  <c r="H847" i="14"/>
  <c r="H846" i="14" s="1"/>
  <c r="H845" i="14" s="1"/>
  <c r="H844" i="14" s="1"/>
  <c r="H710" i="14"/>
  <c r="H709" i="14" s="1"/>
  <c r="H1113" i="14"/>
  <c r="H1112" i="14" s="1"/>
  <c r="H1111" i="14" s="1"/>
  <c r="H474" i="14"/>
  <c r="H615" i="14"/>
  <c r="H731" i="14"/>
  <c r="H730" i="14"/>
  <c r="H729" i="14" s="1"/>
  <c r="H400" i="14"/>
  <c r="H672" i="14"/>
  <c r="H666" i="14" s="1"/>
  <c r="D109" i="3"/>
  <c r="E86" i="3"/>
  <c r="D33" i="3"/>
  <c r="D65" i="3"/>
  <c r="E33" i="3"/>
  <c r="D115" i="3"/>
  <c r="D114" i="3" s="1"/>
  <c r="H739" i="14"/>
  <c r="D98" i="3" s="1"/>
  <c r="H634" i="14"/>
  <c r="E40" i="16" s="1"/>
  <c r="H509" i="14"/>
  <c r="D86" i="3"/>
  <c r="D23" i="3"/>
  <c r="G15" i="6"/>
  <c r="D10" i="5"/>
  <c r="D15" i="5"/>
  <c r="E86" i="4"/>
  <c r="E33" i="4"/>
  <c r="K11" i="1"/>
  <c r="I960" i="14"/>
  <c r="I974" i="14"/>
  <c r="A974" i="14"/>
  <c r="A971" i="14"/>
  <c r="A972" i="14"/>
  <c r="A973" i="14"/>
  <c r="A975" i="14"/>
  <c r="B13" i="21"/>
  <c r="E13" i="21"/>
  <c r="B13" i="16"/>
  <c r="B46" i="21"/>
  <c r="B51" i="16"/>
  <c r="L484" i="15"/>
  <c r="I484" i="15"/>
  <c r="A486" i="15"/>
  <c r="A487" i="15"/>
  <c r="A488" i="15"/>
  <c r="I855" i="14"/>
  <c r="A857" i="14"/>
  <c r="A858" i="14"/>
  <c r="A859" i="14"/>
  <c r="A1029" i="14"/>
  <c r="A1030" i="14"/>
  <c r="I1029" i="14"/>
  <c r="I1009" i="14"/>
  <c r="B147" i="16"/>
  <c r="A348" i="14"/>
  <c r="E161" i="16" l="1"/>
  <c r="E160" i="16" s="1"/>
  <c r="H45" i="21"/>
  <c r="K395" i="15"/>
  <c r="K394" i="15" s="1"/>
  <c r="K393" i="15" s="1"/>
  <c r="H33" i="14"/>
  <c r="K174" i="1"/>
  <c r="L174" i="1" s="1"/>
  <c r="H521" i="14"/>
  <c r="H522" i="14"/>
  <c r="I372" i="14"/>
  <c r="I371" i="14" s="1"/>
  <c r="I370" i="14" s="1"/>
  <c r="F45" i="16"/>
  <c r="K31" i="15"/>
  <c r="K10" i="15" s="1"/>
  <c r="H160" i="21"/>
  <c r="H868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8" i="14"/>
  <c r="H697" i="14" s="1"/>
  <c r="D105" i="3" s="1"/>
  <c r="D103" i="3" s="1"/>
  <c r="K553" i="15"/>
  <c r="K548" i="15" s="1"/>
  <c r="K547" i="15" s="1"/>
  <c r="E14" i="16"/>
  <c r="H548" i="15"/>
  <c r="H547" i="15" s="1"/>
  <c r="D82" i="4" s="1"/>
  <c r="H811" i="14"/>
  <c r="H810" i="14" s="1"/>
  <c r="H809" i="14" s="1"/>
  <c r="E52" i="16"/>
  <c r="E96" i="16"/>
  <c r="H489" i="15"/>
  <c r="D102" i="3"/>
  <c r="H750" i="14"/>
  <c r="H749" i="14" s="1"/>
  <c r="H748" i="14" s="1"/>
  <c r="E32" i="16"/>
  <c r="H590" i="14"/>
  <c r="H589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51" i="14"/>
  <c r="E29" i="16"/>
  <c r="E180" i="16"/>
  <c r="E105" i="16"/>
  <c r="E178" i="16"/>
  <c r="E21" i="16"/>
  <c r="H136" i="14"/>
  <c r="H135" i="14" s="1"/>
  <c r="E99" i="16"/>
  <c r="H665" i="14"/>
  <c r="H664" i="14" s="1"/>
  <c r="E34" i="16"/>
  <c r="H473" i="14"/>
  <c r="E54" i="16"/>
  <c r="H556" i="14"/>
  <c r="H555" i="14" s="1"/>
  <c r="H549" i="14" s="1"/>
  <c r="E35" i="16"/>
  <c r="H1066" i="14"/>
  <c r="H1057" i="14" s="1"/>
  <c r="H1056" i="14" s="1"/>
  <c r="D85" i="3" s="1"/>
  <c r="E23" i="16"/>
  <c r="H583" i="14"/>
  <c r="E18" i="16"/>
  <c r="E146" i="16"/>
  <c r="E42" i="16"/>
  <c r="E20" i="16"/>
  <c r="E120" i="16"/>
  <c r="H486" i="14"/>
  <c r="H485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52" i="14"/>
  <c r="H1002" i="14"/>
  <c r="H931" i="14"/>
  <c r="H957" i="14"/>
  <c r="I972" i="14"/>
  <c r="I858" i="14"/>
  <c r="H392" i="14"/>
  <c r="H391" i="14" s="1"/>
  <c r="J46" i="2"/>
  <c r="I575" i="15"/>
  <c r="I574" i="15" s="1"/>
  <c r="L571" i="15"/>
  <c r="L570" i="15" s="1"/>
  <c r="I571" i="15"/>
  <c r="I570" i="15" s="1"/>
  <c r="A646" i="14"/>
  <c r="A647" i="14"/>
  <c r="A648" i="14"/>
  <c r="A649" i="14"/>
  <c r="A1058" i="14"/>
  <c r="A1059" i="14"/>
  <c r="A1060" i="14"/>
  <c r="A1061" i="14"/>
  <c r="A945" i="14"/>
  <c r="A944" i="14"/>
  <c r="A949" i="14"/>
  <c r="A950" i="14"/>
  <c r="A951" i="14"/>
  <c r="A1049" i="14"/>
  <c r="A1050" i="14"/>
  <c r="A1051" i="14"/>
  <c r="A1089" i="14"/>
  <c r="A1090" i="14"/>
  <c r="A1091" i="14"/>
  <c r="A1092" i="14"/>
  <c r="A1093" i="14"/>
  <c r="A1094" i="14"/>
  <c r="A1095" i="14"/>
  <c r="A1096" i="14"/>
  <c r="I1073" i="14"/>
  <c r="I1077" i="14"/>
  <c r="I1071" i="14"/>
  <c r="I1069" i="14"/>
  <c r="I1028" i="14"/>
  <c r="I1008" i="14"/>
  <c r="I938" i="14"/>
  <c r="I707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93" i="14"/>
  <c r="A690" i="14"/>
  <c r="I688" i="14"/>
  <c r="I684" i="14"/>
  <c r="E137" i="21"/>
  <c r="E135" i="21"/>
  <c r="E133" i="21"/>
  <c r="E138" i="21"/>
  <c r="E139" i="21"/>
  <c r="I336" i="15"/>
  <c r="A331" i="15"/>
  <c r="A332" i="15"/>
  <c r="I631" i="14"/>
  <c r="I628" i="14"/>
  <c r="I626" i="14"/>
  <c r="I623" i="14"/>
  <c r="I617" i="14"/>
  <c r="A610" i="14"/>
  <c r="I570" i="14"/>
  <c r="A570" i="14"/>
  <c r="A571" i="14"/>
  <c r="A572" i="14"/>
  <c r="A306" i="15"/>
  <c r="A307" i="15"/>
  <c r="L306" i="15"/>
  <c r="I306" i="15"/>
  <c r="A308" i="15"/>
  <c r="A276" i="15"/>
  <c r="A277" i="15"/>
  <c r="A278" i="15"/>
  <c r="A279" i="15"/>
  <c r="A283" i="15"/>
  <c r="A286" i="15"/>
  <c r="A522" i="14"/>
  <c r="A521" i="14"/>
  <c r="A523" i="14"/>
  <c r="A524" i="14"/>
  <c r="A528" i="14"/>
  <c r="A529" i="14"/>
  <c r="A479" i="14"/>
  <c r="A480" i="14"/>
  <c r="A481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8" i="14"/>
  <c r="H243" i="15"/>
  <c r="I714" i="14"/>
  <c r="I711" i="14" s="1"/>
  <c r="D81" i="4"/>
  <c r="H522" i="15"/>
  <c r="K522" i="15"/>
  <c r="G82" i="4"/>
  <c r="G81" i="4" s="1"/>
  <c r="H992" i="14"/>
  <c r="H991" i="14" s="1"/>
  <c r="D82" i="3" s="1"/>
  <c r="D81" i="3" s="1"/>
  <c r="D74" i="3"/>
  <c r="G78" i="4"/>
  <c r="G99" i="4"/>
  <c r="G96" i="4" s="1"/>
  <c r="D80" i="4"/>
  <c r="G80" i="4"/>
  <c r="D100" i="3"/>
  <c r="D9" i="4"/>
  <c r="H450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6" i="14"/>
  <c r="H955" i="14" s="1"/>
  <c r="E11" i="16"/>
  <c r="E98" i="16"/>
  <c r="E19" i="16"/>
  <c r="E17" i="16"/>
  <c r="H576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90" i="14"/>
  <c r="I691" i="14"/>
  <c r="I67" i="14"/>
  <c r="I479" i="14"/>
  <c r="I480" i="14"/>
  <c r="I950" i="14"/>
  <c r="D13" i="16"/>
  <c r="I971" i="14"/>
  <c r="F13" i="16" s="1"/>
  <c r="I528" i="14"/>
  <c r="I524" i="14" s="1"/>
  <c r="I523" i="14" s="1"/>
  <c r="I1095" i="14"/>
  <c r="I1060" i="14"/>
  <c r="I1091" i="14"/>
  <c r="I1050" i="14"/>
  <c r="D51" i="16"/>
  <c r="I857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21" i="14"/>
  <c r="I522" i="14"/>
  <c r="H913" i="14"/>
  <c r="D72" i="3"/>
  <c r="H597" i="15"/>
  <c r="H599" i="15" s="1"/>
  <c r="I518" i="15"/>
  <c r="I1049" i="14"/>
  <c r="E10" i="16"/>
  <c r="D78" i="3"/>
  <c r="E46" i="16"/>
  <c r="K376" i="15"/>
  <c r="H575" i="14"/>
  <c r="H443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6" i="14"/>
  <c r="I647" i="14"/>
  <c r="I1093" i="14"/>
  <c r="I1094" i="14"/>
  <c r="I949" i="14"/>
  <c r="I945" i="14" s="1"/>
  <c r="I1058" i="14"/>
  <c r="I1059" i="14"/>
  <c r="F150" i="16"/>
  <c r="I65" i="14"/>
  <c r="I66" i="14"/>
  <c r="I1089" i="14"/>
  <c r="I1090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7" i="14"/>
  <c r="A878" i="14"/>
  <c r="A879" i="14"/>
  <c r="A880" i="14"/>
  <c r="E177" i="16" l="1"/>
  <c r="E181" i="16" s="1"/>
  <c r="D20" i="6"/>
  <c r="H159" i="21"/>
  <c r="H162" i="21" s="1"/>
  <c r="K597" i="15"/>
  <c r="H1133" i="14"/>
  <c r="I1133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9" i="14"/>
  <c r="I944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8" i="14"/>
  <c r="B149" i="16"/>
  <c r="B150" i="16"/>
  <c r="D148" i="16"/>
  <c r="B148" i="16"/>
  <c r="A419" i="14"/>
  <c r="I419" i="14"/>
  <c r="A420" i="14"/>
  <c r="I409" i="14"/>
  <c r="I410" i="14"/>
  <c r="I414" i="14"/>
  <c r="A393" i="14"/>
  <c r="A394" i="14"/>
  <c r="A395" i="14"/>
  <c r="A396" i="14"/>
  <c r="B55" i="16"/>
  <c r="I1116" i="14"/>
  <c r="E17" i="6"/>
  <c r="E19" i="5"/>
  <c r="D22" i="5" l="1"/>
  <c r="D20" i="5" s="1"/>
  <c r="D26" i="5" s="1"/>
  <c r="I877" i="14"/>
  <c r="L276" i="15"/>
  <c r="I395" i="14"/>
  <c r="A451" i="15"/>
  <c r="A452" i="15"/>
  <c r="L451" i="15" l="1"/>
  <c r="I393" i="14"/>
  <c r="I394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22" i="14"/>
  <c r="I848" i="14"/>
  <c r="A851" i="14"/>
  <c r="A852" i="14"/>
  <c r="I851" i="14"/>
  <c r="A831" i="14"/>
  <c r="A832" i="14"/>
  <c r="A833" i="14"/>
  <c r="A797" i="14"/>
  <c r="A798" i="14"/>
  <c r="A799" i="14"/>
  <c r="A819" i="14"/>
  <c r="A820" i="14"/>
  <c r="I819" i="14"/>
  <c r="I817" i="14"/>
  <c r="A817" i="14"/>
  <c r="A818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I1121" i="14"/>
  <c r="A1121" i="14"/>
  <c r="A1120" i="14"/>
  <c r="A1119" i="14"/>
  <c r="A1117" i="14"/>
  <c r="A1116" i="14"/>
  <c r="A1115" i="14"/>
  <c r="I1114" i="14"/>
  <c r="A1114" i="14"/>
  <c r="A1113" i="14"/>
  <c r="A1112" i="14"/>
  <c r="A1111" i="14"/>
  <c r="F68" i="16"/>
  <c r="A1100" i="14"/>
  <c r="A1099" i="14"/>
  <c r="A1098" i="14"/>
  <c r="A1097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I1076" i="14"/>
  <c r="A1076" i="14"/>
  <c r="A1075" i="14"/>
  <c r="A1074" i="14"/>
  <c r="A1073" i="14"/>
  <c r="I1072" i="14"/>
  <c r="A1072" i="14"/>
  <c r="A1071" i="14"/>
  <c r="A1070" i="14"/>
  <c r="A1069" i="14"/>
  <c r="I1068" i="14"/>
  <c r="A1068" i="14"/>
  <c r="A1067" i="14"/>
  <c r="A1066" i="14"/>
  <c r="A1065" i="14"/>
  <c r="A1064" i="14"/>
  <c r="A1063" i="14"/>
  <c r="A1062" i="14"/>
  <c r="A1057" i="14"/>
  <c r="A1056" i="14"/>
  <c r="A1055" i="14"/>
  <c r="A1054" i="14"/>
  <c r="A1053" i="14"/>
  <c r="A1052" i="14"/>
  <c r="A1045" i="14"/>
  <c r="A1044" i="14"/>
  <c r="A1043" i="14"/>
  <c r="A1042" i="14"/>
  <c r="A1041" i="14"/>
  <c r="A1028" i="14"/>
  <c r="A1027" i="14"/>
  <c r="A1026" i="14"/>
  <c r="A1023" i="14"/>
  <c r="I1022" i="14"/>
  <c r="A1022" i="14"/>
  <c r="A1015" i="14"/>
  <c r="I1014" i="14"/>
  <c r="A1014" i="14"/>
  <c r="A1009" i="14"/>
  <c r="A1008" i="14"/>
  <c r="A1007" i="14"/>
  <c r="A1006" i="14"/>
  <c r="A1005" i="14"/>
  <c r="I1004" i="14"/>
  <c r="A1004" i="14"/>
  <c r="A1003" i="14"/>
  <c r="A1002" i="14"/>
  <c r="A992" i="14"/>
  <c r="A991" i="14"/>
  <c r="A990" i="14"/>
  <c r="D56" i="16"/>
  <c r="A989" i="14"/>
  <c r="A987" i="14"/>
  <c r="A986" i="14"/>
  <c r="A985" i="14"/>
  <c r="A984" i="14"/>
  <c r="A983" i="14"/>
  <c r="A982" i="14"/>
  <c r="A979" i="14"/>
  <c r="A978" i="14"/>
  <c r="A977" i="14"/>
  <c r="A976" i="14"/>
  <c r="A968" i="14"/>
  <c r="I967" i="14"/>
  <c r="A967" i="14"/>
  <c r="A964" i="14"/>
  <c r="I963" i="14"/>
  <c r="A963" i="14"/>
  <c r="A962" i="14"/>
  <c r="A961" i="14"/>
  <c r="A960" i="14"/>
  <c r="A959" i="14"/>
  <c r="A958" i="14"/>
  <c r="A957" i="14"/>
  <c r="A956" i="14"/>
  <c r="A955" i="14"/>
  <c r="A940" i="14"/>
  <c r="I939" i="14"/>
  <c r="A939" i="14"/>
  <c r="A938" i="14"/>
  <c r="I937" i="14"/>
  <c r="A937" i="14"/>
  <c r="A936" i="14"/>
  <c r="I935" i="14"/>
  <c r="A935" i="14"/>
  <c r="A934" i="14"/>
  <c r="A933" i="14"/>
  <c r="A932" i="14"/>
  <c r="A931" i="14"/>
  <c r="A930" i="14"/>
  <c r="I929" i="14"/>
  <c r="A929" i="14"/>
  <c r="A928" i="14"/>
  <c r="A927" i="14"/>
  <c r="A913" i="14"/>
  <c r="A912" i="14"/>
  <c r="A911" i="14"/>
  <c r="A910" i="14"/>
  <c r="A909" i="14"/>
  <c r="A908" i="14"/>
  <c r="A907" i="14"/>
  <c r="A906" i="14"/>
  <c r="A905" i="14"/>
  <c r="A890" i="14"/>
  <c r="A889" i="14"/>
  <c r="A888" i="14"/>
  <c r="A887" i="14"/>
  <c r="A886" i="14"/>
  <c r="A885" i="14"/>
  <c r="A884" i="14"/>
  <c r="A876" i="14"/>
  <c r="A869" i="14"/>
  <c r="A868" i="14"/>
  <c r="A856" i="14"/>
  <c r="A855" i="14"/>
  <c r="A854" i="14"/>
  <c r="A853" i="14"/>
  <c r="A850" i="14"/>
  <c r="A849" i="14"/>
  <c r="A848" i="14"/>
  <c r="A847" i="14"/>
  <c r="A846" i="14"/>
  <c r="A845" i="14"/>
  <c r="A844" i="14"/>
  <c r="A839" i="14"/>
  <c r="A836" i="14"/>
  <c r="A835" i="14"/>
  <c r="A834" i="14"/>
  <c r="A823" i="14"/>
  <c r="A822" i="14"/>
  <c r="A821" i="14"/>
  <c r="A816" i="14"/>
  <c r="A815" i="14"/>
  <c r="A814" i="14"/>
  <c r="I813" i="14"/>
  <c r="A813" i="14"/>
  <c r="A812" i="14"/>
  <c r="A811" i="14"/>
  <c r="A810" i="14"/>
  <c r="A809" i="14"/>
  <c r="A794" i="14"/>
  <c r="A788" i="14"/>
  <c r="I787" i="14"/>
  <c r="I779" i="14"/>
  <c r="A778" i="14"/>
  <c r="A777" i="14"/>
  <c r="I776" i="14"/>
  <c r="A776" i="14"/>
  <c r="A775" i="14"/>
  <c r="A774" i="14"/>
  <c r="I773" i="14"/>
  <c r="A773" i="14"/>
  <c r="A772" i="14"/>
  <c r="A771" i="14"/>
  <c r="I770" i="14"/>
  <c r="A770" i="14"/>
  <c r="A769" i="14"/>
  <c r="A768" i="14"/>
  <c r="I767" i="14"/>
  <c r="A767" i="14"/>
  <c r="A766" i="14"/>
  <c r="I765" i="14"/>
  <c r="A765" i="14"/>
  <c r="A764" i="14"/>
  <c r="I763" i="14"/>
  <c r="A763" i="14"/>
  <c r="A762" i="14"/>
  <c r="A761" i="14"/>
  <c r="I760" i="14"/>
  <c r="A760" i="14"/>
  <c r="A759" i="14"/>
  <c r="I758" i="14"/>
  <c r="A758" i="14"/>
  <c r="A757" i="14"/>
  <c r="A756" i="14"/>
  <c r="I755" i="14"/>
  <c r="A755" i="14"/>
  <c r="A754" i="14"/>
  <c r="A753" i="14"/>
  <c r="A752" i="14"/>
  <c r="A751" i="14"/>
  <c r="A750" i="14"/>
  <c r="A749" i="14"/>
  <c r="A748" i="14"/>
  <c r="A744" i="14"/>
  <c r="A743" i="14"/>
  <c r="A742" i="14"/>
  <c r="A741" i="14"/>
  <c r="A740" i="14"/>
  <c r="A739" i="14"/>
  <c r="A735" i="14"/>
  <c r="A734" i="14"/>
  <c r="A733" i="14"/>
  <c r="A732" i="14"/>
  <c r="A731" i="14"/>
  <c r="A730" i="14"/>
  <c r="A729" i="14"/>
  <c r="A728" i="14"/>
  <c r="A722" i="14"/>
  <c r="A721" i="14"/>
  <c r="A720" i="14"/>
  <c r="A715" i="14"/>
  <c r="A714" i="14"/>
  <c r="A711" i="14"/>
  <c r="A710" i="14"/>
  <c r="A709" i="14"/>
  <c r="A708" i="14"/>
  <c r="A707" i="14"/>
  <c r="A706" i="14"/>
  <c r="A705" i="14"/>
  <c r="A702" i="14"/>
  <c r="A701" i="14"/>
  <c r="A700" i="14"/>
  <c r="A699" i="14"/>
  <c r="A698" i="14"/>
  <c r="A697" i="14"/>
  <c r="A692" i="14"/>
  <c r="A691" i="14"/>
  <c r="A689" i="14"/>
  <c r="A688" i="14"/>
  <c r="A687" i="14"/>
  <c r="A686" i="14"/>
  <c r="I685" i="14"/>
  <c r="A685" i="14"/>
  <c r="A684" i="14"/>
  <c r="A683" i="14"/>
  <c r="I682" i="14"/>
  <c r="A682" i="14"/>
  <c r="A681" i="14"/>
  <c r="A679" i="14"/>
  <c r="A678" i="14"/>
  <c r="I677" i="14"/>
  <c r="A677" i="14"/>
  <c r="A676" i="14"/>
  <c r="I675" i="14"/>
  <c r="A675" i="14"/>
  <c r="A674" i="14"/>
  <c r="I673" i="14"/>
  <c r="A673" i="14"/>
  <c r="A672" i="14"/>
  <c r="A666" i="14"/>
  <c r="A665" i="14"/>
  <c r="A664" i="14"/>
  <c r="A657" i="14"/>
  <c r="A656" i="14"/>
  <c r="A655" i="14"/>
  <c r="A653" i="14"/>
  <c r="A652" i="14"/>
  <c r="A651" i="14"/>
  <c r="A642" i="14"/>
  <c r="A641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I627" i="14"/>
  <c r="A627" i="14"/>
  <c r="A626" i="14"/>
  <c r="A625" i="14"/>
  <c r="A624" i="14"/>
  <c r="A623" i="14"/>
  <c r="I622" i="14"/>
  <c r="A622" i="14"/>
  <c r="A621" i="14"/>
  <c r="I620" i="14"/>
  <c r="A620" i="14"/>
  <c r="A619" i="14"/>
  <c r="A618" i="14"/>
  <c r="A617" i="14"/>
  <c r="I616" i="14"/>
  <c r="A616" i="14"/>
  <c r="A615" i="14"/>
  <c r="A614" i="14"/>
  <c r="A613" i="14"/>
  <c r="A612" i="14"/>
  <c r="A611" i="14"/>
  <c r="A605" i="14"/>
  <c r="A604" i="14"/>
  <c r="A603" i="14"/>
  <c r="A602" i="14"/>
  <c r="A601" i="14"/>
  <c r="I600" i="14"/>
  <c r="A600" i="14"/>
  <c r="A599" i="14"/>
  <c r="I598" i="14"/>
  <c r="A598" i="14"/>
  <c r="A597" i="14"/>
  <c r="A596" i="14"/>
  <c r="A595" i="14"/>
  <c r="A594" i="14"/>
  <c r="A593" i="14"/>
  <c r="I592" i="14"/>
  <c r="A592" i="14"/>
  <c r="I591" i="14"/>
  <c r="F31" i="16" s="1"/>
  <c r="A591" i="14"/>
  <c r="A590" i="14"/>
  <c r="A589" i="14"/>
  <c r="A588" i="14"/>
  <c r="I587" i="14"/>
  <c r="A587" i="14"/>
  <c r="A586" i="14"/>
  <c r="I585" i="14"/>
  <c r="A585" i="14"/>
  <c r="A584" i="14"/>
  <c r="A583" i="14"/>
  <c r="A580" i="14"/>
  <c r="A579" i="14"/>
  <c r="A578" i="14"/>
  <c r="A577" i="14"/>
  <c r="A576" i="14"/>
  <c r="A575" i="14"/>
  <c r="A574" i="14"/>
  <c r="A573" i="14"/>
  <c r="A569" i="14"/>
  <c r="A568" i="14"/>
  <c r="I567" i="14"/>
  <c r="A567" i="14"/>
  <c r="A566" i="14"/>
  <c r="I565" i="14"/>
  <c r="A565" i="14"/>
  <c r="I560" i="14"/>
  <c r="A559" i="14"/>
  <c r="A558" i="14"/>
  <c r="A557" i="14"/>
  <c r="A556" i="14"/>
  <c r="A555" i="14"/>
  <c r="A549" i="14"/>
  <c r="A520" i="14"/>
  <c r="A519" i="14"/>
  <c r="A518" i="14"/>
  <c r="A517" i="14"/>
  <c r="I516" i="14"/>
  <c r="A516" i="14"/>
  <c r="A515" i="14"/>
  <c r="A514" i="14"/>
  <c r="A513" i="14"/>
  <c r="A512" i="14"/>
  <c r="A511" i="14"/>
  <c r="A510" i="14"/>
  <c r="A509" i="14"/>
  <c r="A498" i="14"/>
  <c r="I497" i="14"/>
  <c r="A497" i="14"/>
  <c r="A496" i="14"/>
  <c r="I495" i="14"/>
  <c r="A495" i="14"/>
  <c r="A494" i="14"/>
  <c r="I493" i="14"/>
  <c r="A493" i="14"/>
  <c r="A492" i="14"/>
  <c r="I491" i="14"/>
  <c r="A491" i="14"/>
  <c r="A490" i="14"/>
  <c r="I489" i="14"/>
  <c r="A489" i="14"/>
  <c r="A488" i="14"/>
  <c r="A487" i="14"/>
  <c r="A486" i="14"/>
  <c r="A485" i="14"/>
  <c r="A484" i="14"/>
  <c r="A483" i="14"/>
  <c r="A482" i="14"/>
  <c r="A477" i="14"/>
  <c r="A476" i="14"/>
  <c r="A475" i="14"/>
  <c r="A474" i="14"/>
  <c r="A473" i="14"/>
  <c r="A467" i="14"/>
  <c r="I466" i="14"/>
  <c r="A466" i="14"/>
  <c r="A463" i="14"/>
  <c r="I462" i="14"/>
  <c r="A462" i="14"/>
  <c r="A455" i="14"/>
  <c r="A454" i="14"/>
  <c r="A453" i="14"/>
  <c r="A452" i="14"/>
  <c r="A451" i="14"/>
  <c r="A450" i="14"/>
  <c r="A443" i="14"/>
  <c r="A434" i="14"/>
  <c r="A433" i="14"/>
  <c r="A432" i="14"/>
  <c r="A431" i="14"/>
  <c r="A428" i="14"/>
  <c r="A427" i="14"/>
  <c r="A426" i="14"/>
  <c r="A425" i="14"/>
  <c r="A418" i="14"/>
  <c r="I417" i="14"/>
  <c r="A417" i="14"/>
  <c r="A416" i="14"/>
  <c r="I415" i="14"/>
  <c r="A415" i="14"/>
  <c r="A414" i="14"/>
  <c r="I413" i="14"/>
  <c r="A413" i="14"/>
  <c r="A410" i="14"/>
  <c r="A409" i="14"/>
  <c r="A408" i="14"/>
  <c r="A407" i="14"/>
  <c r="A406" i="14"/>
  <c r="A405" i="14"/>
  <c r="A404" i="14"/>
  <c r="A403" i="14"/>
  <c r="A402" i="14"/>
  <c r="A401" i="14"/>
  <c r="A400" i="14"/>
  <c r="A392" i="14"/>
  <c r="A391" i="14"/>
  <c r="A350" i="14"/>
  <c r="A349" i="14"/>
  <c r="A347" i="14"/>
  <c r="A346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8" i="14" l="1"/>
  <c r="I487" i="14" s="1"/>
  <c r="I252" i="15"/>
  <c r="I247" i="15" s="1"/>
  <c r="I246" i="15" s="1"/>
  <c r="I245" i="15" s="1"/>
  <c r="I244" i="15" s="1"/>
  <c r="H13" i="6"/>
  <c r="E21" i="7"/>
  <c r="E11" i="5"/>
  <c r="C20" i="7"/>
  <c r="I453" i="14"/>
  <c r="I1006" i="14"/>
  <c r="I1003" i="14" s="1"/>
  <c r="I630" i="14"/>
  <c r="I1119" i="14"/>
  <c r="I831" i="14"/>
  <c r="I558" i="14"/>
  <c r="I557" i="14" s="1"/>
  <c r="I835" i="14"/>
  <c r="I834" i="14" s="1"/>
  <c r="I838" i="14"/>
  <c r="D52" i="16"/>
  <c r="I1027" i="14"/>
  <c r="I1026" i="14" s="1"/>
  <c r="F22" i="16" s="1"/>
  <c r="I408" i="14"/>
  <c r="I407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9" i="14"/>
  <c r="I958" i="14" s="1"/>
  <c r="I821" i="14"/>
  <c r="I112" i="14"/>
  <c r="I84" i="14" s="1"/>
  <c r="I797" i="14"/>
  <c r="I794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5" i="14"/>
  <c r="I410" i="15"/>
  <c r="I396" i="15" s="1"/>
  <c r="L410" i="15"/>
  <c r="L396" i="15" s="1"/>
  <c r="L395" i="15" s="1"/>
  <c r="L394" i="15" s="1"/>
  <c r="L393" i="15" s="1"/>
  <c r="I752" i="14"/>
  <c r="I751" i="14" s="1"/>
  <c r="I911" i="14"/>
  <c r="E16" i="6"/>
  <c r="C21" i="6"/>
  <c r="E21" i="6" s="1"/>
  <c r="E22" i="6"/>
  <c r="E13" i="6"/>
  <c r="I853" i="14"/>
  <c r="I854" i="14"/>
  <c r="F21" i="6"/>
  <c r="H21" i="6" s="1"/>
  <c r="H22" i="6"/>
  <c r="F15" i="6"/>
  <c r="H15" i="6" s="1"/>
  <c r="H16" i="6"/>
  <c r="I886" i="14"/>
  <c r="I887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401" i="14"/>
  <c r="I402" i="14"/>
  <c r="I518" i="14"/>
  <c r="I519" i="14"/>
  <c r="I603" i="14"/>
  <c r="I602" i="14" s="1"/>
  <c r="F33" i="16" s="1"/>
  <c r="I641" i="14"/>
  <c r="I640" i="14" s="1"/>
  <c r="I655" i="14"/>
  <c r="I656" i="14"/>
  <c r="I705" i="14"/>
  <c r="I706" i="14"/>
  <c r="I978" i="14"/>
  <c r="I977" i="14" s="1"/>
  <c r="I1082" i="14"/>
  <c r="I36" i="14"/>
  <c r="D101" i="16"/>
  <c r="I147" i="14"/>
  <c r="F101" i="16" s="1"/>
  <c r="I483" i="14"/>
  <c r="D43" i="16"/>
  <c r="F43" i="16"/>
  <c r="I1044" i="14"/>
  <c r="I1087" i="14"/>
  <c r="F121" i="16"/>
  <c r="I984" i="14"/>
  <c r="C52" i="3"/>
  <c r="I54" i="14"/>
  <c r="I433" i="14"/>
  <c r="I39" i="14"/>
  <c r="I40" i="14"/>
  <c r="I404" i="14"/>
  <c r="I405" i="14"/>
  <c r="I907" i="14"/>
  <c r="I906" i="14" s="1"/>
  <c r="I905" i="14" s="1"/>
  <c r="I12" i="14"/>
  <c r="I13" i="14"/>
  <c r="I27" i="14"/>
  <c r="I145" i="14"/>
  <c r="I579" i="14"/>
  <c r="I578" i="14" s="1"/>
  <c r="I635" i="14"/>
  <c r="I636" i="14"/>
  <c r="I701" i="14"/>
  <c r="I700" i="14" s="1"/>
  <c r="I1054" i="14"/>
  <c r="D119" i="16"/>
  <c r="I1099" i="14"/>
  <c r="I510" i="14"/>
  <c r="I511" i="14"/>
  <c r="I572" i="14"/>
  <c r="F36" i="16" s="1"/>
  <c r="I573" i="14"/>
  <c r="I476" i="14"/>
  <c r="I989" i="14"/>
  <c r="I988" i="14" s="1"/>
  <c r="F56" i="16" s="1"/>
  <c r="I610" i="14"/>
  <c r="I611" i="14"/>
  <c r="I1064" i="14"/>
  <c r="I51" i="14"/>
  <c r="I427" i="14"/>
  <c r="I889" i="14"/>
  <c r="I651" i="14"/>
  <c r="I652" i="14"/>
  <c r="I721" i="14"/>
  <c r="I731" i="14"/>
  <c r="I733" i="14"/>
  <c r="I732" i="14" s="1"/>
  <c r="I743" i="14"/>
  <c r="C23" i="5"/>
  <c r="E23" i="5" s="1"/>
  <c r="E24" i="5"/>
  <c r="L38" i="1"/>
  <c r="L40" i="1"/>
  <c r="F147" i="16"/>
  <c r="E73" i="21"/>
  <c r="E146" i="21"/>
  <c r="E36" i="21"/>
  <c r="D25" i="16"/>
  <c r="D95" i="21"/>
  <c r="I1113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32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7" i="14"/>
  <c r="F52" i="16" s="1"/>
  <c r="I910" i="14"/>
  <c r="I909" i="14" s="1"/>
  <c r="H10" i="6"/>
  <c r="G160" i="21"/>
  <c r="G33" i="21"/>
  <c r="I720" i="14"/>
  <c r="F44" i="16" s="1"/>
  <c r="D44" i="16"/>
  <c r="I615" i="14"/>
  <c r="F37" i="16" s="1"/>
  <c r="I1043" i="14"/>
  <c r="I1042" i="14" s="1"/>
  <c r="I888" i="14"/>
  <c r="D29" i="16"/>
  <c r="I482" i="14"/>
  <c r="I812" i="14"/>
  <c r="D59" i="16"/>
  <c r="I318" i="15"/>
  <c r="I672" i="14"/>
  <c r="I666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10" i="14"/>
  <c r="D70" i="21"/>
  <c r="D161" i="21"/>
  <c r="D65" i="16"/>
  <c r="D35" i="16"/>
  <c r="I400" i="14"/>
  <c r="I392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41" i="14"/>
  <c r="I1112" i="14"/>
  <c r="I1111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8" i="14"/>
  <c r="D64" i="16"/>
  <c r="D78" i="16"/>
  <c r="F78" i="16"/>
  <c r="D32" i="16"/>
  <c r="I597" i="14"/>
  <c r="F110" i="16"/>
  <c r="I982" i="14"/>
  <c r="I983" i="14"/>
  <c r="I1086" i="14"/>
  <c r="F57" i="16" s="1"/>
  <c r="I976" i="14"/>
  <c r="D67" i="16"/>
  <c r="F67" i="16"/>
  <c r="I515" i="14"/>
  <c r="I634" i="14"/>
  <c r="I1052" i="14"/>
  <c r="I1053" i="14"/>
  <c r="D100" i="16"/>
  <c r="I144" i="14"/>
  <c r="F100" i="16" s="1"/>
  <c r="I38" i="14"/>
  <c r="I934" i="14"/>
  <c r="I933" i="14" s="1"/>
  <c r="E52" i="3"/>
  <c r="D63" i="16"/>
  <c r="F63" i="16"/>
  <c r="I1081" i="14"/>
  <c r="I638" i="14"/>
  <c r="I639" i="14"/>
  <c r="C20" i="3"/>
  <c r="I30" i="14"/>
  <c r="F21" i="16"/>
  <c r="I509" i="14"/>
  <c r="I1066" i="14"/>
  <c r="D11" i="16"/>
  <c r="F12" i="16"/>
  <c r="I452" i="14"/>
  <c r="F29" i="16"/>
  <c r="D95" i="16"/>
  <c r="F95" i="16"/>
  <c r="I109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5" i="14"/>
  <c r="I426" i="14"/>
  <c r="I474" i="14"/>
  <c r="I475" i="14"/>
  <c r="D62" i="16"/>
  <c r="F62" i="16"/>
  <c r="C60" i="3"/>
  <c r="F30" i="16"/>
  <c r="I928" i="14"/>
  <c r="D23" i="16"/>
  <c r="I1067" i="14"/>
  <c r="F23" i="16" s="1"/>
  <c r="D97" i="16"/>
  <c r="F97" i="16"/>
  <c r="D66" i="16"/>
  <c r="D105" i="16"/>
  <c r="D121" i="16"/>
  <c r="I584" i="14"/>
  <c r="F35" i="16"/>
  <c r="I742" i="14"/>
  <c r="I1062" i="14"/>
  <c r="I1063" i="14"/>
  <c r="I987" i="14"/>
  <c r="I699" i="14"/>
  <c r="I26" i="14"/>
  <c r="F120" i="16"/>
  <c r="L11" i="1"/>
  <c r="L24" i="1"/>
  <c r="L46" i="1"/>
  <c r="L47" i="1"/>
  <c r="D50" i="16"/>
  <c r="E161" i="21"/>
  <c r="I347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11" i="14"/>
  <c r="I160" i="21"/>
  <c r="F160" i="21"/>
  <c r="F33" i="21"/>
  <c r="I297" i="15"/>
  <c r="F34" i="16"/>
  <c r="D47" i="16"/>
  <c r="I553" i="15"/>
  <c r="I548" i="15" s="1"/>
  <c r="D10" i="21"/>
  <c r="C62" i="3"/>
  <c r="I1002" i="14"/>
  <c r="I992" i="14" s="1"/>
  <c r="F49" i="16"/>
  <c r="I741" i="14"/>
  <c r="I740" i="14" s="1"/>
  <c r="I225" i="14"/>
  <c r="F96" i="16" s="1"/>
  <c r="D40" i="16"/>
  <c r="F11" i="4"/>
  <c r="I11" i="14"/>
  <c r="L553" i="15"/>
  <c r="L548" i="15" s="1"/>
  <c r="I847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50" i="14"/>
  <c r="I749" i="14" s="1"/>
  <c r="I748" i="14" s="1"/>
  <c r="F114" i="16"/>
  <c r="I60" i="21"/>
  <c r="I61" i="21"/>
  <c r="I59" i="21"/>
  <c r="F57" i="21"/>
  <c r="D57" i="21"/>
  <c r="F60" i="21"/>
  <c r="C11" i="4"/>
  <c r="I451" i="14"/>
  <c r="F32" i="16"/>
  <c r="I590" i="14"/>
  <c r="I589" i="14" s="1"/>
  <c r="I709" i="14"/>
  <c r="I697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5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84" i="14"/>
  <c r="D107" i="16"/>
  <c r="F107" i="16"/>
  <c r="C14" i="3"/>
  <c r="I25" i="14"/>
  <c r="E14" i="3" s="1"/>
  <c r="I931" i="14"/>
  <c r="I431" i="14"/>
  <c r="E60" i="3" s="1"/>
  <c r="C97" i="3"/>
  <c r="I730" i="14"/>
  <c r="C109" i="3"/>
  <c r="E111" i="3"/>
  <c r="E109" i="3" s="1"/>
  <c r="D54" i="16"/>
  <c r="D120" i="16"/>
  <c r="I956" i="14"/>
  <c r="I957" i="14"/>
  <c r="F11" i="16" s="1"/>
  <c r="I29" i="14"/>
  <c r="E20" i="3" s="1"/>
  <c r="F60" i="16"/>
  <c r="D80" i="16"/>
  <c r="F80" i="16"/>
  <c r="I846" i="14"/>
  <c r="I986" i="14"/>
  <c r="F58" i="16" s="1"/>
  <c r="D58" i="16"/>
  <c r="D17" i="16"/>
  <c r="I583" i="14"/>
  <c r="F17" i="16" s="1"/>
  <c r="I1097" i="14"/>
  <c r="F118" i="16" s="1"/>
  <c r="D118" i="16"/>
  <c r="I1084" i="14"/>
  <c r="I1085" i="14"/>
  <c r="I927" i="14"/>
  <c r="E62" i="3" s="1"/>
  <c r="C117" i="3"/>
  <c r="E118" i="3"/>
  <c r="E117" i="3" s="1"/>
  <c r="D28" i="16"/>
  <c r="I556" i="14"/>
  <c r="I577" i="14"/>
  <c r="F14" i="16" s="1"/>
  <c r="D14" i="16"/>
  <c r="I1079" i="14"/>
  <c r="I1080" i="14"/>
  <c r="F40" i="16" s="1"/>
  <c r="I513" i="14"/>
  <c r="I514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73" i="14"/>
  <c r="F82" i="4"/>
  <c r="F81" i="4" s="1"/>
  <c r="E74" i="4"/>
  <c r="H74" i="4"/>
  <c r="E74" i="3"/>
  <c r="I391" i="14"/>
  <c r="I224" i="14"/>
  <c r="F92" i="16" s="1"/>
  <c r="F104" i="16"/>
  <c r="H19" i="6"/>
  <c r="E11" i="4"/>
  <c r="H11" i="4"/>
  <c r="E11" i="3"/>
  <c r="F112" i="16"/>
  <c r="I876" i="14"/>
  <c r="I868" i="14" s="1"/>
  <c r="E13" i="3"/>
  <c r="I53" i="21"/>
  <c r="I991" i="14"/>
  <c r="G53" i="21"/>
  <c r="H15" i="4"/>
  <c r="I489" i="15"/>
  <c r="L489" i="15"/>
  <c r="F99" i="4"/>
  <c r="I317" i="15"/>
  <c r="C102" i="3"/>
  <c r="I486" i="14"/>
  <c r="C73" i="3"/>
  <c r="I576" i="14"/>
  <c r="I575" i="14" s="1"/>
  <c r="F10" i="21"/>
  <c r="I739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7" i="14"/>
  <c r="C99" i="3"/>
  <c r="C65" i="3"/>
  <c r="I346" i="14"/>
  <c r="E70" i="3" s="1"/>
  <c r="E65" i="3" s="1"/>
  <c r="I665" i="14"/>
  <c r="I729" i="14"/>
  <c r="E97" i="3" s="1"/>
  <c r="I555" i="14"/>
  <c r="I549" i="14" s="1"/>
  <c r="E61" i="3"/>
  <c r="E58" i="3"/>
  <c r="I845" i="14"/>
  <c r="I844" i="14" s="1"/>
  <c r="I810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5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50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4" i="14"/>
  <c r="I1056" i="14"/>
  <c r="E85" i="3" s="1"/>
  <c r="C59" i="3"/>
  <c r="E102" i="3"/>
  <c r="I728" i="14"/>
  <c r="I809" i="14"/>
  <c r="E99" i="3"/>
  <c r="E82" i="3"/>
  <c r="I485" i="14"/>
  <c r="E73" i="3" s="1"/>
  <c r="C46" i="4"/>
  <c r="E81" i="3" l="1"/>
  <c r="I913" i="14"/>
  <c r="I443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<sst xmlns="http://schemas.openxmlformats.org/spreadsheetml/2006/main" count="5644" uniqueCount="1958">
  <si>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</si>
  <si>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</si>
  <si>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</si>
  <si>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</si>
  <si>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</si>
  <si>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</si>
  <si>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</si>
  <si>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</si>
  <si>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</si>
  <si>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</si>
  <si>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</si>
  <si>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</si>
  <si>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</si>
  <si>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</si>
  <si>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</si>
  <si>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</si>
  <si>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</si>
  <si>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</si>
  <si>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</si>
  <si>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</si>
  <si>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</si>
  <si>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</si>
  <si>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</si>
  <si>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</si>
  <si>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</si>
  <si>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</si>
  <si>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</si>
  <si>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</si>
  <si>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</si>
  <si>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</si>
  <si>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</si>
  <si>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</si>
  <si>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</si>
  <si>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</si>
  <si>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</si>
  <si>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</si>
  <si>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</si>
  <si>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</si>
  <si>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</si>
  <si>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</si>
  <si>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</si>
  <si>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</si>
  <si>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</si>
  <si>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</si>
  <si>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</si>
  <si>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</si>
  <si>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</si>
  <si>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</si>
  <si>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</si>
  <si>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</si>
  <si>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</si>
  <si>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</si>
  <si>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</si>
  <si>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</si>
  <si>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</si>
  <si>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</si>
  <si>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</si>
  <si>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</si>
  <si>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</si>
  <si>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</si>
  <si>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</si>
  <si>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</si>
  <si>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</si>
  <si>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</si>
  <si>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</si>
  <si>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</si>
  <si>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</si>
  <si>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</si>
  <si>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</si>
  <si>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</si>
  <si>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</si>
  <si>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</si>
  <si>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</si>
  <si>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</si>
  <si>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</si>
  <si>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</si>
  <si>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</si>
  <si>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</si>
  <si>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</si>
  <si>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</si>
  <si>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</si>
  <si>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</si>
  <si>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</si>
  <si>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</si>
  <si>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</si>
  <si>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</si>
  <si>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</si>
  <si>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</si>
  <si>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</si>
  <si>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</si>
  <si>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</si>
  <si>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</si>
  <si>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</si>
  <si>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</si>
  <si>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</si>
  <si>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</si>
  <si>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</si>
  <si>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</si>
  <si>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</si>
  <si>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</si>
  <si>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</si>
  <si>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</si>
  <si>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</si>
  <si>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</si>
  <si>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</si>
  <si>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</si>
  <si>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</si>
  <si>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</si>
  <si>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</si>
  <si>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</si>
  <si>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</si>
  <si>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</si>
  <si>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</si>
  <si>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</si>
  <si>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</si>
  <si>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</si>
  <si>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</si>
  <si>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</si>
  <si>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</si>
  <si>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</si>
  <si>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</si>
  <si>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</si>
  <si>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</si>
  <si>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</si>
  <si>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</si>
  <si>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</si>
  <si>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</si>
  <si>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</si>
  <si>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</si>
  <si>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</si>
  <si>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</si>
  <si>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</si>
  <si>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</si>
  <si>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</si>
  <si>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</si>
  <si>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</si>
  <si>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</si>
  <si>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</si>
  <si>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</si>
  <si>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</si>
  <si>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</si>
  <si>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</si>
  <si>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</si>
  <si>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</si>
  <si>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</si>
  <si>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</si>
  <si>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</si>
  <si>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</si>
  <si>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</si>
  <si>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</si>
  <si>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</si>
  <si>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</si>
  <si>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</si>
  <si>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</si>
  <si>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</si>
  <si>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</si>
  <si>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</si>
  <si>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</si>
  <si>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</si>
  <si>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</si>
  <si>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</si>
  <si>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</si>
  <si>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</si>
  <si>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</si>
  <si>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</si>
  <si>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</si>
  <si>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</si>
  <si>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</si>
  <si>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</si>
  <si>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</si>
  <si>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</si>
  <si>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</si>
  <si>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</si>
  <si>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</si>
  <si>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</si>
  <si>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</si>
  <si>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</si>
  <si>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</si>
  <si>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</si>
  <si>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</si>
  <si>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</si>
  <si>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</si>
  <si>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</si>
  <si>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</si>
  <si>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</si>
  <si>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</si>
  <si>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</si>
  <si>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</si>
  <si>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</si>
  <si>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</si>
  <si>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</si>
  <si>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</si>
  <si>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</si>
  <si>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</si>
  <si>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</si>
  <si>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</si>
  <si>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</si>
  <si>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</si>
  <si>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</si>
  <si>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</si>
  <si>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</si>
  <si>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</si>
  <si>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</si>
  <si>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</si>
  <si>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</si>
  <si>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</si>
  <si>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</si>
  <si>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</si>
  <si>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</si>
  <si>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</si>
  <si>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</si>
  <si>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</si>
  <si>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</si>
  <si>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</si>
  <si>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</si>
  <si>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</si>
  <si>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</si>
  <si>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</si>
  <si>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</si>
  <si>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</si>
  <si>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</si>
  <si>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</si>
  <si>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</si>
  <si>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</si>
  <si>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</si>
  <si>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</si>
  <si>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</si>
  <si>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</si>
  <si>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</si>
  <si>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</si>
  <si>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</si>
  <si>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</si>
  <si>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</si>
  <si>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</si>
  <si>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</si>
  <si>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</si>
  <si>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</si>
  <si>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</si>
  <si>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</si>
  <si>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</si>
  <si>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</si>
  <si>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</si>
  <si>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</si>
  <si>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</si>
  <si>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</si>
  <si>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</si>
  <si>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</si>
  <si>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</si>
  <si>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</si>
  <si>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</si>
  <si>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</si>
  <si>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</si>
  <si>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</si>
  <si>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</si>
  <si>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</si>
  <si>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</si>
  <si>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</si>
  <si>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</si>
  <si>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</si>
  <si>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</si>
  <si>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</si>
  <si>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</si>
  <si>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</si>
  <si>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</si>
  <si>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</si>
  <si>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</si>
  <si>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</si>
  <si>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</si>
  <si>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</si>
  <si>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</si>
  <si>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</si>
  <si>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</si>
  <si>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</si>
  <si>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</si>
  <si>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</si>
  <si>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</si>
  <si>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</si>
  <si>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</si>
  <si>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</si>
  <si>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</si>
  <si>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</si>
  <si>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</si>
  <si>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</si>
  <si>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</si>
  <si>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</si>
  <si>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</si>
  <si>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</si>
  <si>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</si>
  <si>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</si>
  <si>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</si>
  <si>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</si>
  <si>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</si>
  <si>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</si>
  <si>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</si>
  <si>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</si>
  <si>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</si>
  <si>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</si>
  <si>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</si>
  <si>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</si>
  <si>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</si>
  <si>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</si>
  <si>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</si>
  <si>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</si>
  <si>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</si>
  <si>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</si>
  <si>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</si>
  <si>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</si>
  <si>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</si>
  <si>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</si>
  <si>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</si>
  <si>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</si>
  <si>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</si>
  <si>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</si>
  <si>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</si>
  <si>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</si>
  <si>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</si>
  <si>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</si>
  <si>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</si>
  <si>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</si>
  <si>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</si>
  <si>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</si>
  <si>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</si>
  <si>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</si>
  <si>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</si>
  <si>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</si>
  <si>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</si>
  <si>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</si>
  <si>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</si>
  <si>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</si>
  <si>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</si>
  <si>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</si>
  <si>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</si>
  <si>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</si>
  <si>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</si>
  <si>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</si>
  <si>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</si>
  <si>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</si>
  <si>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</si>
  <si>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</si>
  <si>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</si>
  <si>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</si>
  <si>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</si>
  <si>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</si>
  <si>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</si>
  <si>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</si>
  <si>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</si>
  <si>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</si>
  <si>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</si>
  <si>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</si>
  <si>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</si>
  <si>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</si>
  <si>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</si>
  <si>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</si>
  <si>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</si>
  <si>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</si>
  <si>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</si>
  <si>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</si>
  <si>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</si>
  <si>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</si>
  <si>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</si>
  <si>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</si>
  <si>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</si>
  <si>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</si>
  <si>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</si>
  <si>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</si>
  <si>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</si>
  <si>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</si>
  <si>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</si>
  <si>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</si>
  <si>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</si>
  <si>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</si>
  <si>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</si>
  <si>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</si>
  <si>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</si>
  <si>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</si>
  <si>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</si>
  <si>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</si>
  <si>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</si>
  <si>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</si>
  <si>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</si>
  <si>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</si>
  <si>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</si>
  <si>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</si>
  <si>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</si>
  <si>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</si>
  <si>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</si>
  <si>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</si>
  <si>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</si>
  <si>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</si>
  <si>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</si>
  <si>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</si>
  <si>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</si>
  <si>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</si>
  <si>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</si>
  <si>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</si>
  <si>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</si>
  <si>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</si>
  <si>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</si>
  <si>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</si>
  <si>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</si>
  <si>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</si>
  <si>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</si>
  <si>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</si>
  <si>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</si>
  <si>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</si>
  <si>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</si>
  <si>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</si>
  <si>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</si>
  <si>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</si>
  <si>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</si>
  <si>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</si>
  <si>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</si>
  <si>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</si>
  <si>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</si>
  <si>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</si>
  <si>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</si>
  <si>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</si>
  <si>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</si>
  <si>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</si>
  <si>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</si>
  <si>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</si>
  <si>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</si>
  <si>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</si>
  <si>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</si>
  <si>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</si>
  <si>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</si>
  <si>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</si>
  <si>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</si>
  <si>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</si>
  <si>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</si>
  <si>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</si>
  <si>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</si>
  <si>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</si>
  <si>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</si>
  <si>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</si>
  <si>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</si>
  <si>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</si>
  <si>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</si>
  <si>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</si>
  <si>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</si>
  <si>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</si>
  <si>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</si>
  <si>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</si>
  <si>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</si>
  <si>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</si>
  <si>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</si>
  <si>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</si>
  <si>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</si>
  <si>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</si>
  <si>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</si>
  <si>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</si>
  <si>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</si>
  <si>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</si>
  <si>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</si>
  <si>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</si>
  <si>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</si>
  <si>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</si>
  <si>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</si>
  <si>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</si>
  <si>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</si>
  <si>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</si>
  <si>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</si>
  <si>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</si>
  <si>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</si>
  <si>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</si>
  <si>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</si>
  <si>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</si>
  <si>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</si>
  <si>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</si>
  <si>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</si>
  <si>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</si>
  <si>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</si>
  <si>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</si>
  <si>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</si>
  <si>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</si>
  <si>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</si>
  <si>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</si>
  <si>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</si>
  <si>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</si>
  <si>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</si>
  <si>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</si>
  <si>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</si>
  <si>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</si>
  <si>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</si>
  <si>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</si>
  <si>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</si>
  <si>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</si>
  <si>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</si>
  <si>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</si>
  <si>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</si>
  <si>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</si>
  <si>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</si>
  <si>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</si>
  <si>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</si>
  <si>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</si>
  <si>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</si>
  <si>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</si>
  <si>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</si>
  <si>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</si>
  <si>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</si>
  <si>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</si>
  <si>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</si>
  <si>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</si>
  <si>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</si>
  <si>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</si>
  <si>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</si>
  <si>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</si>
  <si>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</si>
  <si>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</si>
  <si>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</si>
  <si>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</si>
  <si>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</si>
  <si>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</si>
  <si>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</si>
  <si>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</si>
  <si>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</si>
  <si>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</si>
  <si>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</si>
  <si>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</si>
  <si>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</si>
  <si>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</si>
  <si>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</si>
  <si>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</si>
  <si>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</si>
  <si>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</si>
  <si>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</si>
  <si>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</si>
  <si>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</si>
  <si>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</si>
  <si>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</si>
  <si>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</si>
  <si>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</si>
  <si>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</si>
  <si>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</si>
  <si>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</si>
  <si>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</si>
  <si>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</si>
  <si>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</si>
  <si>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</si>
  <si>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</si>
  <si>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</si>
  <si>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</si>
  <si>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</si>
  <si>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</si>
  <si>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</si>
  <si>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</si>
  <si>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</si>
  <si>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</si>
  <si>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</si>
  <si>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</si>
  <si>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</si>
  <si>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</si>
  <si>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</si>
  <si>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</si>
  <si>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</si>
  <si>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</si>
  <si>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</si>
  <si>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</si>
  <si>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</si>
  <si>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</si>
  <si>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</si>
  <si>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</si>
  <si>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</si>
  <si>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</si>
  <si>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</si>
  <si>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</si>
  <si>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</si>
  <si>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</si>
  <si>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</si>
  <si>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</si>
  <si>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</si>
  <si>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</si>
  <si>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</si>
  <si>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</si>
  <si>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</si>
  <si>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</si>
  <si>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</si>
  <si>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</si>
  <si>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</si>
  <si>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</si>
  <si>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</si>
  <si>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</si>
  <si>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</si>
  <si>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</si>
  <si>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</si>
  <si>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</si>
  <si>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</si>
  <si>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</si>
  <si>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</si>
  <si>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</si>
  <si>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</si>
  <si>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</si>
  <si>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</si>
  <si>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</si>
  <si>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</si>
  <si>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</si>
  <si>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</si>
  <si>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</si>
  <si>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</si>
  <si>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</si>
  <si>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</si>
  <si>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</si>
  <si>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</si>
  <si>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</si>
  <si>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</si>
  <si>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</si>
  <si>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</si>
  <si>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</si>
  <si>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</si>
  <si>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</si>
  <si>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</si>
  <si>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</si>
  <si>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</si>
  <si>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</si>
  <si>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</si>
  <si>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</si>
  <si>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</si>
  <si>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</si>
  <si>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</si>
  <si>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</si>
  <si>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</si>
  <si>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</si>
  <si>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</si>
  <si>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</si>
  <si>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</si>
  <si>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</si>
  <si>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</si>
  <si>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</si>
  <si>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</si>
  <si>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</si>
  <si>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</si>
  <si>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</si>
  <si>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</si>
  <si>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</si>
  <si>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</si>
  <si>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</si>
  <si>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</si>
  <si>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</si>
  <si>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</si>
  <si>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</si>
  <si>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</si>
  <si>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</si>
  <si>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</si>
  <si>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</si>
  <si>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</si>
  <si>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</si>
  <si>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</si>
  <si>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</si>
  <si>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</si>
  <si>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</si>
  <si>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</si>
  <si>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</si>
  <si>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</si>
  <si>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</si>
  <si>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</si>
  <si>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</si>
  <si>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</si>
  <si>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</si>
  <si>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</si>
  <si>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</si>
  <si>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</si>
  <si>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</si>
  <si>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</si>
  <si>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</si>
  <si>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</si>
  <si>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</si>
  <si>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</si>
  <si>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</si>
  <si>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</si>
  <si>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</si>
  <si>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</si>
  <si>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</si>
  <si>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</si>
  <si>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</si>
  <si>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</si>
  <si>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</si>
  <si>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</si>
  <si>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</si>
  <si>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</si>
  <si>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</si>
  <si>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</si>
  <si>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</si>
  <si>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</si>
  <si>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</si>
  <si>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</si>
  <si>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</si>
  <si>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</si>
  <si>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</si>
  <si>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</si>
  <si>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</si>
  <si>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</si>
  <si>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</si>
  <si>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</si>
  <si>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</si>
  <si>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</si>
  <si>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</si>
  <si>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</si>
  <si>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</si>
  <si>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</si>
  <si>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</si>
  <si>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</si>
  <si>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</si>
  <si>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</si>
  <si>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</si>
  <si>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</si>
  <si>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</si>
  <si>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</si>
  <si>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</si>
  <si>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</si>
  <si>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</si>
  <si>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</si>
  <si>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</si>
  <si>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</si>
  <si>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</si>
  <si>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</si>
  <si>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</si>
  <si>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</si>
  <si>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</si>
  <si>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</si>
  <si>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</si>
  <si>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</si>
  <si>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</si>
  <si>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</si>
  <si>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</si>
  <si>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</si>
  <si>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</si>
  <si>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</si>
  <si>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</si>
  <si>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</si>
  <si>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</si>
  <si>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</si>
  <si>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</si>
  <si>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</si>
  <si>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</si>
  <si>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</si>
  <si>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</si>
  <si>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</si>
  <si>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</si>
  <si>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</si>
  <si>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</si>
  <si>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</si>
  <si>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</si>
  <si>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</si>
  <si>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</si>
  <si>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</si>
  <si>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</si>
  <si>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</si>
  <si>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</si>
  <si>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</si>
  <si>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</si>
  <si>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</si>
  <si>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</si>
  <si>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</si>
  <si>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</si>
  <si>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</si>
  <si>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</si>
  <si>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</si>
  <si>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</si>
  <si>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</si>
  <si>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</si>
  <si>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</si>
  <si>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</si>
  <si>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</si>
  <si>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</si>
  <si>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</si>
  <si>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</si>
  <si>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</si>
  <si>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</si>
  <si>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</si>
  <si>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</si>
  <si>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</si>
  <si>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</si>
  <si>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</si>
  <si>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</si>
  <si>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</si>
  <si>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</si>
  <si>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</si>
  <si>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</si>
  <si>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</si>
  <si>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</si>
  <si>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</si>
  <si>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</si>
  <si>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</si>
  <si>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</si>
  <si>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</si>
  <si>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</si>
  <si>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</si>
  <si>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</si>
  <si>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</si>
  <si>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</si>
  <si>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</si>
  <si>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</si>
  <si>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</si>
  <si>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</si>
  <si>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</si>
  <si>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</si>
  <si>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</si>
  <si>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</si>
  <si>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</si>
  <si>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</si>
  <si>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</si>
  <si>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</si>
  <si>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</si>
  <si>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</si>
  <si>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</si>
  <si>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</si>
  <si>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</si>
  <si>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</si>
  <si>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</si>
  <si>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</si>
  <si>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</si>
  <si>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</si>
  <si>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</si>
  <si>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</si>
  <si>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</si>
  <si>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</si>
  <si>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</si>
  <si>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</si>
  <si>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</si>
  <si>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</si>
  <si>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</si>
  <si>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</si>
  <si>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</si>
  <si>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</si>
  <si>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</si>
  <si>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</si>
  <si>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</si>
  <si>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</si>
  <si>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</si>
  <si>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</si>
  <si>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</si>
  <si>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</si>
  <si>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</si>
  <si>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</si>
  <si>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</si>
  <si>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</si>
  <si>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</si>
  <si>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</si>
  <si>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</si>
  <si>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</si>
  <si>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</si>
  <si>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</si>
  <si>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</si>
  <si>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</si>
  <si>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</si>
  <si>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</si>
  <si>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</si>
  <si>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</si>
  <si>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</si>
  <si>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</si>
  <si>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</si>
  <si>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</si>
  <si>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</si>
  <si>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</si>
  <si>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</si>
  <si>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</si>
  <si>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</si>
  <si>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</si>
  <si>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</si>
  <si>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</si>
  <si>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</si>
  <si>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</si>
  <si>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</si>
  <si>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</si>
  <si>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</si>
  <si>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</si>
  <si>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</si>
  <si>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</si>
  <si>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</si>
  <si>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</si>
  <si>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</si>
  <si>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</si>
  <si>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</si>
  <si>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</si>
  <si>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</si>
  <si>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</si>
  <si>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</si>
  <si>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</si>
  <si>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</si>
  <si>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</si>
  <si>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</si>
  <si>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</si>
  <si>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</si>
  <si>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</si>
  <si>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</si>
  <si>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</si>
  <si>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</si>
  <si>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</si>
  <si>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</si>
  <si>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</si>
  <si>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</si>
  <si>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</si>
  <si>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</si>
  <si>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</si>
  <si>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</si>
  <si>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</si>
  <si>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</si>
  <si>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</si>
  <si>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</si>
  <si>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</si>
  <si>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</si>
  <si>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</si>
  <si>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</si>
  <si>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</si>
  <si>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</si>
  <si>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</si>
  <si>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</si>
  <si>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</si>
  <si>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</si>
  <si>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</si>
  <si>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</si>
  <si>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</si>
  <si>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</si>
  <si>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</si>
  <si>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</si>
  <si>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</si>
  <si>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</si>
  <si>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</si>
  <si>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</si>
  <si>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</si>
  <si>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</si>
  <si>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</si>
  <si>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</si>
  <si>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</si>
  <si>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</si>
  <si>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</si>
  <si>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</si>
  <si>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</si>
  <si>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</si>
  <si>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</si>
  <si>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</si>
  <si>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</si>
  <si>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</si>
  <si>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</si>
  <si>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</si>
  <si>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</si>
  <si>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</si>
  <si>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</si>
  <si>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</si>
  <si>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</si>
  <si>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</si>
  <si>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</si>
  <si>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</si>
  <si>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</si>
  <si>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</si>
  <si>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</si>
  <si>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</si>
  <si>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</si>
  <si>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</si>
  <si>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</si>
  <si>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</si>
  <si>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</si>
  <si>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</si>
  <si>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</si>
  <si>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</si>
  <si>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</si>
  <si>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</si>
  <si>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</si>
  <si>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</si>
  <si>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</si>
  <si>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</si>
  <si>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</si>
  <si>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</si>
  <si>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</si>
  <si>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</si>
  <si>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</si>
  <si>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</si>
  <si>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</si>
  <si>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</si>
  <si>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</si>
  <si>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</si>
  <si>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</si>
  <si>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</si>
  <si>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</si>
  <si>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</si>
  <si>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</si>
  <si>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</si>
  <si>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</si>
  <si>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</si>
  <si>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</si>
  <si>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</si>
  <si>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</si>
  <si>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</si>
  <si>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</si>
  <si>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</si>
  <si>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</si>
  <si>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</si>
  <si>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</si>
  <si>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</si>
  <si>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</si>
  <si>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</si>
  <si>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</si>
  <si>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</si>
  <si>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</si>
  <si>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</si>
  <si>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</si>
  <si>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</si>
  <si>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</si>
  <si>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</si>
  <si>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</si>
  <si>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</si>
  <si>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</si>
  <si>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</si>
  <si>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</si>
  <si>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</si>
  <si>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</si>
  <si>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</si>
  <si>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</si>
  <si>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</si>
  <si>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</si>
  <si>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</si>
  <si>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</si>
  <si>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</si>
  <si>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</si>
  <si>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</si>
  <si>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</si>
  <si>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</si>
  <si>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</si>
  <si>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</si>
  <si>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</si>
  <si>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</si>
  <si>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</si>
  <si>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</si>
  <si>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</si>
  <si>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</si>
  <si>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</si>
  <si>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</si>
  <si>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</si>
  <si>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</si>
  <si>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</si>
  <si>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</si>
  <si>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</si>
  <si>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</si>
  <si>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</si>
  <si>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</si>
  <si>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</si>
  <si>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</si>
  <si>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</si>
  <si>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</si>
  <si>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</si>
  <si>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</si>
  <si>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</si>
  <si>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</si>
  <si>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</si>
  <si>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</si>
  <si>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</si>
  <si>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</si>
  <si>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</si>
  <si>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</si>
  <si>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</si>
  <si>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</si>
  <si>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</si>
  <si>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</si>
  <si>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</si>
  <si>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</si>
  <si>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</si>
  <si>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</si>
  <si>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</si>
  <si>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</si>
  <si>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</si>
  <si>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</si>
  <si>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</si>
  <si>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</si>
  <si>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</si>
  <si>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</si>
  <si>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</si>
  <si>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</si>
  <si>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</si>
  <si>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</si>
  <si>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</si>
  <si>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</si>
  <si>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</si>
  <si>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</si>
  <si>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</si>
  <si>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</si>
  <si>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</si>
  <si>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</si>
  <si>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</si>
  <si>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</si>
  <si>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</si>
  <si>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</si>
  <si>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</si>
  <si>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</si>
  <si>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</si>
  <si>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</si>
  <si>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</si>
  <si>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</si>
  <si>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</si>
  <si>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</si>
  <si>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</si>
  <si>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</si>
  <si>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</si>
  <si>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</si>
  <si>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</si>
  <si>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</si>
  <si>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</si>
  <si>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</si>
  <si>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</si>
  <si>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</si>
  <si>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</si>
  <si>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</si>
  <si>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</si>
  <si>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</si>
  <si>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</si>
  <si>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</si>
  <si>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</si>
  <si>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</si>
  <si>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</si>
  <si>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</si>
  <si>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</si>
  <si>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</si>
  <si>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</si>
  <si>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</si>
  <si>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</si>
  <si>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</si>
  <si>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</si>
  <si>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</si>
  <si>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</si>
  <si>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</si>
  <si>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</si>
  <si>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</si>
  <si>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</si>
  <si>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</si>
  <si>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</si>
  <si>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</si>
  <si>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</si>
  <si>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</si>
  <si>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</si>
  <si>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</si>
  <si>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</si>
  <si>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</si>
  <si>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</si>
  <si>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</si>
  <si>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</si>
  <si>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</si>
  <si>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</si>
  <si>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</si>
  <si>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</si>
  <si>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</si>
  <si>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</si>
  <si>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</si>
  <si>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</si>
  <si>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</si>
  <si>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</si>
  <si>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</si>
  <si>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</si>
  <si>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</si>
  <si>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</si>
  <si>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</si>
  <si>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</si>
  <si>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</si>
  <si>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</si>
  <si>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</si>
  <si>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</si>
  <si>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</si>
  <si>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</si>
  <si>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</si>
  <si>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</si>
  <si>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</si>
  <si>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</si>
  <si>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</si>
  <si>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</si>
  <si>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</si>
  <si>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</si>
  <si>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</si>
  <si>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</si>
  <si>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</si>
  <si>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</si>
  <si>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</si>
  <si>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</si>
  <si>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</si>
  <si>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</si>
  <si>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</si>
  <si>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</si>
  <si>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</si>
  <si>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</si>
  <si>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</si>
  <si>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</si>
  <si>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</si>
  <si>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</si>
  <si>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</si>
  <si>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</si>
  <si>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</si>
  <si>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</si>
  <si>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</si>
  <si>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</si>
  <si>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</si>
  <si>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</si>
  <si>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</si>
  <si>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</si>
  <si>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</si>
  <si>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</si>
  <si>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</si>
  <si>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</si>
  <si>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</si>
  <si>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</si>
  <si>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</si>
  <si>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</si>
  <si>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</si>
  <si>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</si>
  <si>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</si>
  <si>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</si>
  <si>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</si>
  <si>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</si>
  <si>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</si>
  <si>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</si>
  <si>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</si>
  <si>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</si>
  <si>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</si>
  <si>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</si>
  <si>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</si>
  <si>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</si>
  <si>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</si>
  <si>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</si>
  <si>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</si>
  <si>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</si>
  <si>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</si>
  <si>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</si>
  <si>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</si>
  <si>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</si>
  <si>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</si>
  <si>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</si>
  <si>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</si>
  <si>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</si>
  <si>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</si>
  <si>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</si>
  <si>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</si>
  <si>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</si>
  <si>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</si>
  <si>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</si>
  <si>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</si>
  <si>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</si>
  <si>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</si>
  <si>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</si>
  <si>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</si>
  <si>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</si>
  <si>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</si>
  <si>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</si>
  <si>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</si>
  <si>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</si>
  <si>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</si>
  <si>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</si>
  <si>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</si>
  <si>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</si>
  <si>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</si>
  <si>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</si>
  <si>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</si>
  <si>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</si>
  <si>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</si>
  <si>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</si>
  <si>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</si>
  <si>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</si>
  <si>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</si>
  <si>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</si>
  <si>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</si>
  <si>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</si>
  <si>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</si>
  <si>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</si>
  <si>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</si>
  <si>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</si>
  <si>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</si>
  <si>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</si>
  <si>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</si>
  <si>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</si>
  <si>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</si>
  <si>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</si>
  <si>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</si>
  <si>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</si>
  <si>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</si>
  <si>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</si>
  <si>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</si>
  <si>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</si>
  <si>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</si>
  <si>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</si>
  <si>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</si>
  <si>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</si>
  <si>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</si>
  <si>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</si>
  <si>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</si>
  <si>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</si>
  <si>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</si>
  <si>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</si>
  <si>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</si>
  <si>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</si>
  <si>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</si>
  <si>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</si>
  <si>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</si>
  <si>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</si>
  <si>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</si>
  <si>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</si>
  <si>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</si>
  <si>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</si>
  <si>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</si>
  <si>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</si>
  <si>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</si>
  <si>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</si>
  <si>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</si>
  <si>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</si>
  <si>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</si>
  <si>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</si>
  <si>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</si>
  <si>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</si>
  <si>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</si>
  <si>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</si>
  <si>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</si>
  <si>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</si>
  <si>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</si>
  <si>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</si>
  <si>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</si>
  <si>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</si>
  <si>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</si>
  <si>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</si>
  <si>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</si>
  <si>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</si>
  <si>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</si>
  <si>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</si>
  <si>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</si>
  <si>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</si>
  <si>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</si>
  <si>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</si>
  <si>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</si>
  <si>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</si>
  <si>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</si>
  <si>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</si>
  <si>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</si>
  <si>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</si>
  <si>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</si>
  <si>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</si>
  <si>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</si>
  <si>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</si>
  <si>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</si>
  <si>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</si>
  <si>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</si>
  <si>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</si>
  <si>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</si>
  <si>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</si>
  <si>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</si>
  <si>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</si>
  <si>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</si>
  <si>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</si>
  <si>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</si>
  <si>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</si>
  <si>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</si>
  <si>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</si>
  <si>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</si>
  <si>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</si>
  <si>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</si>
  <si>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</si>
  <si>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</si>
  <si>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</si>
  <si>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</si>
  <si>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</si>
  <si>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</si>
  <si>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</si>
  <si>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</si>
  <si>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</si>
  <si>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</si>
  <si>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</si>
  <si>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</si>
  <si>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</si>
  <si>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</si>
  <si>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</si>
  <si>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</si>
  <si>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</si>
  <si>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</si>
  <si>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</si>
  <si>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</si>
  <si>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</si>
  <si>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</si>
  <si>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</si>
  <si>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</si>
  <si>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</si>
  <si>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</si>
  <si>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</si>
  <si>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</si>
  <si>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</si>
  <si>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</si>
  <si>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</si>
  <si>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</si>
  <si>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</si>
  <si>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</si>
  <si>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</si>
  <si>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</si>
  <si>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</si>
  <si>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</si>
  <si>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</si>
  <si>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</si>
  <si>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</si>
  <si>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</si>
  <si>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</si>
  <si>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</si>
  <si>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</si>
  <si>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</si>
  <si>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</si>
  <si>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</si>
  <si>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</si>
  <si>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</si>
  <si>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</si>
  <si>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</si>
  <si>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</si>
  <si>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</si>
  <si>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</si>
  <si>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</si>
  <si>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</si>
  <si>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</si>
  <si>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</si>
  <si>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</si>
  <si>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</si>
  <si>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</si>
  <si>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</si>
  <si>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</si>
  <si>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</si>
  <si>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</si>
  <si>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</si>
  <si>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</si>
  <si>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</si>
  <si>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</si>
  <si>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</si>
  <si>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</si>
  <si>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</si>
  <si>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</si>
  <si>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</si>
  <si>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</si>
  <si>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</si>
  <si>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</si>
  <si>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</si>
  <si>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</si>
  <si>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</si>
  <si>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</si>
  <si>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</si>
  <si>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</si>
  <si>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</si>
  <si>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</si>
  <si>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</si>
  <si>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</si>
  <si>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</si>
  <si>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</si>
  <si>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</si>
  <si>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</si>
  <si>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</si>
  <si>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</si>
  <si>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</si>
  <si>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</si>
  <si>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</si>
  <si>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</si>
  <si>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</si>
  <si>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</si>
  <si>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</si>
  <si>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</si>
  <si>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</si>
  <si>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</si>
  <si>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</si>
  <si>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</si>
  <si>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</si>
  <si>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</si>
  <si>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</si>
  <si>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</si>
  <si>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</si>
  <si>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</si>
  <si>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</si>
  <si>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</si>
  <si>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</si>
  <si>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</si>
  <si>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</si>
  <si>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</si>
  <si>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</si>
  <si>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</si>
  <si>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</si>
  <si>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</si>
  <si>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</si>
  <si>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</si>
  <si>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</si>
  <si>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</si>
  <si>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</si>
  <si>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</si>
  <si>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</si>
  <si>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</si>
  <si>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</si>
  <si>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</si>
  <si>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</si>
  <si>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</si>
  <si>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</si>
  <si>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</si>
  <si>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</si>
  <si>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</si>
  <si>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</si>
  <si>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</si>
  <si>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</si>
  <si>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</si>
  <si>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</si>
  <si>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</si>
  <si>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</si>
  <si>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</si>
  <si>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</si>
  <si>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</si>
  <si>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</si>
  <si>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</si>
  <si>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</si>
  <si>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</si>
  <si>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</si>
  <si>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</si>
  <si>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</si>
  <si>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</si>
  <si>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</si>
  <si>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</si>
  <si>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</si>
  <si>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</si>
  <si>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</si>
  <si>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</si>
  <si>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</si>
  <si>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</si>
  <si>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</si>
  <si>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</si>
  <si>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</si>
  <si>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</si>
  <si>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</si>
  <si>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</si>
  <si>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</si>
  <si>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</si>
  <si>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</si>
  <si>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</si>
  <si>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</si>
  <si>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</si>
  <si>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</si>
  <si>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</si>
  <si>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</si>
  <si>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</si>
  <si>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</si>
  <si>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</si>
  <si>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</si>
  <si>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</si>
  <si>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</si>
  <si>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</si>
  <si>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</si>
  <si>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</si>
  <si>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</si>
  <si>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</si>
  <si>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</si>
  <si>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</si>
  <si>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</si>
  <si>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</si>
  <si>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</si>
  <si>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</si>
  <si>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</si>
  <si>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</si>
  <si>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</si>
  <si>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</si>
  <si>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</si>
  <si>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</si>
  <si>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</si>
  <si>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</si>
  <si>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</si>
  <si>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</si>
  <si>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</si>
  <si>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</si>
  <si>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</si>
  <si>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</si>
  <si>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</si>
  <si>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</si>
  <si>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</si>
  <si>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</si>
  <si>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</si>
  <si>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</si>
  <si>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</si>
  <si>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</si>
  <si>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</si>
  <si>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</si>
  <si>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</si>
  <si>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</si>
  <si>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</si>
  <si>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</si>
  <si>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</si>
  <si>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</si>
  <si>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</si>
  <si>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</si>
  <si>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</si>
  <si>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</si>
  <si>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</si>
  <si>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</si>
  <si>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</si>
  <si>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</si>
  <si>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</si>
  <si>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</si>
  <si>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</si>
  <si>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</si>
  <si>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</si>
  <si>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</si>
  <si>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</si>
  <si>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</si>
  <si>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</si>
  <si>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</si>
  <si>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</si>
  <si>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</si>
  <si>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</si>
  <si>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</si>
  <si>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</si>
  <si>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</si>
  <si>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</si>
  <si>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</si>
  <si>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</si>
  <si>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</si>
  <si>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</si>
  <si>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</si>
  <si>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</si>
  <si>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</si>
  <si>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</si>
  <si>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</si>
  <si>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</si>
  <si>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</si>
  <si>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</si>
  <si>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</si>
  <si>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</si>
  <si>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</si>
  <si>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</si>
  <si>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</si>
  <si>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</si>
  <si>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</si>
  <si>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</si>
  <si>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</si>
  <si>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</si>
  <si>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</si>
  <si>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</si>
  <si>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</si>
  <si>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</si>
  <si>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</si>
  <si>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</si>
  <si>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</si>
  <si>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</si>
  <si>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</si>
  <si>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</si>
  <si>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</si>
  <si>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</si>
  <si>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</si>
  <si>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</si>
  <si>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</si>
  <si>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</si>
  <si>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</si>
  <si>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</si>
  <si>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</si>
  <si>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</si>
  <si>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</si>
  <si>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</si>
  <si>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</si>
  <si>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</si>
  <si>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</si>
  <si>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</si>
  <si>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</si>
  <si>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</si>
  <si>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</si>
  <si>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</si>
  <si>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</si>
  <si>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</si>
  <si>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</si>
  <si>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</si>
  <si>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</si>
  <si>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</si>
  <si>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</si>
  <si>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</si>
  <si>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</si>
  <si>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</si>
  <si>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</si>
  <si>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</si>
  <si>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</si>
  <si>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</si>
  <si>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</si>
  <si>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</si>
  <si>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</si>
  <si>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</si>
  <si>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</si>
  <si>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</si>
  <si>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</si>
  <si>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</si>
  <si>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</si>
  <si>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</si>
  <si>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</si>
  <si>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</si>
  <si>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</si>
  <si>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</si>
  <si>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</si>
  <si>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</si>
  <si>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</si>
  <si>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</si>
  <si>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</si>
  <si>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</si>
  <si>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</si>
  <si>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</si>
  <si>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</si>
  <si>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</si>
  <si>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</si>
  <si>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</si>
  <si>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</si>
  <si>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</si>
  <si>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</si>
  <si>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</si>
  <si>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</si>
  <si>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</si>
  <si>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</si>
  <si>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</si>
  <si>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</si>
  <si>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</si>
  <si>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</si>
  <si>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</si>
  <si>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</si>
  <si>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</si>
  <si>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</si>
  <si>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</si>
  <si>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</si>
  <si>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</si>
  <si>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</si>
  <si>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</si>
  <si>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</si>
  <si>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</si>
  <si>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</si>
  <si>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</si>
  <si>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</si>
  <si>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</si>
  <si>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</si>
  <si>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</si>
  <si>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</si>
  <si>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</si>
  <si>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</si>
  <si>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</si>
  <si>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</si>
  <si>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</si>
  <si>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</si>
  <si>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</si>
  <si>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</si>
  <si>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</si>
  <si>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</si>
  <si>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</si>
  <si>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</si>
  <si>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</si>
  <si>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</si>
  <si>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</si>
  <si>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</si>
  <si>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</si>
  <si>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</si>
  <si>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</si>
  <si>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</si>
  <si>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</si>
  <si>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</si>
  <si>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</si>
  <si>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</si>
  <si>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</si>
  <si>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</si>
  <si>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</si>
  <si>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</si>
  <si>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</si>
  <si>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</si>
  <si>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</si>
  <si>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</si>
  <si>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</si>
  <si>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</si>
  <si>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</si>
  <si>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</si>
  <si>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</si>
  <si>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</si>
  <si>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</si>
  <si>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</si>
  <si>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</si>
  <si>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</si>
  <si>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</si>
  <si>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</si>
  <si>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</si>
  <si>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</si>
  <si>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</si>
  <si>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</si>
  <si>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</si>
  <si>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</si>
  <si>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</si>
  <si>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</si>
  <si>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</si>
  <si>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</si>
  <si>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</si>
  <si>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</si>
  <si>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</si>
  <si>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</si>
  <si>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</si>
  <si>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</si>
  <si>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</si>
  <si>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</si>
  <si>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</si>
  <si>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</si>
  <si>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</si>
  <si>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</si>
  <si>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</si>
  <si>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</si>
  <si>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</si>
  <si>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</si>
  <si>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</si>
  <si>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</si>
  <si>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</si>
  <si>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</si>
  <si>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</si>
  <si>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</si>
  <si>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</si>
  <si>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</si>
  <si>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</si>
  <si>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</si>
  <si>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</si>
  <si>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</si>
  <si>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</si>
  <si>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</si>
  <si>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</si>
  <si>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</si>
  <si>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</si>
  <si>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</si>
  <si>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</si>
  <si>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</si>
  <si>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</si>
  <si>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</si>
  <si>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</si>
  <si>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</si>
  <si>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</si>
  <si>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</si>
  <si>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</si>
  <si>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</si>
  <si>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</si>
  <si>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</si>
  <si>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</si>
  <si>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</si>
  <si>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</si>
  <si>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</si>
  <si>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</si>
  <si>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</si>
  <si>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</si>
  <si>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</si>
  <si>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</si>
  <si>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</si>
  <si>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</si>
  <si>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</si>
  <si>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</si>
  <si>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</si>
  <si>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</si>
  <si>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</si>
  <si>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</si>
  <si>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</si>
  <si>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</si>
  <si>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</si>
  <si>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</si>
  <si>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</si>
  <si>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</si>
  <si>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</si>
  <si>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</si>
  <si>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</si>
  <si>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</si>
  <si>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</si>
  <si>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</si>
  <si>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</si>
  <si>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</si>
  <si>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</si>
  <si>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</si>
  <si>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</si>
  <si>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</si>
  <si>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</si>
  <si>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</si>
  <si>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</si>
  <si>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</si>
  <si>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</si>
  <si>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</si>
  <si>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</si>
  <si>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</si>
  <si>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</si>
  <si>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</si>
  <si>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</si>
  <si>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</si>
  <si>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</si>
  <si>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</si>
  <si>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</si>
  <si>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</si>
  <si>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</si>
  <si>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</si>
  <si>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</si>
  <si>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</si>
  <si>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</si>
  <si>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</si>
  <si>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</si>
  <si>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</si>
  <si>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</si>
  <si>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</si>
  <si>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</si>
  <si>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</si>
  <si>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</si>
  <si>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</si>
  <si>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</si>
  <si>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</si>
  <si>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</si>
  <si>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</si>
  <si>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</si>
  <si>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</si>
  <si>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</si>
  <si>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</si>
  <si>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</si>
  <si>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</si>
  <si>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</si>
  <si>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</si>
  <si>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</si>
  <si>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</si>
  <si>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</si>
  <si>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</si>
  <si>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</si>
  <si>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</si>
  <si>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</si>
  <si>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</si>
  <si>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</si>
  <si>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</si>
  <si>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</si>
  <si>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</si>
  <si>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</si>
  <si>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</si>
  <si>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</si>
  <si>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</si>
  <si>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</si>
  <si>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</si>
  <si>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</si>
  <si>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</si>
  <si>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</si>
  <si>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</si>
  <si>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</si>
  <si>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</si>
  <si>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</si>
  <si>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</si>
  <si>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</si>
  <si>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</si>
  <si>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</si>
  <si>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</si>
  <si>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</si>
  <si>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</si>
  <si>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</si>
  <si>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</si>
  <si>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</si>
  <si>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</si>
  <si>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</si>
  <si>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</si>
  <si>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</si>
  <si>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</si>
  <si>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</si>
  <si>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</si>
  <si>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</si>
  <si>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</si>
  <si>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</si>
  <si>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</si>
  <si>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</si>
  <si>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</si>
  <si>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</si>
  <si>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</si>
  <si>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</si>
  <si>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</si>
  <si>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</si>
  <si>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</si>
  <si>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</si>
  <si>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</si>
  <si>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7535</t>
  </si>
  <si>
    <t>Межбюджетные трансферты на реализацию мероприятий инициативного бюджетирования на территории Ярославской области</t>
  </si>
  <si>
    <t>Реализация мероприятий Губернаторского прпоекта "Решаем вместе" по  благоустройству территории городского поселения Тутаев</t>
  </si>
  <si>
    <t>Повышение уровня благоустройства территорий</t>
  </si>
  <si>
    <t>Приложение 5</t>
  </si>
  <si>
    <t>от 27.05.2021 г.№ 116-г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</si>
</sst>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1957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1818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1346</v>
      </c>
      <c r="J11" s="15">
        <v>234621760</v>
      </c>
      <c r="K11" s="15">
        <f>K12+K14+K16+K20+K24+K33+K36+K38+K44+K45</f>
        <v>1500000</v>
      </c>
      <c r="L11" s="15">
        <f>SUM(J11:K11)</f>
        <v>236121760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1000000</v>
      </c>
      <c r="L12" s="15">
        <f t="shared" ref="L12:L107" si="1">SUM(J12:K12)</f>
        <v>117393000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>
        <v>1000000</v>
      </c>
      <c r="L13" s="311">
        <f t="shared" si="1"/>
        <v>117393000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500000</v>
      </c>
      <c r="L16" s="15">
        <f t="shared" si="1"/>
        <v>8643000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>
        <v>500000</v>
      </c>
      <c r="L17" s="311">
        <f t="shared" si="1"/>
        <v>2480000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1268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8780000</v>
      </c>
      <c r="K24" s="22">
        <f>K25+K27+K31</f>
        <v>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1838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1907</v>
      </c>
      <c r="J31" s="347">
        <v>380000</v>
      </c>
      <c r="K31" s="347">
        <f>K32</f>
        <v>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1904</v>
      </c>
      <c r="F32" s="23" t="s">
        <v>28</v>
      </c>
      <c r="G32" s="24" t="s">
        <v>17</v>
      </c>
      <c r="H32" s="24" t="s">
        <v>46</v>
      </c>
      <c r="I32" s="856" t="s">
        <v>1891</v>
      </c>
      <c r="J32" s="25">
        <v>380000</v>
      </c>
      <c r="K32" s="25"/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1569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19075000</v>
      </c>
      <c r="K38" s="22">
        <f t="shared" ref="K38" si="8">K39+K40</f>
        <v>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17500000</v>
      </c>
      <c r="K39" s="19"/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1216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7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/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2276171329</v>
      </c>
      <c r="K46" s="22">
        <f>K47+K172</f>
        <v>24944867</v>
      </c>
      <c r="L46" s="15">
        <f t="shared" si="1"/>
        <v>2301116196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2276171329</v>
      </c>
      <c r="K47" s="22">
        <f>K48+K53+K72+K118</f>
        <v>24763247</v>
      </c>
      <c r="L47" s="15">
        <f t="shared" si="1"/>
        <v>2300934576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1269</v>
      </c>
      <c r="I48" s="28" t="s">
        <v>82</v>
      </c>
      <c r="J48" s="22">
        <v>508573000</v>
      </c>
      <c r="K48" s="22">
        <f>K49+K50+K52+K51</f>
        <v>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84</v>
      </c>
      <c r="F49" s="23" t="s">
        <v>28</v>
      </c>
      <c r="G49" s="29" t="s">
        <v>17</v>
      </c>
      <c r="H49" s="29" t="s">
        <v>1269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1150</v>
      </c>
      <c r="F50" s="23" t="s">
        <v>28</v>
      </c>
      <c r="G50" s="29" t="s">
        <v>17</v>
      </c>
      <c r="H50" s="29" t="s">
        <v>1269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1516</v>
      </c>
      <c r="E51" s="23" t="s">
        <v>93</v>
      </c>
      <c r="F51" s="23" t="s">
        <v>28</v>
      </c>
      <c r="G51" s="29" t="s">
        <v>1905</v>
      </c>
      <c r="H51" s="29" t="s">
        <v>1269</v>
      </c>
      <c r="I51" s="857" t="s">
        <v>1906</v>
      </c>
      <c r="J51" s="19">
        <v>9000000</v>
      </c>
      <c r="K51" s="19"/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1516</v>
      </c>
      <c r="E52" s="23" t="s">
        <v>93</v>
      </c>
      <c r="F52" s="23" t="s">
        <v>28</v>
      </c>
      <c r="G52" s="29" t="s">
        <v>1517</v>
      </c>
      <c r="H52" s="29" t="s">
        <v>1269</v>
      </c>
      <c r="I52" s="30" t="s">
        <v>1515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1151</v>
      </c>
      <c r="E53" s="20" t="s">
        <v>14</v>
      </c>
      <c r="F53" s="20" t="s">
        <v>16</v>
      </c>
      <c r="G53" s="27" t="s">
        <v>17</v>
      </c>
      <c r="H53" s="27" t="s">
        <v>1269</v>
      </c>
      <c r="I53" s="28" t="s">
        <v>87</v>
      </c>
      <c r="J53" s="22">
        <v>74292167</v>
      </c>
      <c r="K53" s="22">
        <f>SUM(K54:K71)</f>
        <v>12726077</v>
      </c>
      <c r="L53" s="15">
        <f t="shared" si="1"/>
        <v>87018244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1151</v>
      </c>
      <c r="E54" s="23" t="s">
        <v>89</v>
      </c>
      <c r="F54" s="23" t="s">
        <v>28</v>
      </c>
      <c r="G54" s="29" t="s">
        <v>17</v>
      </c>
      <c r="H54" s="29" t="s">
        <v>1269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8.25" customHeight="1" x14ac:dyDescent="0.2">
      <c r="A55" s="31" t="s">
        <v>37</v>
      </c>
      <c r="B55" s="31" t="s">
        <v>78</v>
      </c>
      <c r="C55" s="31" t="s">
        <v>21</v>
      </c>
      <c r="D55" s="31" t="s">
        <v>1151</v>
      </c>
      <c r="E55" s="31" t="s">
        <v>1206</v>
      </c>
      <c r="F55" s="31" t="s">
        <v>28</v>
      </c>
      <c r="G55" s="32" t="s">
        <v>17</v>
      </c>
      <c r="H55" s="32" t="s">
        <v>1269</v>
      </c>
      <c r="I55" s="333" t="s">
        <v>1274</v>
      </c>
      <c r="J55" s="34">
        <v>0</v>
      </c>
      <c r="K55" s="34">
        <v>7551209</v>
      </c>
      <c r="L55" s="311">
        <f t="shared" si="1"/>
        <v>7551209</v>
      </c>
    </row>
    <row r="56" spans="1:12" ht="10.5" hidden="1" customHeight="1" x14ac:dyDescent="0.2">
      <c r="A56" s="23" t="s">
        <v>94</v>
      </c>
      <c r="B56" s="23" t="s">
        <v>78</v>
      </c>
      <c r="C56" s="23" t="s">
        <v>21</v>
      </c>
      <c r="D56" s="23" t="s">
        <v>1626</v>
      </c>
      <c r="E56" s="23" t="s">
        <v>1627</v>
      </c>
      <c r="F56" s="23" t="s">
        <v>28</v>
      </c>
      <c r="G56" s="29" t="s">
        <v>17</v>
      </c>
      <c r="H56" s="29" t="s">
        <v>1269</v>
      </c>
      <c r="I56" s="35" t="s">
        <v>1628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1626</v>
      </c>
      <c r="E57" s="23" t="s">
        <v>1797</v>
      </c>
      <c r="F57" s="23" t="s">
        <v>28</v>
      </c>
      <c r="G57" s="29" t="s">
        <v>17</v>
      </c>
      <c r="H57" s="29" t="s">
        <v>1269</v>
      </c>
      <c r="I57" s="35" t="s">
        <v>1606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1626</v>
      </c>
      <c r="E58" s="23" t="s">
        <v>1767</v>
      </c>
      <c r="F58" s="23" t="s">
        <v>28</v>
      </c>
      <c r="G58" s="29" t="s">
        <v>17</v>
      </c>
      <c r="H58" s="29" t="s">
        <v>1269</v>
      </c>
      <c r="I58" s="35" t="s">
        <v>1768</v>
      </c>
      <c r="J58" s="19">
        <v>1723761</v>
      </c>
      <c r="K58" s="19"/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1626</v>
      </c>
      <c r="E59" s="23" t="s">
        <v>1701</v>
      </c>
      <c r="F59" s="23" t="s">
        <v>28</v>
      </c>
      <c r="G59" s="649" t="s">
        <v>17</v>
      </c>
      <c r="H59" s="29" t="s">
        <v>1269</v>
      </c>
      <c r="I59" s="30" t="s">
        <v>1869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1626</v>
      </c>
      <c r="E60" s="23" t="s">
        <v>1701</v>
      </c>
      <c r="F60" s="23" t="s">
        <v>28</v>
      </c>
      <c r="G60" s="649" t="s">
        <v>17</v>
      </c>
      <c r="H60" s="29" t="s">
        <v>1269</v>
      </c>
      <c r="I60" s="30" t="s">
        <v>1870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1562</v>
      </c>
      <c r="H61" s="29" t="s">
        <v>1269</v>
      </c>
      <c r="I61" s="35" t="s">
        <v>430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1769</v>
      </c>
      <c r="H62" s="29" t="s">
        <v>1269</v>
      </c>
      <c r="I62" s="35" t="s">
        <v>1770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1771</v>
      </c>
      <c r="H63" s="29" t="s">
        <v>1269</v>
      </c>
      <c r="I63" s="35" t="s">
        <v>1772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1205</v>
      </c>
      <c r="H64" s="29" t="s">
        <v>1269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customHeight="1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1773</v>
      </c>
      <c r="H65" s="29" t="s">
        <v>1269</v>
      </c>
      <c r="I65" s="35" t="s">
        <v>1774</v>
      </c>
      <c r="J65" s="19">
        <v>0</v>
      </c>
      <c r="K65" s="19">
        <v>5308109</v>
      </c>
      <c r="L65" s="311">
        <f t="shared" si="1"/>
        <v>5308109</v>
      </c>
    </row>
    <row r="66" spans="1:12" ht="0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1563</v>
      </c>
      <c r="H66" s="29" t="s">
        <v>1269</v>
      </c>
      <c r="I66" s="35" t="s">
        <v>1564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1272</v>
      </c>
      <c r="H67" s="29" t="s">
        <v>1269</v>
      </c>
      <c r="I67" s="30" t="s">
        <v>1271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1270</v>
      </c>
      <c r="H68" s="29" t="s">
        <v>1269</v>
      </c>
      <c r="I68" s="30" t="s">
        <v>1273</v>
      </c>
      <c r="J68" s="19">
        <v>30210900</v>
      </c>
      <c r="K68" s="19"/>
      <c r="L68" s="311">
        <f t="shared" si="1"/>
        <v>30210900</v>
      </c>
    </row>
    <row r="69" spans="1:12" ht="47.25" customHeight="1" x14ac:dyDescent="0.2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1721</v>
      </c>
      <c r="H69" s="29" t="s">
        <v>1269</v>
      </c>
      <c r="I69" s="739" t="s">
        <v>1725</v>
      </c>
      <c r="J69" s="19">
        <v>799449</v>
      </c>
      <c r="K69" s="19">
        <v>-133241</v>
      </c>
      <c r="L69" s="311">
        <f t="shared" si="1"/>
        <v>666208</v>
      </c>
    </row>
    <row r="70" spans="1:12" ht="0.75" customHeight="1" x14ac:dyDescent="0.2">
      <c r="A70" s="320" t="s">
        <v>37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1775</v>
      </c>
      <c r="H70" s="29" t="s">
        <v>1269</v>
      </c>
      <c r="I70" s="750" t="s">
        <v>1776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649" t="s">
        <v>1720</v>
      </c>
      <c r="H71" s="29" t="s">
        <v>1269</v>
      </c>
      <c r="I71" s="739" t="s">
        <v>1724</v>
      </c>
      <c r="J71" s="19">
        <v>2500000</v>
      </c>
      <c r="K71" s="19"/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1157</v>
      </c>
      <c r="E72" s="20" t="s">
        <v>14</v>
      </c>
      <c r="F72" s="20" t="s">
        <v>16</v>
      </c>
      <c r="G72" s="27" t="s">
        <v>17</v>
      </c>
      <c r="H72" s="27" t="s">
        <v>1269</v>
      </c>
      <c r="I72" s="28" t="s">
        <v>97</v>
      </c>
      <c r="J72" s="22">
        <v>1302719448</v>
      </c>
      <c r="K72" s="22">
        <f>SUM(K73:K117)</f>
        <v>162986</v>
      </c>
      <c r="L72" s="22">
        <f>J72+K72</f>
        <v>1302882434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1277</v>
      </c>
      <c r="F73" s="23" t="s">
        <v>28</v>
      </c>
      <c r="G73" s="29" t="s">
        <v>17</v>
      </c>
      <c r="H73" s="29" t="s">
        <v>1269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1185</v>
      </c>
      <c r="H74" s="29" t="s">
        <v>1269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1186</v>
      </c>
      <c r="H75" s="29" t="s">
        <v>1269</v>
      </c>
      <c r="I75" s="804" t="s">
        <v>1236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1187</v>
      </c>
      <c r="H76" s="29" t="s">
        <v>1269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1202</v>
      </c>
      <c r="H77" s="29" t="s">
        <v>1269</v>
      </c>
      <c r="I77" s="18" t="s">
        <v>121</v>
      </c>
      <c r="J77" s="19">
        <v>4936950</v>
      </c>
      <c r="K77" s="19"/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1199</v>
      </c>
      <c r="H78" s="29" t="s">
        <v>1269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1197</v>
      </c>
      <c r="H79" s="29" t="s">
        <v>1269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1195</v>
      </c>
      <c r="H80" s="29" t="s">
        <v>1269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1182</v>
      </c>
      <c r="H81" s="29" t="s">
        <v>1269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1196</v>
      </c>
      <c r="H82" s="29" t="s">
        <v>1269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1183</v>
      </c>
      <c r="H83" s="29" t="s">
        <v>1269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1200</v>
      </c>
      <c r="H84" s="29" t="s">
        <v>1269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1191</v>
      </c>
      <c r="H85" s="29" t="s">
        <v>1269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1198</v>
      </c>
      <c r="H86" s="29" t="s">
        <v>1269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1192</v>
      </c>
      <c r="H87" s="29" t="s">
        <v>1269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1193</v>
      </c>
      <c r="H88" s="29" t="s">
        <v>1269</v>
      </c>
      <c r="I88" s="810" t="s">
        <v>1862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1194</v>
      </c>
      <c r="H89" s="29" t="s">
        <v>1269</v>
      </c>
      <c r="I89" s="810" t="s">
        <v>1861</v>
      </c>
      <c r="J89" s="19">
        <v>38100000</v>
      </c>
      <c r="K89" s="19">
        <v>-600000</v>
      </c>
      <c r="L89" s="311">
        <f t="shared" si="9"/>
        <v>37500000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1204</v>
      </c>
      <c r="H90" s="29" t="s">
        <v>1269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1203</v>
      </c>
      <c r="H91" s="29" t="s">
        <v>1269</v>
      </c>
      <c r="I91" s="18" t="s">
        <v>1856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1157</v>
      </c>
      <c r="E92" s="38" t="s">
        <v>103</v>
      </c>
      <c r="F92" s="38" t="s">
        <v>28</v>
      </c>
      <c r="G92" s="38" t="s">
        <v>1184</v>
      </c>
      <c r="H92" s="38" t="s">
        <v>1269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1188</v>
      </c>
      <c r="H93" s="29" t="s">
        <v>1269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1189</v>
      </c>
      <c r="H94" s="29" t="s">
        <v>1269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1190</v>
      </c>
      <c r="H95" s="29" t="s">
        <v>1269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1201</v>
      </c>
      <c r="H96" s="29" t="s">
        <v>1269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1238</v>
      </c>
      <c r="H97" s="29" t="s">
        <v>1269</v>
      </c>
      <c r="I97" s="18" t="s">
        <v>1631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1239</v>
      </c>
      <c r="H98" s="29" t="s">
        <v>1269</v>
      </c>
      <c r="I98" s="18" t="s">
        <v>1278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1157</v>
      </c>
      <c r="E99" s="320" t="s">
        <v>103</v>
      </c>
      <c r="F99" s="320" t="s">
        <v>28</v>
      </c>
      <c r="G99" s="332" t="s">
        <v>1803</v>
      </c>
      <c r="H99" s="332" t="s">
        <v>1269</v>
      </c>
      <c r="I99" s="309" t="s">
        <v>1857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1157</v>
      </c>
      <c r="E100" s="23" t="s">
        <v>103</v>
      </c>
      <c r="F100" s="23" t="s">
        <v>28</v>
      </c>
      <c r="G100" s="29" t="s">
        <v>1777</v>
      </c>
      <c r="H100" s="29" t="s">
        <v>1269</v>
      </c>
      <c r="I100" s="810" t="s">
        <v>1778</v>
      </c>
      <c r="J100" s="19">
        <v>902639</v>
      </c>
      <c r="K100" s="19">
        <v>800000</v>
      </c>
      <c r="L100" s="311">
        <f t="shared" si="9"/>
        <v>1702639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1153</v>
      </c>
      <c r="E101" s="23" t="s">
        <v>1237</v>
      </c>
      <c r="F101" s="23" t="s">
        <v>28</v>
      </c>
      <c r="G101" s="29" t="s">
        <v>17</v>
      </c>
      <c r="H101" s="29" t="s">
        <v>1269</v>
      </c>
      <c r="I101" s="18" t="s">
        <v>1634</v>
      </c>
      <c r="J101" s="19">
        <v>42477084</v>
      </c>
      <c r="K101" s="19"/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1153</v>
      </c>
      <c r="E102" s="23" t="s">
        <v>46</v>
      </c>
      <c r="F102" s="23" t="s">
        <v>28</v>
      </c>
      <c r="G102" s="29" t="s">
        <v>17</v>
      </c>
      <c r="H102" s="29" t="s">
        <v>1269</v>
      </c>
      <c r="I102" s="18" t="s">
        <v>1164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1161</v>
      </c>
      <c r="F103" s="23" t="s">
        <v>28</v>
      </c>
      <c r="G103" s="29" t="s">
        <v>17</v>
      </c>
      <c r="H103" s="29" t="s">
        <v>1269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1155</v>
      </c>
      <c r="F104" s="23" t="s">
        <v>28</v>
      </c>
      <c r="G104" s="29" t="s">
        <v>17</v>
      </c>
      <c r="H104" s="29" t="s">
        <v>1269</v>
      </c>
      <c r="I104" s="18" t="s">
        <v>100</v>
      </c>
      <c r="J104" s="19">
        <v>6119248</v>
      </c>
      <c r="K104" s="19">
        <v>-60176</v>
      </c>
      <c r="L104" s="311">
        <f t="shared" si="9"/>
        <v>6059072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1863</v>
      </c>
      <c r="F105" s="23" t="s">
        <v>28</v>
      </c>
      <c r="G105" s="29" t="s">
        <v>17</v>
      </c>
      <c r="H105" s="29" t="s">
        <v>1269</v>
      </c>
      <c r="I105" s="816" t="s">
        <v>1865</v>
      </c>
      <c r="J105" s="19">
        <v>10200</v>
      </c>
      <c r="K105" s="19"/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1154</v>
      </c>
      <c r="F106" s="23" t="s">
        <v>28</v>
      </c>
      <c r="G106" s="29" t="s">
        <v>17</v>
      </c>
      <c r="H106" s="29" t="s">
        <v>1269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1153</v>
      </c>
      <c r="E107" s="23" t="s">
        <v>1156</v>
      </c>
      <c r="F107" s="23" t="s">
        <v>28</v>
      </c>
      <c r="G107" s="29" t="s">
        <v>17</v>
      </c>
      <c r="H107" s="29" t="s">
        <v>1269</v>
      </c>
      <c r="I107" s="18" t="s">
        <v>101</v>
      </c>
      <c r="J107" s="19">
        <v>629901</v>
      </c>
      <c r="K107" s="19">
        <v>-114128</v>
      </c>
      <c r="L107" s="311">
        <f t="shared" si="1"/>
        <v>515773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1158</v>
      </c>
      <c r="F108" s="23" t="s">
        <v>28</v>
      </c>
      <c r="G108" s="29" t="s">
        <v>17</v>
      </c>
      <c r="H108" s="29" t="s">
        <v>1269</v>
      </c>
      <c r="I108" s="18" t="s">
        <v>124</v>
      </c>
      <c r="J108" s="19">
        <v>361521</v>
      </c>
      <c r="K108" s="19"/>
      <c r="L108" s="311">
        <f t="shared" ref="L108:L173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1779</v>
      </c>
      <c r="F109" s="23" t="s">
        <v>28</v>
      </c>
      <c r="G109" s="29" t="s">
        <v>17</v>
      </c>
      <c r="H109" s="29" t="s">
        <v>1269</v>
      </c>
      <c r="I109" s="810" t="s">
        <v>1780</v>
      </c>
      <c r="J109" s="19">
        <v>116417700</v>
      </c>
      <c r="K109" s="19"/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1781</v>
      </c>
      <c r="F110" s="23" t="s">
        <v>28</v>
      </c>
      <c r="G110" s="29" t="s">
        <v>17</v>
      </c>
      <c r="H110" s="29" t="s">
        <v>1269</v>
      </c>
      <c r="I110" s="806" t="s">
        <v>1799</v>
      </c>
      <c r="J110" s="19">
        <v>23438829</v>
      </c>
      <c r="K110" s="19"/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1804</v>
      </c>
      <c r="F111" s="23" t="s">
        <v>28</v>
      </c>
      <c r="G111" s="29" t="s">
        <v>17</v>
      </c>
      <c r="H111" s="29" t="s">
        <v>1269</v>
      </c>
      <c r="I111" s="810" t="s">
        <v>1805</v>
      </c>
      <c r="J111" s="19">
        <v>28521750</v>
      </c>
      <c r="K111" s="19"/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1153</v>
      </c>
      <c r="E112" s="23" t="s">
        <v>1160</v>
      </c>
      <c r="F112" s="23" t="s">
        <v>28</v>
      </c>
      <c r="G112" s="29" t="s">
        <v>17</v>
      </c>
      <c r="H112" s="29" t="s">
        <v>1269</v>
      </c>
      <c r="I112" s="807" t="s">
        <v>1633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1153</v>
      </c>
      <c r="E113" s="832" t="s">
        <v>1858</v>
      </c>
      <c r="F113" s="832" t="s">
        <v>28</v>
      </c>
      <c r="G113" s="833" t="s">
        <v>17</v>
      </c>
      <c r="H113" s="833" t="s">
        <v>1269</v>
      </c>
      <c r="I113" s="834" t="s">
        <v>1802</v>
      </c>
      <c r="J113" s="835">
        <v>18060000</v>
      </c>
      <c r="K113" s="835"/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1153</v>
      </c>
      <c r="E114" s="31" t="s">
        <v>1159</v>
      </c>
      <c r="F114" s="31" t="s">
        <v>28</v>
      </c>
      <c r="G114" s="39" t="s">
        <v>17</v>
      </c>
      <c r="H114" s="39" t="s">
        <v>1269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1153</v>
      </c>
      <c r="E115" s="31" t="s">
        <v>1784</v>
      </c>
      <c r="F115" s="31" t="s">
        <v>28</v>
      </c>
      <c r="G115" s="39" t="s">
        <v>17</v>
      </c>
      <c r="H115" s="39" t="s">
        <v>1269</v>
      </c>
      <c r="I115" s="33" t="s">
        <v>1785</v>
      </c>
      <c r="J115" s="19">
        <v>806880</v>
      </c>
      <c r="K115" s="19">
        <v>137290</v>
      </c>
      <c r="L115" s="311">
        <f>SUM(J115:K115)</f>
        <v>944170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1153</v>
      </c>
      <c r="E116" s="31" t="s">
        <v>1275</v>
      </c>
      <c r="F116" s="31" t="s">
        <v>28</v>
      </c>
      <c r="G116" s="39" t="s">
        <v>17</v>
      </c>
      <c r="H116" s="39" t="s">
        <v>1269</v>
      </c>
      <c r="I116" s="33" t="s">
        <v>1276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1153</v>
      </c>
      <c r="E117" s="31" t="s">
        <v>1240</v>
      </c>
      <c r="F117" s="31" t="s">
        <v>28</v>
      </c>
      <c r="G117" s="39" t="s">
        <v>17</v>
      </c>
      <c r="H117" s="39" t="s">
        <v>1269</v>
      </c>
      <c r="I117" s="33" t="s">
        <v>1163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1162</v>
      </c>
      <c r="E118" s="20" t="s">
        <v>14</v>
      </c>
      <c r="F118" s="20" t="s">
        <v>16</v>
      </c>
      <c r="G118" s="27" t="s">
        <v>17</v>
      </c>
      <c r="H118" s="27" t="s">
        <v>1269</v>
      </c>
      <c r="I118" s="28" t="s">
        <v>127</v>
      </c>
      <c r="J118" s="22">
        <v>390586714</v>
      </c>
      <c r="K118" s="22">
        <f>K119+K166+K168</f>
        <v>11874184</v>
      </c>
      <c r="L118" s="15">
        <f t="shared" si="10"/>
        <v>402460898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1162</v>
      </c>
      <c r="E119" s="858" t="s">
        <v>129</v>
      </c>
      <c r="F119" s="858" t="s">
        <v>28</v>
      </c>
      <c r="G119" s="859" t="s">
        <v>17</v>
      </c>
      <c r="H119" s="859" t="s">
        <v>1269</v>
      </c>
      <c r="I119" s="860" t="s">
        <v>1914</v>
      </c>
      <c r="J119" s="861">
        <v>389586714</v>
      </c>
      <c r="K119" s="861">
        <f>SUM(K120:K165)</f>
        <v>11874184</v>
      </c>
      <c r="L119" s="861">
        <f>SUM(L120:L165)</f>
        <v>401460898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1648</v>
      </c>
      <c r="H120" s="29" t="s">
        <v>1269</v>
      </c>
      <c r="I120" s="659" t="s">
        <v>1649</v>
      </c>
      <c r="J120" s="19">
        <v>731700</v>
      </c>
      <c r="K120" s="19"/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1650</v>
      </c>
      <c r="H121" s="29" t="s">
        <v>1269</v>
      </c>
      <c r="I121" s="659" t="s">
        <v>1651</v>
      </c>
      <c r="J121" s="19">
        <v>4445000</v>
      </c>
      <c r="K121" s="19"/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1908</v>
      </c>
      <c r="H122" s="29" t="s">
        <v>1269</v>
      </c>
      <c r="I122" s="857" t="s">
        <v>1915</v>
      </c>
      <c r="J122" s="19">
        <v>511215</v>
      </c>
      <c r="K122" s="19">
        <v>1620</v>
      </c>
      <c r="L122" s="311">
        <f t="shared" si="10"/>
        <v>512835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1726</v>
      </c>
      <c r="H123" s="29" t="s">
        <v>1269</v>
      </c>
      <c r="I123" s="739" t="s">
        <v>1727</v>
      </c>
      <c r="J123" s="19">
        <v>195000</v>
      </c>
      <c r="K123" s="19"/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1909</v>
      </c>
      <c r="H124" s="29" t="s">
        <v>1269</v>
      </c>
      <c r="I124" s="857" t="s">
        <v>1916</v>
      </c>
      <c r="J124" s="19">
        <v>2190574</v>
      </c>
      <c r="K124" s="19">
        <v>374000</v>
      </c>
      <c r="L124" s="311">
        <f t="shared" si="10"/>
        <v>2564574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130</v>
      </c>
      <c r="H125" s="29" t="s">
        <v>1269</v>
      </c>
      <c r="I125" s="738" t="s">
        <v>1343</v>
      </c>
      <c r="J125" s="40">
        <v>22300426</v>
      </c>
      <c r="K125" s="40"/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131</v>
      </c>
      <c r="H126" s="29" t="s">
        <v>1269</v>
      </c>
      <c r="I126" s="18" t="s">
        <v>132</v>
      </c>
      <c r="J126" s="311">
        <v>250000</v>
      </c>
      <c r="K126" s="40">
        <v>85000</v>
      </c>
      <c r="L126" s="311">
        <f t="shared" si="10"/>
        <v>335000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1474</v>
      </c>
      <c r="H127" s="29" t="s">
        <v>1269</v>
      </c>
      <c r="I127" s="738" t="s">
        <v>1475</v>
      </c>
      <c r="J127" s="311">
        <v>1058198</v>
      </c>
      <c r="K127" s="40">
        <v>-858198</v>
      </c>
      <c r="L127" s="311">
        <f t="shared" si="10"/>
        <v>200000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133</v>
      </c>
      <c r="H128" s="29" t="s">
        <v>1269</v>
      </c>
      <c r="I128" s="740" t="s">
        <v>134</v>
      </c>
      <c r="J128" s="311">
        <v>15635455</v>
      </c>
      <c r="K128" s="40">
        <v>-422679</v>
      </c>
      <c r="L128" s="311">
        <f t="shared" si="10"/>
        <v>15212776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135</v>
      </c>
      <c r="H129" s="29" t="s">
        <v>1269</v>
      </c>
      <c r="I129" s="41" t="s">
        <v>136</v>
      </c>
      <c r="J129" s="311">
        <v>1300000</v>
      </c>
      <c r="K129" s="40">
        <v>422679</v>
      </c>
      <c r="L129" s="311">
        <f t="shared" si="10"/>
        <v>1722679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137</v>
      </c>
      <c r="H130" s="29" t="s">
        <v>1269</v>
      </c>
      <c r="I130" s="18" t="s">
        <v>1476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138</v>
      </c>
      <c r="H131" s="29" t="s">
        <v>1269</v>
      </c>
      <c r="I131" s="18" t="s">
        <v>1477</v>
      </c>
      <c r="J131" s="311">
        <v>755130</v>
      </c>
      <c r="K131" s="40"/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1496</v>
      </c>
      <c r="H132" s="29" t="s">
        <v>1269</v>
      </c>
      <c r="I132" s="738" t="s">
        <v>1497</v>
      </c>
      <c r="J132" s="311">
        <v>1844050</v>
      </c>
      <c r="K132" s="40"/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1572</v>
      </c>
      <c r="H133" s="29" t="s">
        <v>1269</v>
      </c>
      <c r="I133" s="18" t="s">
        <v>1573</v>
      </c>
      <c r="J133" s="311">
        <v>350000</v>
      </c>
      <c r="K133" s="40"/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139</v>
      </c>
      <c r="H134" s="29" t="s">
        <v>1269</v>
      </c>
      <c r="I134" s="740" t="s">
        <v>140</v>
      </c>
      <c r="J134" s="311">
        <v>13114777</v>
      </c>
      <c r="K134" s="40"/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141</v>
      </c>
      <c r="H135" s="29" t="s">
        <v>1269</v>
      </c>
      <c r="I135" s="41" t="s">
        <v>142</v>
      </c>
      <c r="J135" s="311">
        <v>1691848</v>
      </c>
      <c r="K135" s="40">
        <v>200000</v>
      </c>
      <c r="L135" s="311">
        <f t="shared" si="10"/>
        <v>1891848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143</v>
      </c>
      <c r="H136" s="29" t="s">
        <v>1269</v>
      </c>
      <c r="I136" s="740" t="s">
        <v>1478</v>
      </c>
      <c r="J136" s="311">
        <v>20022824</v>
      </c>
      <c r="K136" s="40">
        <v>-2664627</v>
      </c>
      <c r="L136" s="311">
        <f t="shared" si="10"/>
        <v>17358197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144</v>
      </c>
      <c r="H137" s="29" t="s">
        <v>1269</v>
      </c>
      <c r="I137" s="740" t="s">
        <v>1479</v>
      </c>
      <c r="J137" s="311">
        <v>4476592</v>
      </c>
      <c r="K137" s="40">
        <v>718380</v>
      </c>
      <c r="L137" s="311">
        <f t="shared" si="10"/>
        <v>5194972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145</v>
      </c>
      <c r="H138" s="29" t="s">
        <v>1269</v>
      </c>
      <c r="I138" s="18" t="s">
        <v>146</v>
      </c>
      <c r="J138" s="311">
        <v>500000</v>
      </c>
      <c r="K138" s="40"/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147</v>
      </c>
      <c r="H139" s="29" t="s">
        <v>1269</v>
      </c>
      <c r="I139" s="18" t="s">
        <v>1480</v>
      </c>
      <c r="J139" s="311">
        <v>656864</v>
      </c>
      <c r="K139" s="40"/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1481</v>
      </c>
      <c r="H140" s="29" t="s">
        <v>1269</v>
      </c>
      <c r="I140" s="18" t="s">
        <v>1482</v>
      </c>
      <c r="J140" s="311">
        <v>5666436</v>
      </c>
      <c r="K140" s="40">
        <v>944670</v>
      </c>
      <c r="L140" s="311">
        <f t="shared" si="10"/>
        <v>6611106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1344</v>
      </c>
      <c r="H141" s="29" t="s">
        <v>1269</v>
      </c>
      <c r="I141" s="18" t="s">
        <v>1345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1718</v>
      </c>
      <c r="H142" s="29" t="s">
        <v>1269</v>
      </c>
      <c r="I142" s="738" t="s">
        <v>1722</v>
      </c>
      <c r="J142" s="311">
        <v>173661</v>
      </c>
      <c r="K142" s="40"/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1503</v>
      </c>
      <c r="H143" s="29" t="s">
        <v>1269</v>
      </c>
      <c r="I143" s="18" t="s">
        <v>1504</v>
      </c>
      <c r="J143" s="311">
        <v>350000</v>
      </c>
      <c r="K143" s="40"/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1543</v>
      </c>
      <c r="H144" s="29" t="s">
        <v>1269</v>
      </c>
      <c r="I144" s="18" t="s">
        <v>1544</v>
      </c>
      <c r="J144" s="311">
        <v>60000</v>
      </c>
      <c r="K144" s="40"/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1483</v>
      </c>
      <c r="H145" s="29" t="s">
        <v>1269</v>
      </c>
      <c r="I145" s="740" t="s">
        <v>1484</v>
      </c>
      <c r="J145" s="311">
        <v>9714488</v>
      </c>
      <c r="K145" s="40">
        <v>-2495079</v>
      </c>
      <c r="L145" s="311">
        <f t="shared" si="10"/>
        <v>7219409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1498</v>
      </c>
      <c r="H146" s="29" t="s">
        <v>1269</v>
      </c>
      <c r="I146" s="18" t="s">
        <v>1499</v>
      </c>
      <c r="J146" s="311">
        <v>150000</v>
      </c>
      <c r="K146" s="40"/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1505</v>
      </c>
      <c r="H147" s="29" t="s">
        <v>1269</v>
      </c>
      <c r="I147" s="658" t="s">
        <v>1506</v>
      </c>
      <c r="J147" s="311">
        <v>600000</v>
      </c>
      <c r="K147" s="40"/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1485</v>
      </c>
      <c r="H148" s="29" t="s">
        <v>1269</v>
      </c>
      <c r="I148" s="738" t="s">
        <v>1486</v>
      </c>
      <c r="J148" s="311">
        <v>309134</v>
      </c>
      <c r="K148" s="40"/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1579</v>
      </c>
      <c r="H149" s="29" t="s">
        <v>1269</v>
      </c>
      <c r="I149" s="740" t="s">
        <v>1578</v>
      </c>
      <c r="J149" s="311">
        <v>100000</v>
      </c>
      <c r="K149" s="40"/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1508</v>
      </c>
      <c r="H150" s="29" t="s">
        <v>1269</v>
      </c>
      <c r="I150" s="18" t="s">
        <v>1507</v>
      </c>
      <c r="J150" s="311">
        <v>450000</v>
      </c>
      <c r="K150" s="40"/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1487</v>
      </c>
      <c r="H151" s="29" t="s">
        <v>1269</v>
      </c>
      <c r="I151" s="658" t="s">
        <v>1488</v>
      </c>
      <c r="J151" s="648">
        <v>2702975</v>
      </c>
      <c r="K151" s="40"/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1489</v>
      </c>
      <c r="H152" s="29" t="s">
        <v>1269</v>
      </c>
      <c r="I152" s="18" t="s">
        <v>1490</v>
      </c>
      <c r="J152" s="311">
        <v>2979507</v>
      </c>
      <c r="K152" s="40"/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1500</v>
      </c>
      <c r="H153" s="29" t="s">
        <v>1269</v>
      </c>
      <c r="I153" s="18" t="s">
        <v>1501</v>
      </c>
      <c r="J153" s="311">
        <v>300000</v>
      </c>
      <c r="K153" s="40"/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1491</v>
      </c>
      <c r="H154" s="29" t="s">
        <v>1269</v>
      </c>
      <c r="I154" s="740" t="s">
        <v>1492</v>
      </c>
      <c r="J154" s="311">
        <v>16874268</v>
      </c>
      <c r="K154" s="40">
        <v>2745102</v>
      </c>
      <c r="L154" s="311">
        <f t="shared" si="10"/>
        <v>19619370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1493</v>
      </c>
      <c r="H155" s="29" t="s">
        <v>1269</v>
      </c>
      <c r="I155" s="18" t="s">
        <v>1494</v>
      </c>
      <c r="J155" s="311">
        <v>650346</v>
      </c>
      <c r="K155" s="40"/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1576</v>
      </c>
      <c r="H156" s="29" t="s">
        <v>1269</v>
      </c>
      <c r="I156" s="309" t="s">
        <v>1577</v>
      </c>
      <c r="J156" s="311">
        <v>170000</v>
      </c>
      <c r="K156" s="40">
        <v>50000</v>
      </c>
      <c r="L156" s="311">
        <f t="shared" si="10"/>
        <v>220000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1800</v>
      </c>
      <c r="H157" s="29" t="s">
        <v>1269</v>
      </c>
      <c r="I157" s="309" t="s">
        <v>1801</v>
      </c>
      <c r="J157" s="311">
        <v>372238</v>
      </c>
      <c r="K157" s="40"/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1910</v>
      </c>
      <c r="H158" s="29" t="s">
        <v>1269</v>
      </c>
      <c r="I158" s="309" t="s">
        <v>1917</v>
      </c>
      <c r="J158" s="311">
        <v>1605000</v>
      </c>
      <c r="K158" s="40">
        <v>2050627</v>
      </c>
      <c r="L158" s="311">
        <f t="shared" si="10"/>
        <v>3655627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1918</v>
      </c>
      <c r="H159" s="29" t="s">
        <v>1269</v>
      </c>
      <c r="I159" s="309" t="s">
        <v>1919</v>
      </c>
      <c r="J159" s="311">
        <v>87500000</v>
      </c>
      <c r="K159" s="40"/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1719</v>
      </c>
      <c r="H160" s="29" t="s">
        <v>1269</v>
      </c>
      <c r="I160" s="309" t="s">
        <v>1723</v>
      </c>
      <c r="J160" s="311">
        <v>15643792</v>
      </c>
      <c r="K160" s="40">
        <v>2732668</v>
      </c>
      <c r="L160" s="311">
        <f t="shared" si="10"/>
        <v>18376460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1652</v>
      </c>
      <c r="H161" s="29" t="s">
        <v>1269</v>
      </c>
      <c r="I161" s="309" t="s">
        <v>1653</v>
      </c>
      <c r="J161" s="311">
        <v>13901864</v>
      </c>
      <c r="K161" s="40"/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1654</v>
      </c>
      <c r="H162" s="29" t="s">
        <v>1269</v>
      </c>
      <c r="I162" s="309" t="s">
        <v>1655</v>
      </c>
      <c r="J162" s="311">
        <v>40000000</v>
      </c>
      <c r="K162" s="40"/>
      <c r="L162" s="311">
        <f t="shared" si="10"/>
        <v>40000000</v>
      </c>
    </row>
    <row r="163" spans="1:12" s="365" customFormat="1" ht="63.75" customHeight="1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1952</v>
      </c>
      <c r="H163" s="29" t="s">
        <v>1269</v>
      </c>
      <c r="I163" s="309" t="s">
        <v>1953</v>
      </c>
      <c r="J163" s="311"/>
      <c r="K163" s="40">
        <v>7990021</v>
      </c>
      <c r="L163" s="311">
        <f t="shared" si="10"/>
        <v>7990021</v>
      </c>
    </row>
    <row r="164" spans="1:12" s="365" customFormat="1" ht="84.75" customHeight="1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1911</v>
      </c>
      <c r="H164" s="29" t="s">
        <v>1269</v>
      </c>
      <c r="I164" s="309" t="s">
        <v>1920</v>
      </c>
      <c r="J164" s="311">
        <v>75230257</v>
      </c>
      <c r="K164" s="40"/>
      <c r="L164" s="311">
        <f t="shared" si="10"/>
        <v>75230257</v>
      </c>
    </row>
    <row r="165" spans="1:12" s="365" customFormat="1" ht="32.25" customHeight="1" x14ac:dyDescent="0.25">
      <c r="A165" s="23" t="s">
        <v>37</v>
      </c>
      <c r="B165" s="23" t="s">
        <v>78</v>
      </c>
      <c r="C165" s="23" t="s">
        <v>21</v>
      </c>
      <c r="D165" s="23" t="s">
        <v>1162</v>
      </c>
      <c r="E165" s="23" t="s">
        <v>129</v>
      </c>
      <c r="F165" s="23" t="s">
        <v>28</v>
      </c>
      <c r="G165" s="29" t="s">
        <v>1912</v>
      </c>
      <c r="H165" s="29" t="s">
        <v>1269</v>
      </c>
      <c r="I165" s="309" t="s">
        <v>1921</v>
      </c>
      <c r="J165" s="311">
        <v>22000000</v>
      </c>
      <c r="K165" s="40"/>
      <c r="L165" s="311">
        <f t="shared" si="10"/>
        <v>22000000</v>
      </c>
    </row>
    <row r="166" spans="1:12" s="365" customFormat="1" ht="0.75" customHeight="1" x14ac:dyDescent="0.25">
      <c r="A166" s="858" t="s">
        <v>14</v>
      </c>
      <c r="B166" s="858" t="s">
        <v>78</v>
      </c>
      <c r="C166" s="858" t="s">
        <v>21</v>
      </c>
      <c r="D166" s="858" t="s">
        <v>1495</v>
      </c>
      <c r="E166" s="858" t="s">
        <v>1565</v>
      </c>
      <c r="F166" s="858" t="s">
        <v>28</v>
      </c>
      <c r="G166" s="859" t="s">
        <v>17</v>
      </c>
      <c r="H166" s="859" t="s">
        <v>1269</v>
      </c>
      <c r="I166" s="865" t="s">
        <v>128</v>
      </c>
      <c r="J166" s="862">
        <v>0</v>
      </c>
      <c r="K166" s="866">
        <f>K167</f>
        <v>0</v>
      </c>
      <c r="L166" s="862">
        <f>J166+K166</f>
        <v>0</v>
      </c>
    </row>
    <row r="167" spans="1:12" s="365" customFormat="1" ht="108.75" hidden="1" customHeight="1" x14ac:dyDescent="0.25">
      <c r="A167" s="23" t="s">
        <v>83</v>
      </c>
      <c r="B167" s="23" t="s">
        <v>78</v>
      </c>
      <c r="C167" s="23" t="s">
        <v>21</v>
      </c>
      <c r="D167" s="23" t="s">
        <v>1495</v>
      </c>
      <c r="E167" s="23" t="s">
        <v>1565</v>
      </c>
      <c r="F167" s="23" t="s">
        <v>28</v>
      </c>
      <c r="G167" s="29" t="s">
        <v>1566</v>
      </c>
      <c r="H167" s="29" t="s">
        <v>1269</v>
      </c>
      <c r="I167" s="856" t="s">
        <v>1567</v>
      </c>
      <c r="J167" s="311">
        <v>0</v>
      </c>
      <c r="K167" s="450"/>
      <c r="L167" s="311">
        <f t="shared" si="10"/>
        <v>0</v>
      </c>
    </row>
    <row r="168" spans="1:12" s="365" customFormat="1" ht="48.75" customHeight="1" x14ac:dyDescent="0.25">
      <c r="A168" s="858" t="s">
        <v>14</v>
      </c>
      <c r="B168" s="858" t="s">
        <v>78</v>
      </c>
      <c r="C168" s="858" t="s">
        <v>21</v>
      </c>
      <c r="D168" s="858" t="s">
        <v>1533</v>
      </c>
      <c r="E168" s="858" t="s">
        <v>93</v>
      </c>
      <c r="F168" s="858" t="s">
        <v>28</v>
      </c>
      <c r="G168" s="859" t="s">
        <v>17</v>
      </c>
      <c r="H168" s="859" t="s">
        <v>1269</v>
      </c>
      <c r="I168" s="863" t="s">
        <v>337</v>
      </c>
      <c r="J168" s="862">
        <v>1000000</v>
      </c>
      <c r="K168" s="864">
        <f>K169+K170+K171</f>
        <v>0</v>
      </c>
      <c r="L168" s="862">
        <f>J168+K168</f>
        <v>1000000</v>
      </c>
    </row>
    <row r="169" spans="1:12" s="365" customFormat="1" ht="0.75" customHeight="1" x14ac:dyDescent="0.25">
      <c r="A169" s="23" t="s">
        <v>37</v>
      </c>
      <c r="B169" s="23" t="s">
        <v>78</v>
      </c>
      <c r="C169" s="23" t="s">
        <v>21</v>
      </c>
      <c r="D169" s="23" t="s">
        <v>1533</v>
      </c>
      <c r="E169" s="23" t="s">
        <v>93</v>
      </c>
      <c r="F169" s="23" t="s">
        <v>28</v>
      </c>
      <c r="G169" s="29" t="s">
        <v>1534</v>
      </c>
      <c r="H169" s="29" t="s">
        <v>1269</v>
      </c>
      <c r="I169" s="18" t="s">
        <v>1535</v>
      </c>
      <c r="J169" s="311">
        <v>0</v>
      </c>
      <c r="K169" s="408"/>
      <c r="L169" s="311">
        <f t="shared" si="10"/>
        <v>0</v>
      </c>
    </row>
    <row r="170" spans="1:12" s="365" customFormat="1" ht="51" hidden="1" customHeight="1" x14ac:dyDescent="0.25">
      <c r="A170" s="23" t="s">
        <v>98</v>
      </c>
      <c r="B170" s="23" t="s">
        <v>78</v>
      </c>
      <c r="C170" s="23" t="s">
        <v>21</v>
      </c>
      <c r="D170" s="23" t="s">
        <v>1533</v>
      </c>
      <c r="E170" s="23" t="s">
        <v>93</v>
      </c>
      <c r="F170" s="23" t="s">
        <v>28</v>
      </c>
      <c r="G170" s="29" t="s">
        <v>1782</v>
      </c>
      <c r="H170" s="29" t="s">
        <v>1269</v>
      </c>
      <c r="I170" s="749" t="s">
        <v>1783</v>
      </c>
      <c r="J170" s="311">
        <v>0</v>
      </c>
      <c r="K170" s="408"/>
      <c r="L170" s="311">
        <f t="shared" si="10"/>
        <v>0</v>
      </c>
    </row>
    <row r="171" spans="1:12" s="365" customFormat="1" ht="61.5" customHeight="1" x14ac:dyDescent="0.25">
      <c r="A171" s="23" t="s">
        <v>94</v>
      </c>
      <c r="B171" s="23" t="s">
        <v>78</v>
      </c>
      <c r="C171" s="23" t="s">
        <v>21</v>
      </c>
      <c r="D171" s="23" t="s">
        <v>1533</v>
      </c>
      <c r="E171" s="23" t="s">
        <v>93</v>
      </c>
      <c r="F171" s="23" t="s">
        <v>28</v>
      </c>
      <c r="G171" s="29" t="s">
        <v>1913</v>
      </c>
      <c r="H171" s="29" t="s">
        <v>1269</v>
      </c>
      <c r="I171" s="856" t="s">
        <v>1932</v>
      </c>
      <c r="J171" s="311">
        <v>1000000</v>
      </c>
      <c r="K171" s="408"/>
      <c r="L171" s="311">
        <f t="shared" si="10"/>
        <v>1000000</v>
      </c>
    </row>
    <row r="172" spans="1:12" s="365" customFormat="1" ht="21.75" customHeight="1" x14ac:dyDescent="0.25">
      <c r="A172" s="20" t="s">
        <v>14</v>
      </c>
      <c r="B172" s="20" t="s">
        <v>78</v>
      </c>
      <c r="C172" s="20" t="s">
        <v>38</v>
      </c>
      <c r="D172" s="20" t="s">
        <v>16</v>
      </c>
      <c r="E172" s="20" t="s">
        <v>14</v>
      </c>
      <c r="F172" s="20" t="s">
        <v>16</v>
      </c>
      <c r="G172" s="27" t="s">
        <v>17</v>
      </c>
      <c r="H172" s="27" t="s">
        <v>14</v>
      </c>
      <c r="I172" s="14" t="s">
        <v>1568</v>
      </c>
      <c r="J172" s="15">
        <v>0</v>
      </c>
      <c r="K172" s="15">
        <f>K173</f>
        <v>181620</v>
      </c>
      <c r="L172" s="15">
        <f t="shared" si="10"/>
        <v>181620</v>
      </c>
    </row>
    <row r="173" spans="1:12" s="365" customFormat="1" ht="31.5" customHeight="1" x14ac:dyDescent="0.25">
      <c r="A173" s="23" t="s">
        <v>14</v>
      </c>
      <c r="B173" s="23" t="s">
        <v>78</v>
      </c>
      <c r="C173" s="23" t="s">
        <v>38</v>
      </c>
      <c r="D173" s="23" t="s">
        <v>28</v>
      </c>
      <c r="E173" s="23" t="s">
        <v>1569</v>
      </c>
      <c r="F173" s="23" t="s">
        <v>28</v>
      </c>
      <c r="G173" s="29" t="s">
        <v>17</v>
      </c>
      <c r="H173" s="29" t="s">
        <v>1269</v>
      </c>
      <c r="I173" s="18" t="s">
        <v>1570</v>
      </c>
      <c r="J173" s="311">
        <v>0</v>
      </c>
      <c r="K173" s="408">
        <v>181620</v>
      </c>
      <c r="L173" s="311">
        <f t="shared" si="10"/>
        <v>181620</v>
      </c>
    </row>
    <row r="174" spans="1:12" s="36" customFormat="1" ht="18.75" customHeight="1" x14ac:dyDescent="0.25">
      <c r="A174" s="23"/>
      <c r="B174" s="23"/>
      <c r="C174" s="23"/>
      <c r="D174" s="23"/>
      <c r="E174" s="23"/>
      <c r="F174" s="23"/>
      <c r="G174" s="29"/>
      <c r="H174" s="29"/>
      <c r="I174" s="14" t="s">
        <v>148</v>
      </c>
      <c r="J174" s="22">
        <v>2510793089</v>
      </c>
      <c r="K174" s="22">
        <f>K11+K46</f>
        <v>26444867</v>
      </c>
      <c r="L174" s="15">
        <f>SUM(J174:K174)</f>
        <v>2537237956</v>
      </c>
    </row>
    <row r="175" spans="1:12" ht="0.95" customHeight="1" x14ac:dyDescent="0.2">
      <c r="A175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362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1733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1830</v>
      </c>
      <c r="B7" s="977"/>
      <c r="C7" s="977"/>
      <c r="D7" s="977"/>
      <c r="E7" s="977"/>
      <c r="F7" s="95"/>
    </row>
    <row r="8" spans="1:6" ht="48" customHeight="1" x14ac:dyDescent="0.2">
      <c r="A8" s="741" t="s">
        <v>1735</v>
      </c>
      <c r="B8" s="369" t="s">
        <v>1734</v>
      </c>
      <c r="C8" s="741" t="s">
        <v>1736</v>
      </c>
      <c r="D8" s="741" t="s">
        <v>1732</v>
      </c>
      <c r="E8" s="741" t="s">
        <v>1731</v>
      </c>
      <c r="F8" s="95"/>
    </row>
    <row r="9" spans="1:6" ht="155.25" customHeight="1" x14ac:dyDescent="0.2">
      <c r="A9" s="743" t="s">
        <v>1737</v>
      </c>
      <c r="B9" s="744" t="s">
        <v>1644</v>
      </c>
      <c r="C9" s="743">
        <v>100</v>
      </c>
      <c r="D9" s="743"/>
      <c r="E9" s="743"/>
      <c r="F9" s="95"/>
    </row>
    <row r="10" spans="1:6" ht="153" x14ac:dyDescent="0.2">
      <c r="A10" s="743" t="s">
        <v>1738</v>
      </c>
      <c r="B10" s="203" t="s">
        <v>1739</v>
      </c>
      <c r="C10" s="743"/>
      <c r="D10" s="743">
        <v>100</v>
      </c>
      <c r="E10" s="743"/>
      <c r="F10" s="95"/>
    </row>
    <row r="11" spans="1:6" ht="153" x14ac:dyDescent="0.2">
      <c r="A11" s="743" t="s">
        <v>1741</v>
      </c>
      <c r="B11" s="203" t="s">
        <v>1740</v>
      </c>
      <c r="C11" s="743"/>
      <c r="D11" s="743"/>
      <c r="E11" s="743">
        <v>100</v>
      </c>
      <c r="F11" s="95"/>
    </row>
    <row r="12" spans="1:6" ht="140.25" x14ac:dyDescent="0.2">
      <c r="A12" s="743" t="s">
        <v>1742</v>
      </c>
      <c r="B12" s="203" t="s">
        <v>1645</v>
      </c>
      <c r="C12" s="743">
        <v>100</v>
      </c>
      <c r="D12" s="743"/>
      <c r="E12" s="743"/>
      <c r="F12" s="95"/>
    </row>
    <row r="13" spans="1:6" ht="140.25" x14ac:dyDescent="0.2">
      <c r="A13" s="743" t="s">
        <v>1743</v>
      </c>
      <c r="B13" s="203" t="s">
        <v>1744</v>
      </c>
      <c r="C13" s="743"/>
      <c r="D13" s="743">
        <v>100</v>
      </c>
      <c r="E13" s="743"/>
      <c r="F13" s="95"/>
    </row>
    <row r="14" spans="1:6" ht="140.25" x14ac:dyDescent="0.2">
      <c r="A14" s="743" t="s">
        <v>1745</v>
      </c>
      <c r="B14" s="203" t="s">
        <v>1746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1747</v>
      </c>
      <c r="B15" s="744" t="s">
        <v>1612</v>
      </c>
      <c r="C15" s="743">
        <v>100</v>
      </c>
      <c r="D15" s="743"/>
      <c r="E15" s="743"/>
      <c r="F15" s="95"/>
    </row>
    <row r="16" spans="1:6" ht="102" x14ac:dyDescent="0.2">
      <c r="A16" s="743" t="s">
        <v>1748</v>
      </c>
      <c r="B16" s="203" t="s">
        <v>1749</v>
      </c>
      <c r="C16" s="743"/>
      <c r="D16" s="743">
        <v>100</v>
      </c>
      <c r="E16" s="743"/>
      <c r="F16" s="95"/>
    </row>
    <row r="17" spans="1:6" ht="102" x14ac:dyDescent="0.2">
      <c r="A17" s="743" t="s">
        <v>1750</v>
      </c>
      <c r="B17" s="203" t="s">
        <v>1751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1757</v>
      </c>
      <c r="B18" s="203" t="s">
        <v>1613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1758</v>
      </c>
      <c r="B19" s="203" t="s">
        <v>1759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1760</v>
      </c>
      <c r="B20" s="203" t="s">
        <v>1761</v>
      </c>
      <c r="C20" s="743"/>
      <c r="D20" s="743"/>
      <c r="E20" s="743">
        <v>100</v>
      </c>
      <c r="F20" s="95"/>
    </row>
    <row r="21" spans="1:6" ht="51" x14ac:dyDescent="0.2">
      <c r="A21" s="743" t="s">
        <v>1752</v>
      </c>
      <c r="B21" s="203" t="s">
        <v>1707</v>
      </c>
      <c r="C21" s="743">
        <v>100</v>
      </c>
      <c r="D21" s="743"/>
      <c r="E21" s="743"/>
      <c r="F21" s="95"/>
    </row>
    <row r="22" spans="1:6" ht="51" x14ac:dyDescent="0.2">
      <c r="A22" s="743" t="s">
        <v>1753</v>
      </c>
      <c r="B22" s="203" t="s">
        <v>1754</v>
      </c>
      <c r="C22" s="743"/>
      <c r="D22" s="743">
        <v>100</v>
      </c>
      <c r="E22" s="743"/>
      <c r="F22" s="95"/>
    </row>
    <row r="23" spans="1:6" ht="51" x14ac:dyDescent="0.2">
      <c r="A23" s="743" t="s">
        <v>1755</v>
      </c>
      <c r="B23" s="203" t="s">
        <v>1756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1815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1931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1939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358</v>
      </c>
      <c r="B8" s="981"/>
      <c r="C8" s="981"/>
    </row>
    <row r="9" spans="1:3" ht="47.25" x14ac:dyDescent="0.2">
      <c r="A9" s="90">
        <v>955</v>
      </c>
      <c r="B9" s="90" t="s">
        <v>363</v>
      </c>
      <c r="C9" s="91" t="s">
        <v>1922</v>
      </c>
    </row>
    <row r="10" spans="1:3" ht="47.25" x14ac:dyDescent="0.2">
      <c r="A10" s="90">
        <v>955</v>
      </c>
      <c r="B10" s="90" t="s">
        <v>364</v>
      </c>
      <c r="C10" s="91" t="s">
        <v>1923</v>
      </c>
    </row>
    <row r="11" spans="1:3" ht="63" x14ac:dyDescent="0.2">
      <c r="A11" s="90">
        <v>955</v>
      </c>
      <c r="B11" s="90" t="s">
        <v>365</v>
      </c>
      <c r="C11" s="91" t="s">
        <v>1924</v>
      </c>
    </row>
    <row r="12" spans="1:3" ht="63" x14ac:dyDescent="0.2">
      <c r="A12" s="90">
        <v>955</v>
      </c>
      <c r="B12" s="90" t="s">
        <v>366</v>
      </c>
      <c r="C12" s="91" t="s">
        <v>1925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1926</v>
      </c>
    </row>
    <row r="17" spans="1:3" ht="63" x14ac:dyDescent="0.2">
      <c r="A17" s="92">
        <v>955</v>
      </c>
      <c r="B17" s="92" t="s">
        <v>371</v>
      </c>
      <c r="C17" s="91" t="s">
        <v>1927</v>
      </c>
    </row>
    <row r="18" spans="1:3" ht="63" x14ac:dyDescent="0.2">
      <c r="A18" s="92">
        <v>955</v>
      </c>
      <c r="B18" s="92" t="s">
        <v>372</v>
      </c>
      <c r="C18" s="91" t="s">
        <v>1928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7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266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1957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1831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379</v>
      </c>
      <c r="E9" s="533" t="s">
        <v>380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573640347.22000003</v>
      </c>
      <c r="H10" s="337">
        <f>H11+H15+H25+H29+H33+H134+H155+H223+H249+H370+H346+H126+H165+H366+H241+H299+H383+H357</f>
        <v>19962501</v>
      </c>
      <c r="I10" s="383">
        <f>I11+I15+I25+I29+I33+I134+I155+I223+I249+I370+I346+I126+I165+I366+I241+I299+I383+I357</f>
        <v>593602848.22000003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40933166</v>
      </c>
      <c r="H15" s="338">
        <f>H16</f>
        <v>959086</v>
      </c>
      <c r="I15" s="276">
        <f>I16</f>
        <v>41892252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40933166</v>
      </c>
      <c r="H16" s="338">
        <f>H17+H22</f>
        <v>959086</v>
      </c>
      <c r="I16" s="119">
        <f t="shared" si="2"/>
        <v>41892252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18632740</v>
      </c>
      <c r="H17" s="338">
        <f t="shared" ref="H17:I17" si="3">H18+H19+H21+H20</f>
        <v>959086</v>
      </c>
      <c r="I17" s="276">
        <f t="shared" si="3"/>
        <v>19591826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14551761</v>
      </c>
      <c r="H18" s="283"/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3802352</v>
      </c>
      <c r="H19" s="283">
        <v>959086</v>
      </c>
      <c r="I19" s="119">
        <f t="shared" si="2"/>
        <v>4761438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22300426</v>
      </c>
      <c r="H22" s="283">
        <f>H23+H24</f>
        <v>0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22300426</v>
      </c>
      <c r="H23" s="283"/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2960000</v>
      </c>
      <c r="H29" s="338">
        <f t="shared" ref="H29:H31" si="5">H30</f>
        <v>-25000</v>
      </c>
      <c r="I29" s="119">
        <f t="shared" si="2"/>
        <v>2935000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2960000</v>
      </c>
      <c r="H30" s="338">
        <f t="shared" si="5"/>
        <v>-25000</v>
      </c>
      <c r="I30" s="119">
        <f t="shared" si="2"/>
        <v>2935000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2960000</v>
      </c>
      <c r="H31" s="338">
        <f t="shared" si="5"/>
        <v>-25000</v>
      </c>
      <c r="I31" s="119">
        <f t="shared" si="2"/>
        <v>2935000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2960000</v>
      </c>
      <c r="H32" s="283">
        <v>-25000</v>
      </c>
      <c r="I32" s="119">
        <f t="shared" si="2"/>
        <v>2935000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72961037</v>
      </c>
      <c r="H33" s="338">
        <f>H34+H38+H46+H84+H53+H74+H65+H70+H80+H121+H118</f>
        <v>-2113374</v>
      </c>
      <c r="I33" s="276">
        <f>I34+I38+I46+I84+I53+I74+I65+I70+I80+I121+I118</f>
        <v>70847663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3484033</v>
      </c>
      <c r="H38" s="338">
        <f>H39+H42</f>
        <v>50000</v>
      </c>
      <c r="I38" s="119">
        <f t="shared" si="2"/>
        <v>3534033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250000</v>
      </c>
      <c r="H39" s="338">
        <f t="shared" ref="H39:H40" si="6">H40</f>
        <v>50000</v>
      </c>
      <c r="I39" s="119">
        <f t="shared" si="2"/>
        <v>300000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50000</v>
      </c>
      <c r="I40" s="119">
        <f t="shared" si="2"/>
        <v>300000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>
        <v>50000</v>
      </c>
      <c r="I41" s="119">
        <f t="shared" si="2"/>
        <v>300000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1792</v>
      </c>
      <c r="E42" s="111"/>
      <c r="F42" s="113"/>
      <c r="G42" s="276">
        <v>3234033</v>
      </c>
      <c r="H42" s="338">
        <f t="shared" ref="H42:I42" si="7">H43</f>
        <v>0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3234033</v>
      </c>
      <c r="H43" s="338">
        <f>H44+H45</f>
        <v>0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2452833</v>
      </c>
      <c r="H44" s="338"/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781200</v>
      </c>
      <c r="H45" s="338"/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415000</v>
      </c>
      <c r="H46" s="338">
        <f t="shared" ref="H46:I46" si="8">H50+H47</f>
        <v>645046</v>
      </c>
      <c r="I46" s="276">
        <f t="shared" si="8"/>
        <v>1060046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415000</v>
      </c>
      <c r="H47" s="338">
        <f>H48</f>
        <v>-148000</v>
      </c>
      <c r="I47" s="119">
        <f t="shared" si="2"/>
        <v>267000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-148000</v>
      </c>
      <c r="I48" s="119">
        <f t="shared" si="2"/>
        <v>267000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>
        <v>-148000</v>
      </c>
      <c r="I49" s="119">
        <f t="shared" si="2"/>
        <v>267000</v>
      </c>
    </row>
    <row r="50" spans="1:9" s="108" customFormat="1" ht="63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0</v>
      </c>
      <c r="H50" s="338">
        <f t="shared" ref="H50:H51" si="9">H51</f>
        <v>793046</v>
      </c>
      <c r="I50" s="119">
        <f t="shared" si="2"/>
        <v>793046</v>
      </c>
    </row>
    <row r="51" spans="1:9" s="108" customFormat="1" ht="31.5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793046</v>
      </c>
      <c r="I51" s="119">
        <f t="shared" si="2"/>
        <v>793046</v>
      </c>
    </row>
    <row r="52" spans="1:9" s="108" customFormat="1" ht="63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>
        <v>793046</v>
      </c>
      <c r="I52" s="119">
        <f t="shared" si="2"/>
        <v>793046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850000</v>
      </c>
      <c r="H53" s="338">
        <f>H54+H62</f>
        <v>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850000</v>
      </c>
      <c r="H54" s="338">
        <f t="shared" ref="H54:I54" si="10">H55+H58+H60</f>
        <v>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600000</v>
      </c>
      <c r="H58" s="338">
        <f t="shared" ref="H58:I58" si="12">H59</f>
        <v>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600000</v>
      </c>
      <c r="H59" s="338"/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694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500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502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1118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1120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1254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1232</v>
      </c>
      <c r="E74" s="111"/>
      <c r="F74" s="113"/>
      <c r="G74" s="276">
        <v>200000</v>
      </c>
      <c r="H74" s="338">
        <f t="shared" ref="H74:I74" si="17">H75</f>
        <v>50000</v>
      </c>
      <c r="I74" s="338">
        <f t="shared" si="17"/>
        <v>250000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1233</v>
      </c>
      <c r="E75" s="111"/>
      <c r="F75" s="113"/>
      <c r="G75" s="276">
        <v>200000</v>
      </c>
      <c r="H75" s="338">
        <f t="shared" ref="H75:I75" si="18">H76+H78</f>
        <v>50000</v>
      </c>
      <c r="I75" s="276">
        <f t="shared" si="18"/>
        <v>250000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170000</v>
      </c>
      <c r="H78" s="338">
        <f t="shared" ref="H78:I78" si="19">H79</f>
        <v>50000</v>
      </c>
      <c r="I78" s="276">
        <f t="shared" si="19"/>
        <v>220000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170000</v>
      </c>
      <c r="H79" s="338">
        <v>50000</v>
      </c>
      <c r="I79" s="119">
        <f>G79+H79</f>
        <v>220000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1348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1352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383</v>
      </c>
      <c r="E84" s="111"/>
      <c r="F84" s="113"/>
      <c r="G84" s="338">
        <v>67220588</v>
      </c>
      <c r="H84" s="338">
        <f>H112+H115+H106+H85+H89+H98+H95+H100+H102+H104+H109</f>
        <v>-2858420</v>
      </c>
      <c r="I84" s="338">
        <f>I112+I115+I106+I85+I89+I98+I95+I100+I102+I104+I109</f>
        <v>64362168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16200000</v>
      </c>
      <c r="H85" s="338">
        <f>H86+H88+H87</f>
        <v>-3600000</v>
      </c>
      <c r="I85" s="276">
        <f>I86+I88+I87</f>
        <v>12600000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405000</v>
      </c>
      <c r="H86" s="338"/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9295000</v>
      </c>
      <c r="H87" s="338"/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6500000</v>
      </c>
      <c r="H88" s="338">
        <v>-3600000</v>
      </c>
      <c r="I88" s="119">
        <f t="shared" si="2"/>
        <v>2900000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44261543</v>
      </c>
      <c r="H89" s="338">
        <f>H90+H91+H94+H93+H92</f>
        <v>-375710</v>
      </c>
      <c r="I89" s="338">
        <f>I90+I91+I94+I93+I92</f>
        <v>43885833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19435367</v>
      </c>
      <c r="H90" s="338">
        <f>-438431-128802</f>
        <v>-567233</v>
      </c>
      <c r="I90" s="119">
        <f t="shared" si="2"/>
        <v>18868134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4555200</v>
      </c>
      <c r="H91" s="338">
        <f>-501219-2894+97290</f>
        <v>-406823</v>
      </c>
      <c r="I91" s="119">
        <f t="shared" si="2"/>
        <v>4148377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>
        <v>275183</v>
      </c>
      <c r="H92" s="338"/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19948493</v>
      </c>
      <c r="H93" s="338">
        <v>597000</v>
      </c>
      <c r="I93" s="119">
        <f t="shared" si="2"/>
        <v>20545493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>
        <v>1346</v>
      </c>
      <c r="I94" s="119">
        <f t="shared" si="2"/>
        <v>48646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227881</v>
      </c>
      <c r="H95" s="338">
        <f t="shared" ref="H95:I95" si="21">H97+H96</f>
        <v>660000</v>
      </c>
      <c r="I95" s="276">
        <f t="shared" si="21"/>
        <v>887881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227881</v>
      </c>
      <c r="H97" s="338">
        <v>660000</v>
      </c>
      <c r="I97" s="119">
        <f t="shared" si="2"/>
        <v>887881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320000</v>
      </c>
      <c r="I98" s="119">
        <f t="shared" si="2"/>
        <v>570000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>
        <v>320000</v>
      </c>
      <c r="I99" s="119">
        <f t="shared" si="2"/>
        <v>570000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173661</v>
      </c>
      <c r="H102" s="338">
        <f t="shared" ref="H102:I102" si="23">H103</f>
        <v>0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173661</v>
      </c>
      <c r="H103" s="338"/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137290</v>
      </c>
      <c r="I104" s="276">
        <f t="shared" si="24"/>
        <v>944170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>
        <v>137290</v>
      </c>
      <c r="I105" s="119">
        <f>G105+H105</f>
        <v>944170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1806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6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227760</v>
      </c>
      <c r="H116" s="283"/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23572</v>
      </c>
      <c r="H117" s="338"/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1808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552</v>
      </c>
      <c r="E121" s="111"/>
      <c r="F121" s="113"/>
      <c r="G121" s="276">
        <v>421416</v>
      </c>
      <c r="H121" s="338">
        <f t="shared" ref="H121:I121" si="29">H122+H124</f>
        <v>0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421416</v>
      </c>
      <c r="H122" s="338">
        <f t="shared" ref="H122:I122" si="30">H123</f>
        <v>0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421416</v>
      </c>
      <c r="H123" s="338"/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2702975</v>
      </c>
      <c r="H126" s="338">
        <f t="shared" ref="H126:I126" si="32">H127+H131</f>
        <v>0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383</v>
      </c>
      <c r="E127" s="111"/>
      <c r="F127" s="113"/>
      <c r="G127" s="276">
        <v>2702975</v>
      </c>
      <c r="H127" s="338">
        <f>H128</f>
        <v>0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2702975</v>
      </c>
      <c r="H128" s="338">
        <f>H129+H130</f>
        <v>0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2152975</v>
      </c>
      <c r="H129" s="338"/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550000</v>
      </c>
      <c r="H130" s="338"/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552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411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412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414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416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419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383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20255130</v>
      </c>
      <c r="H155" s="283">
        <f t="shared" ref="H155" si="43">H156</f>
        <v>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610</v>
      </c>
      <c r="E156" s="111"/>
      <c r="F156" s="113"/>
      <c r="G156" s="282">
        <v>20255130</v>
      </c>
      <c r="H156" s="283">
        <f>H157+H162</f>
        <v>0</v>
      </c>
      <c r="I156" s="294">
        <f t="shared" ref="I156:I299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616</v>
      </c>
      <c r="E157" s="111"/>
      <c r="F157" s="113"/>
      <c r="G157" s="282">
        <v>20255130</v>
      </c>
      <c r="H157" s="283">
        <f>H158+H160</f>
        <v>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755130</v>
      </c>
      <c r="H160" s="283">
        <f>H161</f>
        <v>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755130</v>
      </c>
      <c r="H161" s="283"/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1355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217741142</v>
      </c>
      <c r="H165" s="283">
        <f>H166+H173+H220</f>
        <v>4032067</v>
      </c>
      <c r="I165" s="294">
        <f>SUM(G165:H165)</f>
        <v>221773209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1229</v>
      </c>
      <c r="E166" s="111"/>
      <c r="F166" s="113"/>
      <c r="G166" s="341">
        <v>16610645</v>
      </c>
      <c r="H166" s="389">
        <f>H167+H170</f>
        <v>-17571</v>
      </c>
      <c r="I166" s="384">
        <f>I167+I170</f>
        <v>16593074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территорий</v>
      </c>
      <c r="B167" s="116"/>
      <c r="C167" s="111"/>
      <c r="D167" s="113" t="s">
        <v>1248</v>
      </c>
      <c r="E167" s="111"/>
      <c r="F167" s="113"/>
      <c r="G167" s="282">
        <v>5504920</v>
      </c>
      <c r="H167" s="283">
        <f>H168</f>
        <v>-2885079</v>
      </c>
      <c r="I167" s="294">
        <f>I168</f>
        <v>2619841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5504920</v>
      </c>
      <c r="H168" s="283">
        <f t="shared" ref="H168:I168" si="45">H169</f>
        <v>-2885079</v>
      </c>
      <c r="I168" s="294">
        <f t="shared" si="45"/>
        <v>2619841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5504920</v>
      </c>
      <c r="H169" s="283">
        <f>-2745102-139977</f>
        <v>-2885079</v>
      </c>
      <c r="I169" s="294">
        <f>G169+H169</f>
        <v>2619841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1513</v>
      </c>
      <c r="E170" s="111"/>
      <c r="F170" s="113"/>
      <c r="G170" s="294">
        <v>11105725</v>
      </c>
      <c r="H170" s="283">
        <f t="shared" ref="H170:H171" si="46">H171</f>
        <v>2867508</v>
      </c>
      <c r="I170" s="282">
        <f>I171</f>
        <v>13973233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11105725</v>
      </c>
      <c r="H171" s="283">
        <f t="shared" si="46"/>
        <v>2867508</v>
      </c>
      <c r="I171" s="282">
        <f>I172</f>
        <v>13973233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11105725</v>
      </c>
      <c r="H172" s="283">
        <f>139977+2727531</f>
        <v>2867508</v>
      </c>
      <c r="I172" s="294">
        <f>SUM(G172:H172)</f>
        <v>13973233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1656</v>
      </c>
      <c r="E173" s="111"/>
      <c r="F173" s="113"/>
      <c r="G173" s="117">
        <v>195055337</v>
      </c>
      <c r="H173" s="283">
        <f>H174+H179+H207+H200</f>
        <v>4049638</v>
      </c>
      <c r="I173" s="282">
        <f>SUM(G173:H173)</f>
        <v>199104975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1657</v>
      </c>
      <c r="E174" s="111"/>
      <c r="F174" s="113"/>
      <c r="G174" s="390">
        <v>1300000</v>
      </c>
      <c r="H174" s="389">
        <f>H175+H177</f>
        <v>1022679</v>
      </c>
      <c r="I174" s="282">
        <f t="shared" ref="I174:I222" si="47">SUM(G174:H174)</f>
        <v>2322679</v>
      </c>
    </row>
    <row r="175" spans="1:9" s="108" customFormat="1" ht="31.5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600000</v>
      </c>
      <c r="I175" s="282">
        <f t="shared" si="47"/>
        <v>600000</v>
      </c>
    </row>
    <row r="176" spans="1:9" s="108" customFormat="1" ht="47.25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600000</v>
      </c>
      <c r="I176" s="294">
        <f t="shared" si="47"/>
        <v>600000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1300000</v>
      </c>
      <c r="H177" s="389">
        <f>H178</f>
        <v>422679</v>
      </c>
      <c r="I177" s="294">
        <f t="shared" si="47"/>
        <v>1722679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1300000</v>
      </c>
      <c r="H178" s="389">
        <v>422679</v>
      </c>
      <c r="I178" s="294">
        <f t="shared" si="47"/>
        <v>1722679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1658</v>
      </c>
      <c r="E179" s="111"/>
      <c r="F179" s="113"/>
      <c r="G179" s="390">
        <v>73885080</v>
      </c>
      <c r="H179" s="389">
        <f>H180+H183+H186+H189+H192+H194+H197</f>
        <v>3026959</v>
      </c>
      <c r="I179" s="384">
        <f>I180+I183+I186+I189+I192+I194+I197</f>
        <v>76912039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15399306</v>
      </c>
      <c r="H180" s="389">
        <f>H181+H182</f>
        <v>708615</v>
      </c>
      <c r="I180" s="294">
        <f>SUM(G180:H180)</f>
        <v>16107921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14899306</v>
      </c>
      <c r="H182" s="389">
        <f>4079+704536</f>
        <v>708615</v>
      </c>
      <c r="I182" s="294">
        <f t="shared" si="47"/>
        <v>15607921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-4079</v>
      </c>
      <c r="I183" s="294">
        <f>SUM(G183:H183)</f>
        <v>566921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>
        <v>-19120</v>
      </c>
      <c r="I184" s="294">
        <f t="shared" si="47"/>
        <v>551880</v>
      </c>
      <c r="K184" s="409"/>
    </row>
    <row r="185" spans="1:11" s="108" customFormat="1" ht="47.25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>
        <v>15041</v>
      </c>
      <c r="I185" s="294">
        <f>SUM(G185:H185)</f>
        <v>15041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731700</v>
      </c>
      <c r="H186" s="389">
        <f>H187+H188</f>
        <v>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731700</v>
      </c>
      <c r="H188" s="389"/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15635455</v>
      </c>
      <c r="H189" s="389">
        <f>H191+H190</f>
        <v>-422679</v>
      </c>
      <c r="I189" s="294">
        <f>SUM(G189:H189)</f>
        <v>15212776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700000</v>
      </c>
      <c r="H190" s="389">
        <v>360000</v>
      </c>
      <c r="I190" s="294">
        <f>SUM(G190:H190)</f>
        <v>1060000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14935455</v>
      </c>
      <c r="H191" s="389">
        <f>-422679-360000</f>
        <v>-782679</v>
      </c>
      <c r="I191" s="294">
        <f t="shared" si="47"/>
        <v>14152776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16874268</v>
      </c>
      <c r="H192" s="389">
        <f>H193</f>
        <v>2745102</v>
      </c>
      <c r="I192" s="294">
        <f t="shared" si="47"/>
        <v>19619370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16874268</v>
      </c>
      <c r="H193" s="389">
        <v>2745102</v>
      </c>
      <c r="I193" s="294">
        <f t="shared" si="47"/>
        <v>19619370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>
        <v>-285774</v>
      </c>
      <c r="I195" s="294">
        <f t="shared" si="47"/>
        <v>10485713</v>
      </c>
    </row>
    <row r="196" spans="1:9" s="108" customFormat="1" ht="47.25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>
        <v>285774</v>
      </c>
      <c r="I196" s="294">
        <f>SUM(G196:H196)</f>
        <v>285774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13901864</v>
      </c>
      <c r="H197" s="389">
        <f>H198+H199</f>
        <v>0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13901864</v>
      </c>
      <c r="H199" s="389"/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1892</v>
      </c>
      <c r="E200" s="111"/>
      <c r="F200" s="113"/>
      <c r="G200" s="283">
        <v>75425257</v>
      </c>
      <c r="H200" s="389">
        <f>H201+H203+H205</f>
        <v>0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>
        <v>195000</v>
      </c>
      <c r="H201" s="389">
        <f>H202</f>
        <v>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>
        <v>195000</v>
      </c>
      <c r="H202" s="389"/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>
        <v>71558379</v>
      </c>
      <c r="H203" s="389">
        <f>H204</f>
        <v>0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>
        <v>71558379</v>
      </c>
      <c r="H204" s="389"/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>
        <v>3671878</v>
      </c>
      <c r="H205" s="389">
        <f>H206</f>
        <v>0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>
        <v>3671878</v>
      </c>
      <c r="H206" s="389"/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1659</v>
      </c>
      <c r="E207" s="111"/>
      <c r="F207" s="113"/>
      <c r="G207" s="294">
        <v>44445000</v>
      </c>
      <c r="H207" s="283">
        <f>H210+H216+H208+H214</f>
        <v>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4445000</v>
      </c>
      <c r="H210" s="389">
        <f>H211+H212+H213</f>
        <v>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4445000</v>
      </c>
      <c r="H211" s="389"/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40000000</v>
      </c>
      <c r="H216" s="389">
        <f>H217+H218+H219</f>
        <v>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40000000</v>
      </c>
      <c r="H217" s="389"/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552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709134</v>
      </c>
      <c r="H223" s="283">
        <f>H224+H233</f>
        <v>0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411</v>
      </c>
      <c r="E224" s="111"/>
      <c r="F224" s="113"/>
      <c r="G224" s="283">
        <v>309134</v>
      </c>
      <c r="H224" s="283">
        <f t="shared" ref="H224" si="53">H225</f>
        <v>0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427</v>
      </c>
      <c r="E225" s="111"/>
      <c r="F225" s="113"/>
      <c r="G225" s="117">
        <v>309134</v>
      </c>
      <c r="H225" s="283">
        <f t="shared" ref="H225" si="54">H226</f>
        <v>0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429</v>
      </c>
      <c r="E226" s="111"/>
      <c r="F226" s="113"/>
      <c r="G226" s="117">
        <v>309134</v>
      </c>
      <c r="H226" s="283">
        <f>H227+H231+H229</f>
        <v>0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27270</v>
      </c>
      <c r="H227" s="283">
        <f>H228</f>
        <v>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27270</v>
      </c>
      <c r="H228" s="283"/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36442</v>
      </c>
      <c r="H229" s="283">
        <f>H230</f>
        <v>0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36442</v>
      </c>
      <c r="H230" s="283"/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245422</v>
      </c>
      <c r="H231" s="283">
        <f t="shared" ref="H231:I231" si="55">H232</f>
        <v>0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245422</v>
      </c>
      <c r="H232" s="283"/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1537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1538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5666436</v>
      </c>
      <c r="H241" s="283">
        <f>H242+H246</f>
        <v>944670</v>
      </c>
      <c r="I241" s="282">
        <f t="shared" si="44"/>
        <v>6611106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1661</v>
      </c>
      <c r="E242" s="111"/>
      <c r="F242" s="113"/>
      <c r="G242" s="283">
        <v>5666436</v>
      </c>
      <c r="H242" s="283">
        <f>H243</f>
        <v>944670</v>
      </c>
      <c r="I242" s="294">
        <f>I243</f>
        <v>6611106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1663</v>
      </c>
      <c r="E243" s="111"/>
      <c r="F243" s="113"/>
      <c r="G243" s="283">
        <v>5666436</v>
      </c>
      <c r="H243" s="283">
        <f>H244</f>
        <v>944670</v>
      </c>
      <c r="I243" s="294">
        <f>I244</f>
        <v>6611106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5666436</v>
      </c>
      <c r="H244" s="283">
        <f>H245</f>
        <v>944670</v>
      </c>
      <c r="I244" s="282">
        <f t="shared" si="44"/>
        <v>6611106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5666436</v>
      </c>
      <c r="H245" s="283">
        <v>944670</v>
      </c>
      <c r="I245" s="294">
        <f t="shared" si="44"/>
        <v>6611106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383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5373824.2199999997</v>
      </c>
      <c r="H249" s="283">
        <f>H250+H296+H289+H277+H284</f>
        <v>6859871</v>
      </c>
      <c r="I249" s="282">
        <f>SUM(G249:H249)</f>
        <v>12233695.219999999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600</v>
      </c>
      <c r="E250" s="111"/>
      <c r="F250" s="113"/>
      <c r="G250" s="282">
        <v>1482317.22</v>
      </c>
      <c r="H250" s="283">
        <f>H251+H259+H270</f>
        <v>7174871</v>
      </c>
      <c r="I250" s="282">
        <f>I251+I259+I270</f>
        <v>8657188.2199999988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631</v>
      </c>
      <c r="E251" s="111"/>
      <c r="F251" s="113"/>
      <c r="G251" s="282">
        <v>62119.22</v>
      </c>
      <c r="H251" s="283">
        <f t="shared" ref="H251:I251" si="60">H252</f>
        <v>7551209</v>
      </c>
      <c r="I251" s="282">
        <f t="shared" si="60"/>
        <v>7613328.2199999997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673</v>
      </c>
      <c r="E252" s="111"/>
      <c r="F252" s="113"/>
      <c r="G252" s="282">
        <v>62119.22</v>
      </c>
      <c r="H252" s="283">
        <f>H253+H255+H257</f>
        <v>7551209</v>
      </c>
      <c r="I252" s="294">
        <f>I253+I255+I257</f>
        <v>7613328.2199999997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62000</v>
      </c>
      <c r="H253" s="283">
        <f>H254</f>
        <v>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62000</v>
      </c>
      <c r="H254" s="283"/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119.22</v>
      </c>
      <c r="H255" s="338">
        <f>H256</f>
        <v>0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119.22</v>
      </c>
      <c r="H256" s="283"/>
      <c r="I256" s="282">
        <f t="shared" si="44"/>
        <v>119.22</v>
      </c>
    </row>
    <row r="257" spans="1:9" s="108" customFormat="1" ht="47.25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7551209</v>
      </c>
      <c r="I257" s="282">
        <f t="shared" si="44"/>
        <v>7551209</v>
      </c>
    </row>
    <row r="258" spans="1:9" s="108" customFormat="1" ht="47.25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>
        <v>7551209</v>
      </c>
      <c r="I258" s="282">
        <f t="shared" si="44"/>
        <v>7551209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635</v>
      </c>
      <c r="E259" s="111"/>
      <c r="F259" s="113"/>
      <c r="G259" s="282">
        <v>1420198</v>
      </c>
      <c r="H259" s="283">
        <f t="shared" ref="H259:I259" si="62">H260+H267</f>
        <v>-376338</v>
      </c>
      <c r="I259" s="282">
        <f t="shared" si="62"/>
        <v>1043860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636</v>
      </c>
      <c r="E260" s="111"/>
      <c r="F260" s="113"/>
      <c r="G260" s="282">
        <v>1420198</v>
      </c>
      <c r="H260" s="283">
        <f>H261+H264</f>
        <v>-376338</v>
      </c>
      <c r="I260" s="282">
        <f t="shared" si="44"/>
        <v>1043860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362000</v>
      </c>
      <c r="H261" s="283">
        <f>H262+H263</f>
        <v>481860</v>
      </c>
      <c r="I261" s="282">
        <f t="shared" si="44"/>
        <v>843860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0</v>
      </c>
      <c r="H262" s="283">
        <f>315000+126860</f>
        <v>441860</v>
      </c>
      <c r="I262" s="282">
        <f t="shared" si="44"/>
        <v>441860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362000</v>
      </c>
      <c r="H263" s="283">
        <v>40000</v>
      </c>
      <c r="I263" s="282">
        <f t="shared" si="44"/>
        <v>402000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1058198</v>
      </c>
      <c r="H264" s="283">
        <f>H265+H266</f>
        <v>-858198</v>
      </c>
      <c r="I264" s="282">
        <f>SUM(G264:H264)</f>
        <v>200000</v>
      </c>
    </row>
    <row r="265" spans="1:9" s="108" customFormat="1" ht="47.25" hidden="1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858198</v>
      </c>
      <c r="H265" s="283">
        <v>-858198</v>
      </c>
      <c r="I265" s="282">
        <f>SUM(G265:H265)</f>
        <v>0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200000</v>
      </c>
      <c r="H266" s="283"/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1587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IF(B270&gt;0,VLOOKUP(B270,КВСР!A67:B1232,2),IF(C270&gt;0,VLOOKUP(C270,КФСР!A67:B1579,2),IF(D270&gt;0,VLOOKUP(D270,Программа!A$1:B$5112,2),IF(F270&gt;0,VLOOKUP(F270,КВР!A$1:B$5001,2),IF(E270&gt;0,VLOOKUP(E270,Направление!A$1:B$4791,2))))))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638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640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1593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IF(B276&gt;0,VLOOKUP(B276,КВСР!A73:B1238,2),IF(C276&gt;0,VLOOKUP(C276,КФСР!A73:B1585,2),IF(D276&gt;0,VLOOKUP(D276,Программа!A$1:B$5112,2),IF(F276&gt;0,VLOOKUP(F276,КВР!A$1:B$5001,2),IF(E276&gt;0,VLOOKUP(E276,Направление!A$1:B$4791,2))))))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IF(B277&gt;0,VLOOKUP(B277,КВСР!A74:B1239,2),IF(C277&gt;0,VLOOKUP(C277,КФСР!A74:B1586,2),IF(D277&gt;0,VLOOKUP(D277,Программа!A$1:B$5112,2),IF(F277&gt;0,VLOOKUP(F277,КВР!A$1:B$5001,2),IF(E277&gt;0,VLOOKUP(E277,Направление!A$1:B$4791,2))))))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411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IF(B278&gt;0,VLOOKUP(B278,КВСР!A75:B1240,2),IF(C278&gt;0,VLOOKUP(C278,КФСР!A75:B1587,2),IF(D278&gt;0,VLOOKUP(D278,Программа!A$1:B$5112,2),IF(F278&gt;0,VLOOKUP(F278,КВР!A$1:B$5001,2),IF(E278&gt;0,VLOOKUP(E278,Направление!A$1:B$4791,2))))))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1712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IF(B279&gt;0,VLOOKUP(B279,КВСР!A76:B1241,2),IF(C279&gt;0,VLOOKUP(C279,КФСР!A76:B1588,2),IF(D279&gt;0,VLOOKUP(D279,Программа!A$1:B$5112,2),IF(F279&gt;0,VLOOKUP(F279,КВР!A$1:B$5001,2),IF(E279&gt;0,VLOOKUP(E279,Направление!A$1:B$4791,2))))))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1713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IF(B280&gt;0,VLOOKUP(B280,КВСР!A77:B1242,2),IF(C280&gt;0,VLOOKUP(C280,КФСР!A77:B1589,2),IF(D280&gt;0,VLOOKUP(D280,Программа!A$1:B$5112,2),IF(F280&gt;0,VLOOKUP(F280,КВР!A$1:B$5001,2),IF(E280&gt;0,VLOOKUP(E280,Направление!A$1:B$4791,2))))))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IF(B281&gt;0,VLOOKUP(B281,КВСР!A78:B1243,2),IF(C281&gt;0,VLOOKUP(C281,КФСР!A78:B1590,2),IF(D281&gt;0,VLOOKUP(D281,Программа!A$1:B$5112,2),IF(F281&gt;0,VLOOKUP(F281,КВР!A$1:B$5001,2),IF(E281&gt;0,VLOOKUP(E281,Направление!A$1:B$4791,2))))))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IF(B282&gt;0,VLOOKUP(B282,КВСР!A79:B1244,2),IF(C282&gt;0,VLOOKUP(C282,КФСР!A79:B1591,2),IF(D282&gt;0,VLOOKUP(D282,Программа!A$1:B$5112,2),IF(F282&gt;0,VLOOKUP(F282,КВР!A$1:B$5001,2),IF(E282&gt;0,VLOOKUP(E282,Направление!A$1:B$4791,2))))))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IF(B283&gt;0,VLOOKUP(B283,КВСР!A80:B1245,2),IF(C283&gt;0,VLOOKUP(C283,КФСР!A80:B1592,2),IF(D283&gt;0,VLOOKUP(D283,Программа!A$1:B$5112,2),IF(F283&gt;0,VLOOKUP(F283,КВР!A$1:B$5001,2),IF(E283&gt;0,VLOOKUP(E283,Направление!A$1:B$4791,2))))))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ht="63" x14ac:dyDescent="0.25">
      <c r="A284" s="851" t="str">
        <f>IF(B284&gt;0,VLOOKUP(B284,КВСР!A81:B1246,2),IF(C284&gt;0,VLOOKUP(C284,КФСР!A81:B1593,2),IF(D284&gt;0,VLOOKUP(D284,Программа!A$1:B$5112,2),IF(F284&gt;0,VLOOKUP(F284,КВР!A$1:B$5001,2),IF(E284&gt;0,VLOOKUP(E284,Направление!A$1:B$4791,2))))))</f>
        <v>Муниципальная программа "Комплексное развитие сельских территорий Тутаевского муниципального района"</v>
      </c>
      <c r="B284" s="116"/>
      <c r="C284" s="111"/>
      <c r="D284" s="112" t="s">
        <v>1728</v>
      </c>
      <c r="E284" s="111"/>
      <c r="F284" s="451"/>
      <c r="G284" s="389">
        <v>352000</v>
      </c>
      <c r="H284" s="389">
        <f t="shared" ref="H284:I285" si="67">H285</f>
        <v>-315000</v>
      </c>
      <c r="I284" s="389">
        <f t="shared" si="67"/>
        <v>37000</v>
      </c>
    </row>
    <row r="285" spans="1:9" s="108" customFormat="1" ht="50.25" customHeight="1" x14ac:dyDescent="0.25">
      <c r="A285" s="851" t="str">
        <f>IF(B285&gt;0,VLOOKUP(B285,КВСР!A82:B1247,2),IF(C285&gt;0,VLOOKUP(C285,КФСР!A82:B1594,2),IF(D285&gt;0,VLOOKUP(D285,Программа!A$1:B$5112,2),IF(F285&gt;0,VLOOKUP(F285,КВР!A$1:B$5001,2),IF(E285&gt;0,VLOOKUP(E285,Направление!A$1:B$4791,2))))))</f>
        <v xml:space="preserve">Реализация  общественно значимых проектов по благоустройству сельских территорий в Тутаевском районе </v>
      </c>
      <c r="B285" s="116"/>
      <c r="C285" s="111"/>
      <c r="D285" s="112" t="s">
        <v>1729</v>
      </c>
      <c r="E285" s="111"/>
      <c r="F285" s="451"/>
      <c r="G285" s="389">
        <v>352000</v>
      </c>
      <c r="H285" s="389">
        <f t="shared" si="67"/>
        <v>-315000</v>
      </c>
      <c r="I285" s="389">
        <f t="shared" si="67"/>
        <v>37000</v>
      </c>
    </row>
    <row r="286" spans="1:9" s="108" customFormat="1" ht="36" customHeight="1" x14ac:dyDescent="0.25">
      <c r="A286" s="851" t="str">
        <f>IF(B286&gt;0,VLOOKUP(B286,КВСР!A83:B1248,2),IF(C286&gt;0,VLOOKUP(C286,КФСР!A83:B1595,2),IF(D286&gt;0,VLOOKUP(D286,Программа!A$1:B$5112,2),IF(F286&gt;0,VLOOKUP(F286,КВР!A$1:B$5001,2),IF(E286&gt;0,VLOOKUP(E286,Направление!A$1:B$4791,2))))))</f>
        <v>Мероприятия по обеспечению водоснабжением населения на селе</v>
      </c>
      <c r="B286" s="116"/>
      <c r="C286" s="111"/>
      <c r="D286" s="112"/>
      <c r="E286" s="111">
        <v>10230</v>
      </c>
      <c r="F286" s="451"/>
      <c r="G286" s="389">
        <v>352000</v>
      </c>
      <c r="H286" s="389">
        <f>H287+H288</f>
        <v>-315000</v>
      </c>
      <c r="I286" s="389">
        <f>I287+I288</f>
        <v>37000</v>
      </c>
    </row>
    <row r="287" spans="1:9" s="108" customFormat="1" ht="47.25" hidden="1" x14ac:dyDescent="0.25">
      <c r="A287" s="851" t="str">
        <f>IF(B287&gt;0,VLOOKUP(B287,КВСР!A84:B1249,2),IF(C287&gt;0,VLOOKUP(C287,КФСР!A84:B1596,2),IF(D287&gt;0,VLOOKUP(D287,Программа!A$1:B$5112,2),IF(F287&gt;0,VLOOKUP(F287,КВР!A$1:B$5001,2),IF(E287&gt;0,VLOOKUP(E287,Направление!A$1:B$4791,2))))))</f>
        <v>Капитальные вложения в объекты государственной (муниципальной) собственности</v>
      </c>
      <c r="B287" s="116"/>
      <c r="C287" s="111"/>
      <c r="D287" s="112"/>
      <c r="E287" s="111"/>
      <c r="F287" s="451">
        <v>400</v>
      </c>
      <c r="G287" s="389">
        <v>315000</v>
      </c>
      <c r="H287" s="389">
        <v>-315000</v>
      </c>
      <c r="I287" s="384">
        <f>SUM(G287:H287)</f>
        <v>0</v>
      </c>
    </row>
    <row r="288" spans="1:9" s="108" customFormat="1" ht="47.25" x14ac:dyDescent="0.25">
      <c r="A288" s="851" t="str">
        <f>IF(B288&gt;0,VLOOKUP(B288,КВСР!A85:B1250,2),IF(C288&gt;0,VLOOKUP(C288,КФСР!A85:B1597,2),IF(D288&gt;0,VLOOKUP(D288,Программа!A$1:B$5112,2),IF(F288&gt;0,VLOOKUP(F288,КВР!A$1:B$5001,2),IF(E288&gt;0,VLOOKUP(E288,Направление!A$1:B$4791,2))))))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451">
        <v>600</v>
      </c>
      <c r="G288" s="389">
        <v>37000</v>
      </c>
      <c r="H288" s="389"/>
      <c r="I288" s="384">
        <f>SUM(G288:H288)</f>
        <v>37000</v>
      </c>
    </row>
    <row r="289" spans="1:9" s="108" customFormat="1" x14ac:dyDescent="0.25">
      <c r="A289" s="851" t="str">
        <f>IF(B289&gt;0,VLOOKUP(B289,КВСР!A68:B1233,2),IF(C289&gt;0,VLOOKUP(C289,КФСР!A68:B1580,2),IF(D289&gt;0,VLOOKUP(D289,Программа!A$1:B$5112,2),IF(F289&gt;0,VLOOKUP(F289,КВР!A$1:B$5001,2),IF(E289&gt;0,VLOOKUP(E289,Направление!A$1:B$4791,2))))))</f>
        <v>Непрограммные расходы бюджета</v>
      </c>
      <c r="B289" s="116"/>
      <c r="C289" s="111"/>
      <c r="D289" s="112" t="s">
        <v>383</v>
      </c>
      <c r="E289" s="111"/>
      <c r="F289" s="113"/>
      <c r="G289" s="282">
        <v>3179507</v>
      </c>
      <c r="H289" s="283">
        <f>H294+H292+H290</f>
        <v>0</v>
      </c>
      <c r="I289" s="294">
        <f>I294+I292+I290</f>
        <v>3179507</v>
      </c>
    </row>
    <row r="290" spans="1:9" s="108" customFormat="1" ht="31.5" x14ac:dyDescent="0.25">
      <c r="A290" s="851" t="str">
        <f>IF(B290&gt;0,VLOOKUP(B290,КВСР!A69:B1234,2),IF(C290&gt;0,VLOOKUP(C290,КФСР!A69:B1581,2),IF(D290&gt;0,VLOOKUP(D290,Программа!A$1:B$5112,2),IF(F290&gt;0,VLOOKUP(F290,КВР!A$1:B$5001,2),IF(E290&gt;0,VLOOKUP(E290,Направление!A$1:B$4791,2))))))</f>
        <v>Мероприятия по актуализации схем коммунальной инфраструктуры</v>
      </c>
      <c r="B290" s="116"/>
      <c r="C290" s="111"/>
      <c r="D290" s="112"/>
      <c r="E290" s="111">
        <v>10410</v>
      </c>
      <c r="F290" s="113"/>
      <c r="G290" s="282">
        <v>100000</v>
      </c>
      <c r="H290" s="283">
        <f t="shared" ref="H290:I290" si="68">H291</f>
        <v>0</v>
      </c>
      <c r="I290" s="282">
        <f t="shared" si="68"/>
        <v>100000</v>
      </c>
    </row>
    <row r="291" spans="1:9" s="108" customFormat="1" ht="47.25" x14ac:dyDescent="0.25">
      <c r="A291" s="851" t="str">
        <f>IF(B291&gt;0,VLOOKUP(B291,КВСР!A70:B1235,2),IF(C291&gt;0,VLOOKUP(C291,КФСР!A70:B1582,2),IF(D291&gt;0,VLOOKUP(D291,Программа!A$1:B$5112,2),IF(F291&gt;0,VLOOKUP(F291,КВР!A$1:B$5001,2),IF(E291&gt;0,VLOOKUP(E291,Направление!A$1:B$4791,2))))))</f>
        <v>Предоставление субсидий бюджетным, автономным учреждениям и иным некоммерческим организациям</v>
      </c>
      <c r="B291" s="116"/>
      <c r="C291" s="111"/>
      <c r="D291" s="112"/>
      <c r="E291" s="111"/>
      <c r="F291" s="113">
        <v>600</v>
      </c>
      <c r="G291" s="282">
        <v>100000</v>
      </c>
      <c r="H291" s="283"/>
      <c r="I291" s="282">
        <f>SUM(G291:H291)</f>
        <v>100000</v>
      </c>
    </row>
    <row r="292" spans="1:9" s="108" customFormat="1" ht="47.25" x14ac:dyDescent="0.25">
      <c r="A292" s="851" t="str">
        <f>IF(B292&gt;0,VLOOKUP(B292,КВСР!A71:B1236,2),IF(C292&gt;0,VLOOKUP(C292,КФСР!A71:B1583,2),IF(D292&gt;0,VLOOKUP(D292,Программа!A$1:B$5112,2),IF(F292&gt;0,VLOOKUP(F292,КВР!A$1:B$5001,2),IF(E292&gt;0,VLOOKUP(E292,Направление!A$1:B$4791,2))))))</f>
        <v>Обеспечение мероприятий по актуализации схем коммунальной инфраструктуры</v>
      </c>
      <c r="B292" s="116"/>
      <c r="C292" s="111"/>
      <c r="D292" s="112"/>
      <c r="E292" s="111">
        <v>29536</v>
      </c>
      <c r="F292" s="113"/>
      <c r="G292" s="294">
        <v>100000</v>
      </c>
      <c r="H292" s="283">
        <f>H293</f>
        <v>0</v>
      </c>
      <c r="I292" s="294">
        <f>I293</f>
        <v>100000</v>
      </c>
    </row>
    <row r="293" spans="1:9" s="108" customFormat="1" ht="47.25" x14ac:dyDescent="0.25">
      <c r="A293" s="851" t="str">
        <f>IF(B293&gt;0,VLOOKUP(B293,КВСР!A72:B1237,2),IF(C293&gt;0,VLOOKUP(C293,КФСР!A72:B1584,2),IF(D293&gt;0,VLOOKUP(D293,Программа!A$1:B$5112,2),IF(F293&gt;0,VLOOKUP(F293,КВР!A$1:B$5001,2),IF(E293&gt;0,VLOOKUP(E293,Направление!A$1:B$4791,2))))))</f>
        <v>Предоставление субсидий бюджетным, автономным учреждениям и иным некоммерческим организациям</v>
      </c>
      <c r="B293" s="116"/>
      <c r="C293" s="111"/>
      <c r="D293" s="112"/>
      <c r="E293" s="111"/>
      <c r="F293" s="113">
        <v>600</v>
      </c>
      <c r="G293" s="294">
        <v>100000</v>
      </c>
      <c r="H293" s="283"/>
      <c r="I293" s="282">
        <f>G293+H293</f>
        <v>100000</v>
      </c>
    </row>
    <row r="294" spans="1:9" s="108" customFormat="1" ht="47.25" x14ac:dyDescent="0.25">
      <c r="A294" s="851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IF(B294&gt;0,VLOOKUP(B294,КВСР!A69:B1234,2),IF(C294&gt;0,VLOOKUP(C294,КФСР!A69:B1581,2),IF(D294&gt;0,VLOOKUP(D294,Программа!A$1:B$5112,2),IF(F294&gt;0,VLOOKUP(F294,КВР!A$1:B$5001,2),IF(E294&gt;0,VLOOKUP(E294,Направление!A$1:B$4791,2))))))</f>
        <v>Обеспечение мероприятий  по переработке и утилизации ливневых стоков</v>
      </c>
      <c r="B294" s="116"/>
      <c r="C294" s="111"/>
      <c r="D294" s="112"/>
      <c r="E294" s="111">
        <v>29616</v>
      </c>
      <c r="F294" s="113"/>
      <c r="G294" s="282">
        <v>2979507</v>
      </c>
      <c r="H294" s="283">
        <f>H295</f>
        <v>0</v>
      </c>
      <c r="I294" s="282">
        <f t="shared" ref="I294" si="69">SUM(G294:H294)</f>
        <v>2979507</v>
      </c>
    </row>
    <row r="295" spans="1:9" s="108" customFormat="1" ht="47.25" x14ac:dyDescent="0.25">
      <c r="A295" s="851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IF(B295&gt;0,VLOOKUP(B295,КВСР!A70:B1235,2),IF(C295&gt;0,VLOOKUP(C295,КФСР!A70:B1582,2),IF(D295&gt;0,VLOOKUP(D295,Программа!A$1:B$5112,2),IF(F295&gt;0,VLOOKUP(F295,КВР!A$1:B$5001,2),IF(E295&gt;0,VLOOKUP(E295,Направление!A$1:B$4791,2))))))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94">
        <v>2979507</v>
      </c>
      <c r="H295" s="283"/>
      <c r="I295" s="282">
        <f>SUM(G295:H295)</f>
        <v>2979507</v>
      </c>
    </row>
    <row r="296" spans="1:9" s="108" customFormat="1" ht="31.5" x14ac:dyDescent="0.25">
      <c r="A296" s="851" t="str">
        <f>IF(B296&gt;0,VLOOKUP(B296,КВСР!A68:B1233,2),IF(C296&gt;0,VLOOKUP(C296,КФСР!A68:B1580,2),IF(D296&gt;0,VLOOKUP(D296,Программа!A$1:B$5112,2),IF(F296&gt;0,VLOOKUP(F296,КВР!A$1:B$5001,2),IF(E296&gt;0,VLOOKUP(E296,Направление!A$1:B$4791,2))))))</f>
        <v>Межбюджетные трансферты  поселениям района</v>
      </c>
      <c r="B296" s="116"/>
      <c r="C296" s="111"/>
      <c r="D296" s="112" t="s">
        <v>552</v>
      </c>
      <c r="E296" s="111"/>
      <c r="F296" s="113"/>
      <c r="G296" s="294">
        <v>360000</v>
      </c>
      <c r="H296" s="283">
        <f t="shared" ref="H296:H297" si="70">H297</f>
        <v>0</v>
      </c>
      <c r="I296" s="282">
        <f t="shared" si="44"/>
        <v>360000</v>
      </c>
    </row>
    <row r="297" spans="1:9" s="108" customFormat="1" ht="47.25" x14ac:dyDescent="0.25">
      <c r="A297" s="851" t="str">
        <f>IF(B297&gt;0,VLOOKUP(B297,КВСР!A69:B1234,2),IF(C297&gt;0,VLOOKUP(C297,КФСР!A69:B1581,2),IF(D297&gt;0,VLOOKUP(D297,Программа!A$1:B$5112,2),IF(F297&gt;0,VLOOKUP(F297,КВР!A$1:B$5001,2),IF(E297&gt;0,VLOOKUP(E297,Направление!A$1:B$4791,2))))))</f>
        <v>Межбюджетные трансферты на организацию  в границах поселения водоснабжения населения</v>
      </c>
      <c r="B297" s="116"/>
      <c r="C297" s="111"/>
      <c r="D297" s="112"/>
      <c r="E297" s="111">
        <v>10051</v>
      </c>
      <c r="F297" s="113"/>
      <c r="G297" s="294">
        <v>360000</v>
      </c>
      <c r="H297" s="283">
        <f t="shared" si="70"/>
        <v>0</v>
      </c>
      <c r="I297" s="282">
        <f t="shared" si="44"/>
        <v>360000</v>
      </c>
    </row>
    <row r="298" spans="1:9" s="108" customFormat="1" x14ac:dyDescent="0.25">
      <c r="A298" s="851" t="str">
        <f>IF(B298&gt;0,VLOOKUP(B298,КВСР!A70:B1235,2),IF(C298&gt;0,VLOOKUP(C298,КФСР!A70:B1582,2),IF(D298&gt;0,VLOOKUP(D298,Программа!A$1:B$5112,2),IF(F298&gt;0,VLOOKUP(F298,КВР!A$1:B$5001,2),IF(E298&gt;0,VLOOKUP(E298,Направление!A$1:B$4791,2))))))</f>
        <v xml:space="preserve"> Межбюджетные трансферты</v>
      </c>
      <c r="B298" s="116"/>
      <c r="C298" s="111"/>
      <c r="D298" s="112"/>
      <c r="E298" s="111"/>
      <c r="F298" s="113">
        <v>500</v>
      </c>
      <c r="G298" s="294">
        <v>360000</v>
      </c>
      <c r="H298" s="283"/>
      <c r="I298" s="282">
        <f t="shared" si="44"/>
        <v>360000</v>
      </c>
    </row>
    <row r="299" spans="1:9" s="108" customFormat="1" x14ac:dyDescent="0.25">
      <c r="A299" s="851" t="str">
        <f>IF(B299&gt;0,VLOOKUP(B299,КВСР!A71:B1236,2),IF(C299&gt;0,VLOOKUP(C299,КФСР!A71:B1583,2),IF(D299&gt;0,VLOOKUP(D299,Программа!A$1:B$5112,2),IF(F299&gt;0,VLOOKUP(F299,КВР!A$1:B$5001,2),IF(E299&gt;0,VLOOKUP(E299,Направление!A$1:B$4791,2))))))</f>
        <v>Благоустройство</v>
      </c>
      <c r="B299" s="116"/>
      <c r="C299" s="111">
        <v>503</v>
      </c>
      <c r="D299" s="112"/>
      <c r="E299" s="111"/>
      <c r="F299" s="113"/>
      <c r="G299" s="282">
        <v>162517329</v>
      </c>
      <c r="H299" s="283">
        <f>H300+H335</f>
        <v>8925181</v>
      </c>
      <c r="I299" s="282">
        <f t="shared" si="44"/>
        <v>171442510</v>
      </c>
    </row>
    <row r="300" spans="1:9" s="108" customFormat="1" ht="63" x14ac:dyDescent="0.25">
      <c r="A300" s="851" t="str">
        <f>IF(B300&gt;0,VLOOKUP(B300,КВСР!A72:B1237,2),IF(C300&gt;0,VLOOKUP(C300,КФСР!A72:B1584,2),IF(D300&gt;0,VLOOKUP(D300,Программа!A$1:B$5112,2),IF(F300&gt;0,VLOOKUP(F300,КВР!A$1:B$5001,2),IF(E300&gt;0,VLOOKUP(E300,Направление!A$1:B$4791,2))))))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0" s="116"/>
      <c r="C300" s="111"/>
      <c r="D300" s="112" t="s">
        <v>718</v>
      </c>
      <c r="E300" s="111"/>
      <c r="F300" s="113"/>
      <c r="G300" s="282">
        <v>64664694</v>
      </c>
      <c r="H300" s="283">
        <f>H301+H305+H327+H331</f>
        <v>6619394</v>
      </c>
      <c r="I300" s="282">
        <f t="shared" ref="I300:I303" si="71">SUM(G300:H300)</f>
        <v>71284088</v>
      </c>
    </row>
    <row r="301" spans="1:9" s="108" customFormat="1" ht="63" x14ac:dyDescent="0.25">
      <c r="A301" s="851" t="str">
        <f>IF(B301&gt;0,VLOOKUP(B301,КВСР!A73:B1238,2),IF(C301&gt;0,VLOOKUP(C301,КФСР!A73:B1585,2),IF(D301&gt;0,VLOOKUP(D301,Программа!A$1:B$5112,2),IF(F301&gt;0,VLOOKUP(F301,КВР!A$1:B$5001,2),IF(E301&gt;0,VLOOKUP(E301,Направление!A$1:B$4791,2))))))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1" s="116"/>
      <c r="C301" s="111"/>
      <c r="D301" s="112" t="s">
        <v>720</v>
      </c>
      <c r="E301" s="111"/>
      <c r="F301" s="113"/>
      <c r="G301" s="282">
        <v>656864</v>
      </c>
      <c r="H301" s="283">
        <f t="shared" ref="H301:H303" si="72">H302</f>
        <v>0</v>
      </c>
      <c r="I301" s="282">
        <f t="shared" si="71"/>
        <v>656864</v>
      </c>
    </row>
    <row r="302" spans="1:9" s="108" customFormat="1" ht="47.25" x14ac:dyDescent="0.25">
      <c r="A302" s="851" t="str">
        <f>IF(B302&gt;0,VLOOKUP(B302,КВСР!A74:B1239,2),IF(C302&gt;0,VLOOKUP(C302,КФСР!A74:B1586,2),IF(D302&gt;0,VLOOKUP(D302,Программа!A$1:B$5112,2),IF(F302&gt;0,VLOOKUP(F302,КВР!A$1:B$5001,2),IF(E302&gt;0,VLOOKUP(E302,Направление!A$1:B$4791,2))))))</f>
        <v>Обеспечение комплекса работ по повышению уровня благоустройства мест погребений</v>
      </c>
      <c r="B302" s="116"/>
      <c r="C302" s="111"/>
      <c r="D302" s="112" t="s">
        <v>722</v>
      </c>
      <c r="E302" s="111"/>
      <c r="F302" s="113"/>
      <c r="G302" s="282">
        <v>656864</v>
      </c>
      <c r="H302" s="283">
        <f t="shared" si="72"/>
        <v>0</v>
      </c>
      <c r="I302" s="282">
        <f t="shared" si="71"/>
        <v>656864</v>
      </c>
    </row>
    <row r="303" spans="1:9" s="108" customFormat="1" ht="31.5" x14ac:dyDescent="0.25">
      <c r="A303" s="851" t="str">
        <f>IF(B303&gt;0,VLOOKUP(B303,КВСР!A75:B1240,2),IF(C303&gt;0,VLOOKUP(C303,КФСР!A75:B1587,2),IF(D303&gt;0,VLOOKUP(D303,Программа!A$1:B$5112,2),IF(F303&gt;0,VLOOKUP(F303,КВР!A$1:B$5001,2),IF(E303&gt;0,VLOOKUP(E303,Направление!A$1:B$4791,2))))))</f>
        <v>Обеспечение мероприятий по  содержанию мест захоронения</v>
      </c>
      <c r="B303" s="116"/>
      <c r="C303" s="111"/>
      <c r="D303" s="112"/>
      <c r="E303" s="111">
        <v>29316</v>
      </c>
      <c r="F303" s="113"/>
      <c r="G303" s="282">
        <v>656864</v>
      </c>
      <c r="H303" s="283">
        <f t="shared" si="72"/>
        <v>0</v>
      </c>
      <c r="I303" s="282">
        <f t="shared" si="71"/>
        <v>656864</v>
      </c>
    </row>
    <row r="304" spans="1:9" s="108" customFormat="1" ht="47.25" x14ac:dyDescent="0.25">
      <c r="A304" s="851" t="str">
        <f>IF(B304&gt;0,VLOOKUP(B304,КВСР!A76:B1241,2),IF(C304&gt;0,VLOOKUP(C304,КФСР!A76:B1588,2),IF(D304&gt;0,VLOOKUP(D304,Программа!A$1:B$5112,2),IF(F304&gt;0,VLOOKUP(F304,КВР!A$1:B$5001,2),IF(E304&gt;0,VLOOKUP(E304,Направление!A$1:B$4791,2))))))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94">
        <v>656864</v>
      </c>
      <c r="H304" s="283"/>
      <c r="I304" s="282">
        <f>SUM(G304:H304)</f>
        <v>656864</v>
      </c>
    </row>
    <row r="305" spans="1:9" s="108" customFormat="1" ht="63" x14ac:dyDescent="0.25">
      <c r="A305" s="851" t="str">
        <f>IF(B305&gt;0,VLOOKUP(B305,КВСР!A77:B1242,2),IF(C305&gt;0,VLOOKUP(C305,КФСР!A77:B1589,2),IF(D305&gt;0,VLOOKUP(D305,Программа!A$1:B$5112,2),IF(F305&gt;0,VLOOKUP(F305,КВР!A$1:B$5001,2),IF(E305&gt;0,VLOOKUP(E305,Направление!A$1:B$4791,2))))))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5" s="116"/>
      <c r="C305" s="111"/>
      <c r="D305" s="112" t="s">
        <v>723</v>
      </c>
      <c r="E305" s="111"/>
      <c r="F305" s="113"/>
      <c r="G305" s="282">
        <v>49201205</v>
      </c>
      <c r="H305" s="282">
        <f>H306+H309+H318</f>
        <v>6419394</v>
      </c>
      <c r="I305" s="282">
        <f>I306+I309+I318</f>
        <v>55620599</v>
      </c>
    </row>
    <row r="306" spans="1:9" s="108" customFormat="1" ht="63" x14ac:dyDescent="0.25">
      <c r="A306" s="851" t="str">
        <f>IF(B306&gt;0,VLOOKUP(B306,КВСР!A78:B1243,2),IF(C306&gt;0,VLOOKUP(C306,КФСР!A78:B1590,2),IF(D306&gt;0,VLOOKUP(D306,Программа!A$1:B$5112,2),IF(F306&gt;0,VLOOKUP(F306,КВР!A$1:B$5001,2),IF(E306&gt;0,VLOOKUP(E306,Направление!A$1:B$4791,2))))))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6" s="116"/>
      <c r="C306" s="111"/>
      <c r="D306" s="112" t="s">
        <v>725</v>
      </c>
      <c r="E306" s="111"/>
      <c r="F306" s="113"/>
      <c r="G306" s="282">
        <v>20022824</v>
      </c>
      <c r="H306" s="282">
        <f t="shared" ref="H306:I306" si="73">H307</f>
        <v>-2664627</v>
      </c>
      <c r="I306" s="282">
        <f t="shared" si="73"/>
        <v>17358197</v>
      </c>
    </row>
    <row r="307" spans="1:9" s="108" customFormat="1" ht="47.25" x14ac:dyDescent="0.25">
      <c r="A307" s="851" t="str">
        <f>IF(B307&gt;0,VLOOKUP(B307,КВСР!A85:B1250,2),IF(C307&gt;0,VLOOKUP(C307,КФСР!A85:B1597,2),IF(D307&gt;0,VLOOKUP(D307,Программа!A$1:B$5112,2),IF(F307&gt;0,VLOOKUP(F307,КВР!A$1:B$5001,2),IF(E307&gt;0,VLOOKUP(E307,Направление!A$1:B$4791,2))))))</f>
        <v>Содержание и организация деятельности по благоустройству на территории поселения</v>
      </c>
      <c r="B307" s="116"/>
      <c r="C307" s="111"/>
      <c r="D307" s="112"/>
      <c r="E307" s="111">
        <v>29256</v>
      </c>
      <c r="F307" s="113"/>
      <c r="G307" s="282">
        <v>20022824</v>
      </c>
      <c r="H307" s="283">
        <f>H308</f>
        <v>-2664627</v>
      </c>
      <c r="I307" s="282">
        <f t="shared" ref="I307:I340" si="74">SUM(G307:H307)</f>
        <v>17358197</v>
      </c>
    </row>
    <row r="308" spans="1:9" s="108" customFormat="1" ht="47.25" x14ac:dyDescent="0.25">
      <c r="A308" s="851" t="str">
        <f>IF(B308&gt;0,VLOOKUP(B308,КВСР!A86:B1251,2),IF(C308&gt;0,VLOOKUP(C308,КФСР!A86:B1598,2),IF(D308&gt;0,VLOOKUP(D308,Программа!A$1:B$5112,2),IF(F308&gt;0,VLOOKUP(F308,КВР!A$1:B$5001,2),IF(E308&gt;0,VLOOKUP(E308,Направление!A$1:B$4791,2))))))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94">
        <v>20022824</v>
      </c>
      <c r="H308" s="283">
        <v>-2664627</v>
      </c>
      <c r="I308" s="282">
        <f t="shared" si="74"/>
        <v>17358197</v>
      </c>
    </row>
    <row r="309" spans="1:9" s="108" customFormat="1" ht="47.25" x14ac:dyDescent="0.25">
      <c r="A309" s="851" t="str">
        <f>IF(B309&gt;0,VLOOKUP(B309,КВСР!A87:B1252,2),IF(C309&gt;0,VLOOKUP(C309,КФСР!A87:B1599,2),IF(D309&gt;0,VLOOKUP(D309,Программа!A$1:B$5112,2),IF(F309&gt;0,VLOOKUP(F309,КВР!A$1:B$5001,2),IF(E309&gt;0,VLOOKUP(E309,Направление!A$1:B$4791,2))))))</f>
        <v xml:space="preserve">Обеспечение мероприятий по совершенствованию  эстетического  состояния территорий </v>
      </c>
      <c r="B309" s="116"/>
      <c r="C309" s="111"/>
      <c r="D309" s="112" t="s">
        <v>727</v>
      </c>
      <c r="E309" s="111"/>
      <c r="F309" s="113"/>
      <c r="G309" s="294">
        <v>4571404</v>
      </c>
      <c r="H309" s="283">
        <f>H310+H312+H316</f>
        <v>2203763</v>
      </c>
      <c r="I309" s="294">
        <f>SUM(G309:H309)</f>
        <v>6775167</v>
      </c>
    </row>
    <row r="310" spans="1:9" s="108" customFormat="1" ht="62.25" customHeight="1" x14ac:dyDescent="0.25">
      <c r="A310" s="851" t="str">
        <f>IF(B310&gt;0,VLOOKUP(B310,КВСР!A88:B1253,2),IF(C310&gt;0,VLOOKUP(C310,КФСР!A88:B1600,2),IF(D310&gt;0,VLOOKUP(D310,Программа!A$1:B$5112,2),IF(F310&gt;0,VLOOKUP(F310,КВР!A$1:B$5001,2),IF(E310&gt;0,VLOOKUP(E310,Направление!A$1:B$4791,2))))))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0" s="116"/>
      <c r="C310" s="111"/>
      <c r="D310" s="112"/>
      <c r="E310" s="111">
        <v>25356</v>
      </c>
      <c r="F310" s="113"/>
      <c r="G310" s="282">
        <v>94812</v>
      </c>
      <c r="H310" s="283">
        <f t="shared" ref="H310" si="75">H311</f>
        <v>0</v>
      </c>
      <c r="I310" s="282">
        <f t="shared" ref="I310:I315" si="76">SUM(G310:H310)</f>
        <v>94812</v>
      </c>
    </row>
    <row r="311" spans="1:9" s="108" customFormat="1" ht="47.25" x14ac:dyDescent="0.25">
      <c r="A311" s="851" t="str">
        <f>IF(B311&gt;0,VLOOKUP(B311,КВСР!A89:B1254,2),IF(C311&gt;0,VLOOKUP(C311,КФСР!A89:B1601,2),IF(D311&gt;0,VLOOKUP(D311,Программа!A$1:B$5112,2),IF(F311&gt;0,VLOOKUP(F311,КВР!A$1:B$5001,2),IF(E311&gt;0,VLOOKUP(E311,Направление!A$1:B$4791,2))))))</f>
        <v>Предоставление субсидий бюджетным, автономным учреждениям и иным некоммерческим организациям</v>
      </c>
      <c r="B311" s="116"/>
      <c r="C311" s="111"/>
      <c r="D311" s="112"/>
      <c r="E311" s="111"/>
      <c r="F311" s="113">
        <v>600</v>
      </c>
      <c r="G311" s="294">
        <v>94812</v>
      </c>
      <c r="H311" s="283"/>
      <c r="I311" s="282">
        <f t="shared" si="76"/>
        <v>94812</v>
      </c>
    </row>
    <row r="312" spans="1:9" s="108" customFormat="1" ht="31.5" x14ac:dyDescent="0.25">
      <c r="A312" s="851" t="str">
        <f>IF(B312&gt;0,VLOOKUP(B312,КВСР!A90:B1255,2),IF(C312&gt;0,VLOOKUP(C312,КФСР!A90:B1602,2),IF(D312&gt;0,VLOOKUP(D312,Программа!A$1:B$5112,2),IF(F312&gt;0,VLOOKUP(F312,КВР!A$1:B$5001,2),IF(E312&gt;0,VLOOKUP(E312,Направление!A$1:B$4791,2))))))</f>
        <v>Обеспечение мероприятий в области благоустройства и озеленения</v>
      </c>
      <c r="B312" s="116"/>
      <c r="C312" s="111"/>
      <c r="D312" s="112"/>
      <c r="E312" s="111">
        <v>29266</v>
      </c>
      <c r="F312" s="113"/>
      <c r="G312" s="282">
        <v>4476592</v>
      </c>
      <c r="H312" s="283">
        <f>H313+H314+H315</f>
        <v>718380</v>
      </c>
      <c r="I312" s="282">
        <f t="shared" si="76"/>
        <v>5194972</v>
      </c>
    </row>
    <row r="313" spans="1:9" s="108" customFormat="1" ht="28.5" customHeight="1" x14ac:dyDescent="0.25">
      <c r="A313" s="851" t="str">
        <f>IF(B313&gt;0,VLOOKUP(B313,КВСР!A91:B1256,2),IF(C313&gt;0,VLOOKUP(C313,КФСР!A91:B1603,2),IF(D313&gt;0,VLOOKUP(D313,Программа!A$1:B$5112,2),IF(F313&gt;0,VLOOKUP(F313,КВР!A$1:B$5001,2),IF(E313&gt;0,VLOOKUP(E313,Направление!A$1:B$4791,2))))))</f>
        <v xml:space="preserve">Закупка товаров, работ и услуг для обеспечения государственных (муниципальных) нужд
</v>
      </c>
      <c r="B313" s="116"/>
      <c r="C313" s="111"/>
      <c r="D313" s="112"/>
      <c r="E313" s="111"/>
      <c r="F313" s="113">
        <v>200</v>
      </c>
      <c r="G313" s="282">
        <v>49100</v>
      </c>
      <c r="H313" s="283"/>
      <c r="I313" s="282">
        <f>SUM(G313:H313)</f>
        <v>49100</v>
      </c>
    </row>
    <row r="314" spans="1:9" s="108" customFormat="1" ht="53.25" customHeight="1" x14ac:dyDescent="0.25">
      <c r="A314" s="851" t="str">
        <f>IF(B314&gt;0,VLOOKUP(B314,КВСР!A92:B1257,2),IF(C314&gt;0,VLOOKUP(C314,КФСР!A92:B1604,2),IF(D314&gt;0,VLOOKUP(D314,Программа!A$1:B$5112,2),IF(F314&gt;0,VLOOKUP(F314,КВР!A$1:B$5001,2),IF(E314&gt;0,VLOOKUP(E314,Направление!A$1:B$4791,2))))))</f>
        <v>Капитальные вложения в объекты государственной (муниципальной) собственности</v>
      </c>
      <c r="B314" s="116"/>
      <c r="C314" s="111"/>
      <c r="D314" s="112"/>
      <c r="E314" s="111"/>
      <c r="F314" s="113">
        <v>400</v>
      </c>
      <c r="G314" s="855">
        <v>143542</v>
      </c>
      <c r="H314" s="283"/>
      <c r="I314" s="282">
        <f>SUM(G314:H314)</f>
        <v>143542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4283950</v>
      </c>
      <c r="H315" s="283">
        <f>720000-1620</f>
        <v>718380</v>
      </c>
      <c r="I315" s="282">
        <f t="shared" si="76"/>
        <v>5002330</v>
      </c>
    </row>
    <row r="316" spans="1:9" s="108" customFormat="1" ht="68.25" customHeight="1" x14ac:dyDescent="0.25">
      <c r="A316" s="851" t="str">
        <f>IF(B316&gt;0,VLOOKUP(B316,КВСР!A87:B1252,2),IF(C316&gt;0,VLOOKUP(C316,КФСР!A87:B1599,2),IF(D316&gt;0,VLOOKUP(D316,Программа!A$1:B$5112,2),IF(F316&gt;0,VLOOKUP(F316,КВР!A$1:B$5001,2),IF(E316&gt;0,VLOOKUP(E316,Направление!A$1:B$4791,2))))))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6" s="116"/>
      <c r="C316" s="111"/>
      <c r="D316" s="112"/>
      <c r="E316" s="111">
        <v>75356</v>
      </c>
      <c r="F316" s="113"/>
      <c r="G316" s="282">
        <v>0</v>
      </c>
      <c r="H316" s="283">
        <f>H317</f>
        <v>1485383</v>
      </c>
      <c r="I316" s="282">
        <f t="shared" si="74"/>
        <v>1485383</v>
      </c>
    </row>
    <row r="317" spans="1:9" s="108" customFormat="1" ht="47.25" x14ac:dyDescent="0.25">
      <c r="A317" s="851" t="str">
        <f>IF(B317&gt;0,VLOOKUP(B317,КВСР!A88:B1253,2),IF(C317&gt;0,VLOOKUP(C317,КФСР!A88:B1600,2),IF(D317&gt;0,VLOOKUP(D317,Программа!A$1:B$5112,2),IF(F317&gt;0,VLOOKUP(F317,КВР!A$1:B$5001,2),IF(E317&gt;0,VLOOKUP(E317,Направление!A$1:B$4791,2))))))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>
        <v>1485383</v>
      </c>
      <c r="I317" s="282">
        <f t="shared" si="74"/>
        <v>1485383</v>
      </c>
    </row>
    <row r="318" spans="1:9" s="108" customFormat="1" ht="48" customHeight="1" x14ac:dyDescent="0.25">
      <c r="A318" s="851" t="str">
        <f>IF(B318&gt;0,VLOOKUP(B318,КВСР!A89:B1254,2),IF(C318&gt;0,VLOOKUP(C318,КФСР!A89:B1601,2),IF(D318&gt;0,VLOOKUP(D318,Программа!A$1:B$5112,2),IF(F318&gt;0,VLOOKUP(F318,КВР!A$1:B$5001,2),IF(E318&gt;0,VLOOKUP(E318,Направление!A$1:B$4791,2))))))</f>
        <v>Реализация мероприятий Губернаторского прпоекта "Решаем вместе" по  благоустройству территории городского поселения Тутаев</v>
      </c>
      <c r="B318" s="116"/>
      <c r="C318" s="111"/>
      <c r="D318" s="112" t="s">
        <v>1899</v>
      </c>
      <c r="E318" s="111"/>
      <c r="F318" s="113"/>
      <c r="G318" s="294">
        <v>24606977</v>
      </c>
      <c r="H318" s="283">
        <f>H319+H323+H321+H325</f>
        <v>6880258</v>
      </c>
      <c r="I318" s="294">
        <f>SUM(G318:H318)</f>
        <v>31487235</v>
      </c>
    </row>
    <row r="319" spans="1:9" s="108" customFormat="1" ht="63" x14ac:dyDescent="0.25">
      <c r="A319" s="851" t="str">
        <f>IF(B319&gt;0,VLOOKUP(B319,КВСР!A90:B1255,2),IF(C319&gt;0,VLOOKUP(C319,КФСР!A90:B1602,2),IF(D319&gt;0,VLOOKUP(D319,Программа!A$1:B$5112,2),IF(F319&gt;0,VLOOKUP(F319,КВР!A$1:B$5001,2),IF(E319&gt;0,VLOOKUP(E319,Направление!A$1:B$4791,2))))))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94">
        <v>416403</v>
      </c>
      <c r="H319" s="283">
        <f t="shared" ref="H319:I319" si="77">H320</f>
        <v>1620</v>
      </c>
      <c r="I319" s="294">
        <f t="shared" si="77"/>
        <v>418023</v>
      </c>
    </row>
    <row r="320" spans="1:9" s="108" customFormat="1" ht="47.25" x14ac:dyDescent="0.25">
      <c r="A320" s="851" t="str">
        <f>IF(B320&gt;0,VLOOKUP(B320,КВСР!A91:B1256,2),IF(C320&gt;0,VLOOKUP(C320,КФСР!A91:B1603,2),IF(D320&gt;0,VLOOKUP(D320,Программа!A$1:B$5112,2),IF(F320&gt;0,VLOOKUP(F320,КВР!A$1:B$5001,2),IF(E320&gt;0,VLOOKUP(E320,Направление!A$1:B$4791,2))))))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847">
        <v>416403</v>
      </c>
      <c r="H320" s="283">
        <v>1620</v>
      </c>
      <c r="I320" s="294">
        <f>SUM(G320:H320)</f>
        <v>418023</v>
      </c>
    </row>
    <row r="321" spans="1:9" s="108" customFormat="1" ht="47.25" x14ac:dyDescent="0.25">
      <c r="A321" s="851" t="str">
        <f>IF(B321&gt;0,VLOOKUP(B321,КВСР!A92:B1257,2),IF(C321&gt;0,VLOOKUP(C321,КФСР!A92:B1604,2),IF(D321&gt;0,VLOOKUP(D321,Программа!A$1:B$5112,2),IF(F321&gt;0,VLOOKUP(F321,КВР!A$1:B$5001,2),IF(E321&gt;0,VLOOKUP(E321,Направление!A$1:B$4791,2))))))</f>
        <v>Реализация приоритетных проектов по  благоустройству территории гпТутаев средсва местного бюджета</v>
      </c>
      <c r="B321" s="116"/>
      <c r="C321" s="111"/>
      <c r="D321" s="112"/>
      <c r="E321" s="111">
        <v>27266</v>
      </c>
      <c r="F321" s="113"/>
      <c r="G321" s="294">
        <v>2190574</v>
      </c>
      <c r="H321" s="283">
        <f>H322</f>
        <v>374000</v>
      </c>
      <c r="I321" s="294">
        <f>I322</f>
        <v>2564574</v>
      </c>
    </row>
    <row r="322" spans="1:9" s="108" customFormat="1" ht="47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16"/>
      <c r="C322" s="111"/>
      <c r="D322" s="112"/>
      <c r="E322" s="111"/>
      <c r="F322" s="113">
        <v>600</v>
      </c>
      <c r="G322" s="847">
        <v>2190574</v>
      </c>
      <c r="H322" s="283">
        <v>374000</v>
      </c>
      <c r="I322" s="294">
        <f>SUM(G322:H322)</f>
        <v>2564574</v>
      </c>
    </row>
    <row r="323" spans="1:9" s="108" customFormat="1" ht="63" x14ac:dyDescent="0.25">
      <c r="A323" s="851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23" s="116"/>
      <c r="C323" s="111"/>
      <c r="D323" s="112"/>
      <c r="E323" s="111">
        <v>75356</v>
      </c>
      <c r="F323" s="113"/>
      <c r="G323" s="294">
        <v>0</v>
      </c>
      <c r="H323" s="283">
        <f t="shared" ref="H323:I323" si="78">H324</f>
        <v>6504638</v>
      </c>
      <c r="I323" s="294">
        <f t="shared" si="78"/>
        <v>6504638</v>
      </c>
    </row>
    <row r="324" spans="1:9" s="108" customFormat="1" ht="47.25" x14ac:dyDescent="0.25">
      <c r="A324" s="851" t="str">
        <f>IF(B324&gt;0,VLOOKUP(B324,КВСР!A93:B1258,2),IF(C324&gt;0,VLOOKUP(C324,КФСР!A93:B1605,2),IF(D324&gt;0,VLOOKUP(D324,Программа!A$1:B$5112,2),IF(F324&gt;0,VLOOKUP(F324,КВР!A$1:B$5001,2),IF(E324&gt;0,VLOOKUP(E324,Направление!A$1:B$4791,2))))))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7">
        <v>0</v>
      </c>
      <c r="H324" s="283">
        <v>6504638</v>
      </c>
      <c r="I324" s="294">
        <f>SUM(G324:H324)</f>
        <v>6504638</v>
      </c>
    </row>
    <row r="325" spans="1:9" s="108" customFormat="1" ht="31.5" x14ac:dyDescent="0.25">
      <c r="A325" s="851" t="str">
        <f>IF(B325&gt;0,VLOOKUP(B325,КВСР!A94:B1259,2),IF(C325&gt;0,VLOOKUP(C325,КФСР!A94:B1606,2),IF(D325&gt;0,VLOOKUP(D325,Программа!A$1:B$5112,2),IF(F325&gt;0,VLOOKUP(F325,КВР!A$1:B$5001,2),IF(E325&gt;0,VLOOKUP(E325,Направление!A$1:B$4791,2))))))</f>
        <v>Обеспечение мероприятий по благоустройству площади Юбилейная</v>
      </c>
      <c r="B325" s="116"/>
      <c r="C325" s="111"/>
      <c r="D325" s="112"/>
      <c r="E325" s="111">
        <v>77266</v>
      </c>
      <c r="F325" s="113"/>
      <c r="G325" s="283">
        <v>22000000</v>
      </c>
      <c r="H325" s="283">
        <f>H326</f>
        <v>0</v>
      </c>
      <c r="I325" s="294">
        <f>I326</f>
        <v>22000000</v>
      </c>
    </row>
    <row r="326" spans="1:9" s="108" customFormat="1" ht="47.25" x14ac:dyDescent="0.25">
      <c r="A326" s="851" t="str">
        <f>IF(B326&gt;0,VLOOKUP(B326,КВСР!A95:B1260,2),IF(C326&gt;0,VLOOKUP(C326,КФСР!A95:B1607,2),IF(D326&gt;0,VLOOKUP(D326,Программа!A$1:B$5112,2),IF(F326&gt;0,VLOOKUP(F326,КВР!A$1:B$5001,2),IF(E326&gt;0,VLOOKUP(E326,Направление!A$1:B$4791,2))))))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7">
        <v>22000000</v>
      </c>
      <c r="H326" s="283"/>
      <c r="I326" s="294">
        <f>SUM(G326:H326)</f>
        <v>22000000</v>
      </c>
    </row>
    <row r="327" spans="1:9" s="108" customFormat="1" ht="110.25" x14ac:dyDescent="0.25">
      <c r="A327" s="851" t="str">
        <f>IF(B327&gt;0,VLOOKUP(B327,КВСР!A93:B1258,2),IF(C327&gt;0,VLOOKUP(C327,КФСР!A93:B1605,2),IF(D327&gt;0,VLOOKUP(D327,Программа!A$1:B$5112,2),IF(F327&gt;0,VLOOKUP(F327,КВР!A$1:B$5001,2),IF(E327&gt;0,VLOOKUP(E327,Направление!A$1:B$4791,2))))))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7" s="116"/>
      <c r="C327" s="111"/>
      <c r="D327" s="112" t="s">
        <v>1621</v>
      </c>
      <c r="E327" s="111"/>
      <c r="F327" s="113"/>
      <c r="G327" s="294">
        <v>13114777</v>
      </c>
      <c r="H327" s="283">
        <f t="shared" ref="H327:I329" si="79">H328</f>
        <v>0</v>
      </c>
      <c r="I327" s="294">
        <f t="shared" si="79"/>
        <v>13114777</v>
      </c>
    </row>
    <row r="328" spans="1:9" s="108" customFormat="1" ht="47.25" x14ac:dyDescent="0.25">
      <c r="A328" s="851" t="str">
        <f>IF(B328&gt;0,VLOOKUP(B328,КВСР!A94:B1259,2),IF(C328&gt;0,VLOOKUP(C328,КФСР!A94:B1606,2),IF(D328&gt;0,VLOOKUP(D328,Программа!A$1:B$5112,2),IF(F328&gt;0,VLOOKUP(F328,КВР!A$1:B$5001,2),IF(E328&gt;0,VLOOKUP(E328,Направление!A$1:B$4791,2))))))</f>
        <v>Создание механизма управления потреблением энергетических ресурсов и сокращение бюджетных затрат</v>
      </c>
      <c r="B328" s="116"/>
      <c r="C328" s="111"/>
      <c r="D328" s="112" t="s">
        <v>1622</v>
      </c>
      <c r="E328" s="111"/>
      <c r="F328" s="113"/>
      <c r="G328" s="294">
        <v>13114777</v>
      </c>
      <c r="H328" s="283">
        <f t="shared" si="79"/>
        <v>0</v>
      </c>
      <c r="I328" s="294">
        <f t="shared" si="79"/>
        <v>13114777</v>
      </c>
    </row>
    <row r="329" spans="1:9" s="108" customFormat="1" ht="31.5" x14ac:dyDescent="0.25">
      <c r="A329" s="851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IF(B329&gt;0,VLOOKUP(B329,КВСР!A94:B1259,2),IF(C329&gt;0,VLOOKUP(C329,КФСР!A94:B1606,2),IF(D329&gt;0,VLOOKUP(D329,Программа!A$1:B$5112,2),IF(F329&gt;0,VLOOKUP(F329,КВР!A$1:B$5001,2),IF(E329&gt;0,VLOOKUP(E329,Направление!A$1:B$4791,2))))))</f>
        <v>Обеспечение мероприятий по уличному освещению</v>
      </c>
      <c r="B329" s="116"/>
      <c r="C329" s="111"/>
      <c r="D329" s="112"/>
      <c r="E329" s="111">
        <v>29236</v>
      </c>
      <c r="F329" s="113"/>
      <c r="G329" s="294">
        <v>13114777</v>
      </c>
      <c r="H329" s="283">
        <f t="shared" si="79"/>
        <v>0</v>
      </c>
      <c r="I329" s="294">
        <f t="shared" si="79"/>
        <v>13114777</v>
      </c>
    </row>
    <row r="330" spans="1:9" s="108" customFormat="1" ht="47.25" x14ac:dyDescent="0.25">
      <c r="A330" s="851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IF(B330&gt;0,VLOOKUP(B330,КВСР!A95:B1260,2),IF(C330&gt;0,VLOOKUP(C330,КФСР!A95:B1607,2),IF(D330&gt;0,VLOOKUP(D330,Программа!A$1:B$5112,2),IF(F330&gt;0,VLOOKUP(F330,КВР!A$1:B$5001,2),IF(E330&gt;0,VLOOKUP(E330,Направление!A$1:B$4791,2))))))</f>
        <v>Предоставление субсидий бюджетным, автономным учреждениям и иным некоммерческим организациям</v>
      </c>
      <c r="B330" s="116"/>
      <c r="C330" s="111"/>
      <c r="D330" s="112"/>
      <c r="E330" s="111"/>
      <c r="F330" s="113">
        <v>600</v>
      </c>
      <c r="G330" s="294">
        <v>13114777</v>
      </c>
      <c r="H330" s="283"/>
      <c r="I330" s="282">
        <f>G330+H330</f>
        <v>13114777</v>
      </c>
    </row>
    <row r="331" spans="1:9" s="108" customFormat="1" ht="63" x14ac:dyDescent="0.25">
      <c r="A331" s="851" t="str">
        <f>IF(B331&gt;0,VLOOKUP(B331,КВСР!A96:B1261,2),IF(C331&gt;0,VLOOKUP(C331,КФСР!A96:B1608,2),IF(D331&gt;0,VLOOKUP(D331,Программа!A$1:B$5112,2),IF(F331&gt;0,VLOOKUP(F331,КВР!A$1:B$5001,2),IF(E331&gt;0,VLOOKUP(E331,Направление!A$1:B$4791,2))))))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31" s="116"/>
      <c r="C331" s="111"/>
      <c r="D331" s="112" t="s">
        <v>1623</v>
      </c>
      <c r="E331" s="111"/>
      <c r="F331" s="113"/>
      <c r="G331" s="294">
        <v>1691848</v>
      </c>
      <c r="H331" s="283">
        <f t="shared" ref="H331:I333" si="80">H332</f>
        <v>200000</v>
      </c>
      <c r="I331" s="294">
        <f t="shared" si="80"/>
        <v>1891848</v>
      </c>
    </row>
    <row r="332" spans="1:9" s="108" customFormat="1" ht="31.5" x14ac:dyDescent="0.25">
      <c r="A332" s="851" t="str">
        <f>IF(B332&gt;0,VLOOKUP(B332,КВСР!A97:B1262,2),IF(C332&gt;0,VLOOKUP(C332,КФСР!A97:B1609,2),IF(D332&gt;0,VLOOKUP(D332,Программа!A$1:B$5112,2),IF(F332&gt;0,VLOOKUP(F332,КВР!A$1:B$5001,2),IF(E332&gt;0,VLOOKUP(E332,Направление!A$1:B$4791,2))))))</f>
        <v xml:space="preserve">Реконструкция, ремонт и строительство новых сетей уличного освещения </v>
      </c>
      <c r="B332" s="116"/>
      <c r="C332" s="111"/>
      <c r="D332" s="112" t="s">
        <v>1624</v>
      </c>
      <c r="E332" s="111"/>
      <c r="F332" s="113"/>
      <c r="G332" s="294">
        <v>1691848</v>
      </c>
      <c r="H332" s="283">
        <f t="shared" si="80"/>
        <v>200000</v>
      </c>
      <c r="I332" s="294">
        <f t="shared" si="80"/>
        <v>1891848</v>
      </c>
    </row>
    <row r="333" spans="1:9" s="108" customFormat="1" ht="63" x14ac:dyDescent="0.25">
      <c r="A333" s="851" t="str">
        <f>IF(B333&gt;0,VLOOKUP(B333,КВСР!A97:B1262,2),IF(C333&gt;0,VLOOKUP(C333,КФСР!A97:B1609,2),IF(D333&gt;0,VLOOKUP(D333,Программа!A$1:B$5112,2),IF(F333&gt;0,VLOOKUP(F333,КВР!A$1:B$5001,2),IF(E333&gt;0,VLOOKUP(E333,Направление!A$1:B$4791,2))))))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33" s="116"/>
      <c r="C333" s="111"/>
      <c r="D333" s="112"/>
      <c r="E333" s="111">
        <v>29246</v>
      </c>
      <c r="F333" s="113"/>
      <c r="G333" s="294">
        <v>1691848</v>
      </c>
      <c r="H333" s="283">
        <f t="shared" si="80"/>
        <v>200000</v>
      </c>
      <c r="I333" s="294">
        <f t="shared" si="80"/>
        <v>1891848</v>
      </c>
    </row>
    <row r="334" spans="1:9" s="108" customFormat="1" ht="47.25" x14ac:dyDescent="0.25">
      <c r="A334" s="851" t="str">
        <f>IF(B334&gt;0,VLOOKUP(B334,КВСР!A98:B1263,2),IF(C334&gt;0,VLOOKUP(C334,КФСР!A98:B1610,2),IF(D334&gt;0,VLOOKUP(D334,Программа!A$1:B$5112,2),IF(F334&gt;0,VLOOKUP(F334,КВР!A$1:B$5001,2),IF(E334&gt;0,VLOOKUP(E334,Направление!A$1:B$4791,2))))))</f>
        <v>Предоставление субсидий бюджетным, автономным учреждениям и иным некоммерческим организациям</v>
      </c>
      <c r="B334" s="116"/>
      <c r="C334" s="111"/>
      <c r="D334" s="112"/>
      <c r="E334" s="111"/>
      <c r="F334" s="113">
        <v>600</v>
      </c>
      <c r="G334" s="294">
        <v>1691848</v>
      </c>
      <c r="H334" s="283">
        <v>200000</v>
      </c>
      <c r="I334" s="282">
        <f>G334+H334</f>
        <v>1891848</v>
      </c>
    </row>
    <row r="335" spans="1:9" s="108" customFormat="1" ht="63" x14ac:dyDescent="0.25">
      <c r="A335" s="851" t="str">
        <f>IF(B335&gt;0,VLOOKUP(B335,КВСР!A89:B1254,2),IF(C335&gt;0,VLOOKUP(C335,КФСР!A89:B1601,2),IF(D335&gt;0,VLOOKUP(D335,Программа!A$1:B$5112,2),IF(F335&gt;0,VLOOKUP(F335,КВР!A$1:B$5001,2),IF(E335&gt;0,VLOOKUP(E335,Направление!A$1:B$4791,2))))))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5" s="116"/>
      <c r="C335" s="111"/>
      <c r="D335" s="112" t="s">
        <v>1229</v>
      </c>
      <c r="E335" s="111"/>
      <c r="F335" s="113"/>
      <c r="G335" s="282">
        <v>97852635</v>
      </c>
      <c r="H335" s="283">
        <f>H336+H341</f>
        <v>2305787</v>
      </c>
      <c r="I335" s="282">
        <f>SUM(G335:H335)</f>
        <v>100158422</v>
      </c>
    </row>
    <row r="336" spans="1:9" s="108" customFormat="1" ht="31.5" x14ac:dyDescent="0.25">
      <c r="A336" s="851" t="str">
        <f>IF(B336&gt;0,VLOOKUP(B336,КВСР!A90:B1255,2),IF(C336&gt;0,VLOOKUP(C336,КФСР!A90:B1602,2),IF(D336&gt;0,VLOOKUP(D336,Программа!A$1:B$5112,2),IF(F336&gt;0,VLOOKUP(F336,КВР!A$1:B$5001,2),IF(E336&gt;0,VLOOKUP(E336,Направление!A$1:B$4791,2))))))</f>
        <v>Повышение уровня благоустройства территорий</v>
      </c>
      <c r="B336" s="116"/>
      <c r="C336" s="111"/>
      <c r="D336" s="112" t="s">
        <v>1248</v>
      </c>
      <c r="E336" s="111"/>
      <c r="F336" s="113"/>
      <c r="G336" s="282">
        <f>4209568+G339</f>
        <v>5814568</v>
      </c>
      <c r="H336" s="283">
        <f>H337+H339</f>
        <v>2440627</v>
      </c>
      <c r="I336" s="282">
        <f>SUM(G336:H336)</f>
        <v>8255195</v>
      </c>
    </row>
    <row r="337" spans="1:9" s="108" customFormat="1" ht="47.25" x14ac:dyDescent="0.25">
      <c r="A337" s="851" t="str">
        <f>IF(B337&gt;0,VLOOKUP(B337,КВСР!A89:B1254,2),IF(C337&gt;0,VLOOKUP(C337,КФСР!A89:B1601,2),IF(D337&gt;0,VLOOKUP(D337,Программа!A$1:B$5112,2),IF(F337&gt;0,VLOOKUP(F337,КВР!A$1:B$5001,2),IF(E337&gt;0,VLOOKUP(E337,Направление!A$1:B$4791,2))))))</f>
        <v>Обеспечение мероприятий по формированию современной городской среды</v>
      </c>
      <c r="B337" s="116"/>
      <c r="C337" s="111"/>
      <c r="D337" s="112"/>
      <c r="E337" s="111">
        <v>29456</v>
      </c>
      <c r="F337" s="113"/>
      <c r="G337" s="282">
        <v>4209568</v>
      </c>
      <c r="H337" s="283">
        <f>H338</f>
        <v>390000</v>
      </c>
      <c r="I337" s="282">
        <f t="shared" si="74"/>
        <v>4599568</v>
      </c>
    </row>
    <row r="338" spans="1:9" s="108" customFormat="1" ht="57.75" customHeight="1" x14ac:dyDescent="0.25">
      <c r="A338" s="851" t="str">
        <f>IF(B338&gt;0,VLOOKUP(B338,КВСР!A90:B1255,2),IF(C338&gt;0,VLOOKUP(C338,КФСР!A90:B1602,2),IF(D338&gt;0,VLOOKUP(D338,Программа!A$1:B$5112,2),IF(F338&gt;0,VLOOKUP(F338,КВР!A$1:B$5001,2),IF(E338&gt;0,VLOOKUP(E338,Направление!A$1:B$4791,2))))))</f>
        <v xml:space="preserve">Закупка товаров, работ и услуг для обеспечения государственных (муниципальных) нужд
</v>
      </c>
      <c r="B338" s="116"/>
      <c r="C338" s="111"/>
      <c r="D338" s="112"/>
      <c r="E338" s="111"/>
      <c r="F338" s="113">
        <v>200</v>
      </c>
      <c r="G338" s="294">
        <v>4209568</v>
      </c>
      <c r="H338" s="283">
        <v>390000</v>
      </c>
      <c r="I338" s="282">
        <f t="shared" si="74"/>
        <v>4599568</v>
      </c>
    </row>
    <row r="339" spans="1:9" s="108" customFormat="1" ht="63" x14ac:dyDescent="0.25">
      <c r="A339" s="851" t="str">
        <f>IF(B339&gt;0,VLOOKUP(B339,КВСР!A92:B1257,2),IF(C339&gt;0,VLOOKUP(C339,КФСР!A92:B1604,2),IF(D339&gt;0,VLOOKUP(D339,Программа!A$1:B$5112,2),IF(F339&gt;0,VLOOKUP(F339,КВР!A$1:B$5001,2),IF(E339&gt;0,VLOOKUP(E339,Направление!A$1:B$4791,2))))))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39" s="116"/>
      <c r="C339" s="111"/>
      <c r="D339" s="112"/>
      <c r="E339" s="111">
        <v>29856</v>
      </c>
      <c r="F339" s="113"/>
      <c r="G339" s="282">
        <v>1605000</v>
      </c>
      <c r="H339" s="283">
        <f>H340</f>
        <v>2050627</v>
      </c>
      <c r="I339" s="282">
        <f t="shared" si="74"/>
        <v>3655627</v>
      </c>
    </row>
    <row r="340" spans="1:9" s="108" customFormat="1" ht="47.25" x14ac:dyDescent="0.25">
      <c r="A340" s="851" t="str">
        <f>IF(B340&gt;0,VLOOKUP(B340,КВСР!A93:B1258,2),IF(C340&gt;0,VLOOKUP(C340,КФСР!A93:B1605,2),IF(D340&gt;0,VLOOKUP(D340,Программа!A$1:B$5112,2),IF(F340&gt;0,VLOOKUP(F340,КВР!A$1:B$5001,2),IF(E340&gt;0,VLOOKUP(E340,Направление!A$1:B$4791,2))))))</f>
        <v>Предоставление субсидий бюджетным, автономным учреждениям и иным некоммерческим организациям</v>
      </c>
      <c r="B340" s="116"/>
      <c r="C340" s="111"/>
      <c r="D340" s="112"/>
      <c r="E340" s="111"/>
      <c r="F340" s="113">
        <v>600</v>
      </c>
      <c r="G340" s="294">
        <v>1605000</v>
      </c>
      <c r="H340" s="283">
        <v>2050627</v>
      </c>
      <c r="I340" s="282">
        <f t="shared" si="74"/>
        <v>3655627</v>
      </c>
    </row>
    <row r="341" spans="1:9" s="108" customFormat="1" ht="26.25" customHeight="1" x14ac:dyDescent="0.25">
      <c r="A341" s="851" t="str">
        <f>IF(B341&gt;0,VLOOKUP(B341,КВСР!A94:B1259,2),IF(C341&gt;0,VLOOKUP(C341,КФСР!A94:B1606,2),IF(D341&gt;0,VLOOKUP(D341,Программа!A$1:B$5112,2),IF(F341&gt;0,VLOOKUP(F341,КВР!A$1:B$5001,2),IF(E341&gt;0,VLOOKUP(E341,Направление!A$1:B$4791,2))))))</f>
        <v>Реализация   проекта "Формирование комфортной городской среды"</v>
      </c>
      <c r="B341" s="116"/>
      <c r="C341" s="111"/>
      <c r="D341" s="112" t="s">
        <v>1513</v>
      </c>
      <c r="E341" s="111"/>
      <c r="F341" s="113"/>
      <c r="G341" s="294">
        <v>92038067</v>
      </c>
      <c r="H341" s="283">
        <f>H344+H342</f>
        <v>-134840</v>
      </c>
      <c r="I341" s="294">
        <f>SUM(G341:H341)</f>
        <v>91903227</v>
      </c>
    </row>
    <row r="342" spans="1:9" s="108" customFormat="1" ht="114.75" customHeight="1" x14ac:dyDescent="0.25">
      <c r="A342" s="851" t="str">
        <f>IF(B342&gt;0,VLOOKUP(B342,КВСР!A95:B1260,2),IF(C342&gt;0,VLOOKUP(C342,КФСР!A95:B1607,2),IF(D342&gt;0,VLOOKUP(D342,Программа!A$1:B$5112,2),IF(F342&gt;0,VLOOKUP(F342,КВР!A$1:B$5001,2),IF(E342&gt;0,VLOOKUP(E342,Направление!A$1:B$4791,2))))))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2" s="116"/>
      <c r="C342" s="111"/>
      <c r="D342" s="112"/>
      <c r="E342" s="111">
        <v>54246</v>
      </c>
      <c r="F342" s="113"/>
      <c r="G342" s="294">
        <v>87500000</v>
      </c>
      <c r="H342" s="283">
        <f>H343</f>
        <v>0</v>
      </c>
      <c r="I342" s="283">
        <f>I343</f>
        <v>87500000</v>
      </c>
    </row>
    <row r="343" spans="1:9" s="108" customFormat="1" ht="47.25" x14ac:dyDescent="0.25">
      <c r="A343" s="851" t="str">
        <f>IF(B343&gt;0,VLOOKUP(B343,КВСР!A96:B1261,2),IF(C343&gt;0,VLOOKUP(C343,КФСР!A96:B1608,2),IF(D343&gt;0,VLOOKUP(D343,Программа!A$1:B$5112,2),IF(F343&gt;0,VLOOKUP(F343,КВР!A$1:B$5001,2),IF(E343&gt;0,VLOOKUP(E343,Направление!A$1:B$4791,2))))))</f>
        <v>Предоставление субсидий бюджетным, автономным учреждениям и иным некоммерческим организациям</v>
      </c>
      <c r="B343" s="116"/>
      <c r="C343" s="111"/>
      <c r="D343" s="112"/>
      <c r="E343" s="111"/>
      <c r="F343" s="113">
        <v>600</v>
      </c>
      <c r="G343" s="275">
        <v>87500000</v>
      </c>
      <c r="H343" s="283"/>
      <c r="I343" s="294">
        <f>SUM(G343:H343)</f>
        <v>87500000</v>
      </c>
    </row>
    <row r="344" spans="1:9" s="108" customFormat="1" ht="47.25" x14ac:dyDescent="0.25">
      <c r="A344" s="851" t="str">
        <f>IF(B344&gt;0,VLOOKUP(B344,КВСР!A95:B1260,2),IF(C344&gt;0,VLOOKUP(C344,КФСР!A95:B1607,2),IF(D344&gt;0,VLOOKUP(D344,Программа!A$1:B$5112,2),IF(F344&gt;0,VLOOKUP(F344,КВР!A$1:B$5001,2),IF(E344&gt;0,VLOOKUP(E344,Направление!A$1:B$4791,2))))))</f>
        <v xml:space="preserve">Субсидия на реализацию программ формирования современной городской среды </v>
      </c>
      <c r="B344" s="116"/>
      <c r="C344" s="111"/>
      <c r="D344" s="112"/>
      <c r="E344" s="111">
        <v>55556</v>
      </c>
      <c r="F344" s="113"/>
      <c r="G344" s="294">
        <v>4538067</v>
      </c>
      <c r="H344" s="283">
        <f t="shared" ref="H344:I344" si="81">H345</f>
        <v>-134840</v>
      </c>
      <c r="I344" s="294">
        <f t="shared" si="81"/>
        <v>4403227</v>
      </c>
    </row>
    <row r="345" spans="1:9" s="108" customFormat="1" ht="63" x14ac:dyDescent="0.25">
      <c r="A345" s="851" t="str">
        <f>IF(B345&gt;0,VLOOKUP(B345,КВСР!A96:B1261,2),IF(C345&gt;0,VLOOKUP(C345,КФСР!A96:B1608,2),IF(D345&gt;0,VLOOKUP(D345,Программа!A$1:B$5112,2),IF(F345&gt;0,VLOOKUP(F345,КВР!A$1:B$5001,2),IF(E345&gt;0,VLOOKUP(E345,Направление!A$1:B$4791,2))))))</f>
        <v xml:space="preserve">Закупка товаров, работ и услуг для обеспечения государственных (муниципальных) нужд
</v>
      </c>
      <c r="B345" s="116"/>
      <c r="C345" s="111"/>
      <c r="D345" s="112"/>
      <c r="E345" s="111"/>
      <c r="F345" s="113">
        <v>200</v>
      </c>
      <c r="G345" s="275">
        <v>4538067</v>
      </c>
      <c r="H345" s="283">
        <v>-134840</v>
      </c>
      <c r="I345" s="282">
        <f>SUM(G345:H345)</f>
        <v>4403227</v>
      </c>
    </row>
    <row r="346" spans="1:9" s="108" customFormat="1" ht="31.5" x14ac:dyDescent="0.25">
      <c r="A346" s="851" t="str">
        <f>IF(B346&gt;0,VLOOKUP(B346,КВСР!A58:B1223,2),IF(C346&gt;0,VLOOKUP(C346,КФСР!A58:B1570,2),IF(D346&gt;0,VLOOKUP(D346,Программа!A$1:B$5112,2),IF(F346&gt;0,VLOOKUP(F346,КВР!A$1:B$5001,2),IF(E346&gt;0,VLOOKUP(E346,Направление!A$1:B$4791,2))))))</f>
        <v>Другие вопросы в области охраны окружающей среды</v>
      </c>
      <c r="B346" s="116"/>
      <c r="C346" s="111">
        <v>605</v>
      </c>
      <c r="D346" s="113"/>
      <c r="E346" s="111"/>
      <c r="F346" s="113"/>
      <c r="G346" s="294">
        <v>1400000</v>
      </c>
      <c r="H346" s="283">
        <f t="shared" ref="H346:H347" si="82">H347</f>
        <v>380000</v>
      </c>
      <c r="I346" s="119">
        <f t="shared" si="26"/>
        <v>1780000</v>
      </c>
    </row>
    <row r="347" spans="1:9" s="108" customFormat="1" ht="63" x14ac:dyDescent="0.25">
      <c r="A347" s="851" t="str">
        <f>IF(B347&gt;0,VLOOKUP(B347,КВСР!A59:B1224,2),IF(C347&gt;0,VLOOKUP(C347,КФСР!A59:B1571,2),IF(D347&gt;0,VLOOKUP(D347,Программа!A$1:B$5112,2),IF(F347&gt;0,VLOOKUP(F347,КВР!A$1:B$5001,2),IF(E347&gt;0,VLOOKUP(E347,Направление!A$1:B$4791,2))))))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7" s="116"/>
      <c r="C347" s="111"/>
      <c r="D347" s="113" t="s">
        <v>1106</v>
      </c>
      <c r="E347" s="111"/>
      <c r="F347" s="113"/>
      <c r="G347" s="294">
        <v>1400000</v>
      </c>
      <c r="H347" s="283">
        <f t="shared" si="82"/>
        <v>380000</v>
      </c>
      <c r="I347" s="119">
        <f t="shared" si="26"/>
        <v>1780000</v>
      </c>
    </row>
    <row r="348" spans="1:9" s="108" customFormat="1" ht="63" x14ac:dyDescent="0.25">
      <c r="A348" s="851" t="str">
        <f>IF(B348&gt;0,VLOOKUP(B348,КВСР!A60:B1225,2),IF(C348&gt;0,VLOOKUP(C348,КФСР!A60:B1572,2),IF(D348&gt;0,VLOOKUP(D348,Программа!A$1:B$5112,2),IF(F348&gt;0,VLOOKUP(F348,КВР!A$1:B$5001,2),IF(E348&gt;0,VLOOKUP(E348,Направление!A$1:B$4791,2))))))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8" s="116"/>
      <c r="C348" s="111"/>
      <c r="D348" s="113" t="s">
        <v>1148</v>
      </c>
      <c r="E348" s="111"/>
      <c r="F348" s="113"/>
      <c r="G348" s="294">
        <v>1400000</v>
      </c>
      <c r="H348" s="283">
        <f>H349+H353+H355</f>
        <v>380000</v>
      </c>
      <c r="I348" s="294">
        <f>I349+I353+I355</f>
        <v>1780000</v>
      </c>
    </row>
    <row r="349" spans="1:9" s="108" customFormat="1" ht="31.5" x14ac:dyDescent="0.25">
      <c r="A349" s="851" t="str">
        <f>IF(B349&gt;0,VLOOKUP(B349,КВСР!A60:B1225,2),IF(C349&gt;0,VLOOKUP(C349,КФСР!A60:B1572,2),IF(D349&gt;0,VLOOKUP(D349,Программа!A$1:B$5112,2),IF(F349&gt;0,VLOOKUP(F349,КВР!A$1:B$5001,2),IF(E349&gt;0,VLOOKUP(E349,Направление!A$1:B$4791,2))))))</f>
        <v>Расходы на природоохранные мероприятия</v>
      </c>
      <c r="B349" s="116"/>
      <c r="C349" s="111"/>
      <c r="D349" s="113"/>
      <c r="E349" s="111">
        <v>10600</v>
      </c>
      <c r="F349" s="113"/>
      <c r="G349" s="294">
        <v>1250000</v>
      </c>
      <c r="H349" s="283">
        <f>H350+H352+H351</f>
        <v>180000</v>
      </c>
      <c r="I349" s="283">
        <f>I350+I352+I351</f>
        <v>1430000</v>
      </c>
    </row>
    <row r="350" spans="1:9" s="108" customFormat="1" ht="63" x14ac:dyDescent="0.25">
      <c r="A350" s="851" t="str">
        <f>IF(B350&gt;0,VLOOKUP(B350,КВСР!A61:B1226,2),IF(C350&gt;0,VLOOKUP(C350,КФСР!A61:B1573,2),IF(D350&gt;0,VLOOKUP(D350,Программа!A$1:B$5112,2),IF(F350&gt;0,VLOOKUP(F350,КВР!A$1:B$5001,2),IF(E350&gt;0,VLOOKUP(E350,Направление!A$1:B$4791,2))))))</f>
        <v xml:space="preserve">Закупка товаров, работ и услуг для обеспечения государственных (муниципальных) нужд
</v>
      </c>
      <c r="B350" s="116"/>
      <c r="C350" s="111"/>
      <c r="D350" s="113"/>
      <c r="E350" s="111"/>
      <c r="F350" s="113">
        <v>200</v>
      </c>
      <c r="G350" s="294">
        <v>50000</v>
      </c>
      <c r="H350" s="283">
        <v>180000</v>
      </c>
      <c r="I350" s="119">
        <f t="shared" si="26"/>
        <v>230000</v>
      </c>
    </row>
    <row r="351" spans="1:9" s="108" customFormat="1" x14ac:dyDescent="0.25">
      <c r="A351" s="851" t="str">
        <f>IF(B351&gt;0,VLOOKUP(B351,КВСР!A62:B1227,2),IF(C351&gt;0,VLOOKUP(C351,КФСР!A62:B1574,2),IF(D351&gt;0,VLOOKUP(D351,Программа!A$1:B$5112,2),IF(F351&gt;0,VLOOKUP(F351,КВР!A$1:B$5001,2),IF(E351&gt;0,VLOOKUP(E351,Направление!A$1:B$4791,2))))))</f>
        <v xml:space="preserve"> Межбюджетные трансферты</v>
      </c>
      <c r="B351" s="116"/>
      <c r="C351" s="111"/>
      <c r="D351" s="113"/>
      <c r="E351" s="111"/>
      <c r="F351" s="113">
        <v>500</v>
      </c>
      <c r="G351" s="294">
        <v>700000</v>
      </c>
      <c r="H351" s="283"/>
      <c r="I351" s="119">
        <f t="shared" si="26"/>
        <v>700000</v>
      </c>
    </row>
    <row r="352" spans="1:9" s="108" customFormat="1" ht="47.25" x14ac:dyDescent="0.25">
      <c r="A352" s="851" t="str">
        <f>IF(B352&gt;0,VLOOKUP(B352,КВСР!A62:B1227,2),IF(C352&gt;0,VLOOKUP(C352,КФСР!A62:B1574,2),IF(D352&gt;0,VLOOKUP(D352,Программа!A$1:B$5112,2),IF(F352&gt;0,VLOOKUP(F352,КВР!A$1:B$5001,2),IF(E352&gt;0,VLOOKUP(E352,Направление!A$1:B$4791,2))))))</f>
        <v>Предоставление субсидий бюджетным, автономным учреждениям и иным некоммерческим организациям</v>
      </c>
      <c r="B352" s="116"/>
      <c r="C352" s="111"/>
      <c r="D352" s="113"/>
      <c r="E352" s="111"/>
      <c r="F352" s="113">
        <v>600</v>
      </c>
      <c r="G352" s="294">
        <v>500000</v>
      </c>
      <c r="H352" s="283"/>
      <c r="I352" s="119">
        <f>G352+H352</f>
        <v>500000</v>
      </c>
    </row>
    <row r="353" spans="1:9" s="108" customFormat="1" ht="31.5" x14ac:dyDescent="0.25">
      <c r="A353" s="851" t="str">
        <f>IF(B353&gt;0,VLOOKUP(B353,КВСР!A63:B1228,2),IF(C353&gt;0,VLOOKUP(C353,КФСР!A63:B1575,2),IF(D353&gt;0,VLOOKUP(D353,Программа!A$1:B$5112,2),IF(F353&gt;0,VLOOKUP(F353,КВР!A$1:B$5001,2),IF(E353&gt;0,VLOOKUP(E353,Направление!A$1:B$4791,2))))))</f>
        <v>Расходы на реализацию мероприятий по борьбе с борщевиком Сосновского</v>
      </c>
      <c r="B353" s="116"/>
      <c r="C353" s="111"/>
      <c r="D353" s="113"/>
      <c r="E353" s="111">
        <v>16900</v>
      </c>
      <c r="F353" s="113"/>
      <c r="G353" s="294">
        <v>150000</v>
      </c>
      <c r="H353" s="283">
        <f>H354</f>
        <v>200000</v>
      </c>
      <c r="I353" s="294">
        <f>I354</f>
        <v>350000</v>
      </c>
    </row>
    <row r="354" spans="1:9" s="108" customFormat="1" ht="63" x14ac:dyDescent="0.25">
      <c r="A354" s="851" t="str">
        <f>IF(B354&gt;0,VLOOKUP(B354,КВСР!A64:B1229,2),IF(C354&gt;0,VLOOKUP(C354,КФСР!A64:B1576,2),IF(D354&gt;0,VLOOKUP(D354,Программа!A$1:B$5112,2),IF(F354&gt;0,VLOOKUP(F354,КВР!A$1:B$5001,2),IF(E354&gt;0,VLOOKUP(E354,Направление!A$1:B$4791,2))))))</f>
        <v xml:space="preserve">Закупка товаров, работ и услуг для обеспечения государственных (муниципальных) нужд
</v>
      </c>
      <c r="B354" s="116"/>
      <c r="C354" s="111"/>
      <c r="D354" s="113"/>
      <c r="E354" s="111"/>
      <c r="F354" s="113">
        <v>200</v>
      </c>
      <c r="G354" s="294">
        <v>150000</v>
      </c>
      <c r="H354" s="283">
        <v>200000</v>
      </c>
      <c r="I354" s="119">
        <f>G354+H354</f>
        <v>350000</v>
      </c>
    </row>
    <row r="355" spans="1:9" s="108" customFormat="1" ht="47.25" hidden="1" x14ac:dyDescent="0.25">
      <c r="A355" s="851" t="str">
        <f>IF(B355&gt;0,VLOOKUP(B355,КВСР!A65:B1230,2),IF(C355&gt;0,VLOOKUP(C355,КФСР!A65:B1577,2),IF(D355&gt;0,VLOOKUP(D355,Программа!A$1:B$5112,2),IF(F355&gt;0,VLOOKUP(F355,КВР!A$1:B$5001,2),IF(E355&gt;0,VLOOKUP(E355,Направление!A$1:B$4791,2))))))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5" s="116"/>
      <c r="C355" s="111"/>
      <c r="D355" s="113"/>
      <c r="E355" s="111">
        <v>76900</v>
      </c>
      <c r="F355" s="113"/>
      <c r="G355" s="294">
        <v>0</v>
      </c>
      <c r="H355" s="283">
        <f>H356</f>
        <v>0</v>
      </c>
      <c r="I355" s="294">
        <f>I356</f>
        <v>0</v>
      </c>
    </row>
    <row r="356" spans="1:9" s="108" customFormat="1" ht="63" hidden="1" x14ac:dyDescent="0.25">
      <c r="A356" s="851" t="str">
        <f>IF(B356&gt;0,VLOOKUP(B356,КВСР!A64:B1229,2),IF(C356&gt;0,VLOOKUP(C356,КФСР!A64:B1576,2),IF(D356&gt;0,VLOOKUP(D356,Программа!A$1:B$5112,2),IF(F356&gt;0,VLOOKUP(F356,КВР!A$1:B$5001,2),IF(E356&gt;0,VLOOKUP(E356,Направление!A$1:B$4791,2))))))</f>
        <v xml:space="preserve">Закупка товаров, работ и услуг для обеспечения государственных (муниципальных) нужд
</v>
      </c>
      <c r="B356" s="116"/>
      <c r="C356" s="111"/>
      <c r="D356" s="113"/>
      <c r="E356" s="111"/>
      <c r="F356" s="113">
        <v>200</v>
      </c>
      <c r="G356" s="294">
        <v>0</v>
      </c>
      <c r="H356" s="283"/>
      <c r="I356" s="119">
        <f>G356+H356</f>
        <v>0</v>
      </c>
    </row>
    <row r="357" spans="1:9" s="108" customFormat="1" x14ac:dyDescent="0.25">
      <c r="A357" s="851" t="str">
        <f>IF(B357&gt;0,VLOOKUP(B357,КВСР!A65:B1230,2),IF(C357&gt;0,VLOOKUP(C357,КФСР!A65:B1577,2),IF(D357&gt;0,VLOOKUP(D357,Программа!A$1:B$5112,2),IF(F357&gt;0,VLOOKUP(F357,КВР!A$1:B$5001,2),IF(E357&gt;0,VLOOKUP(E357,Направление!A$1:B$4791,2))))))</f>
        <v>Культура</v>
      </c>
      <c r="B357" s="116"/>
      <c r="C357" s="111">
        <v>801</v>
      </c>
      <c r="D357" s="113"/>
      <c r="E357" s="111"/>
      <c r="F357" s="113"/>
      <c r="G357" s="294">
        <v>15676089</v>
      </c>
      <c r="H357" s="283">
        <f t="shared" ref="H357:I364" si="83">H358</f>
        <v>0</v>
      </c>
      <c r="I357" s="294">
        <f t="shared" si="83"/>
        <v>15676089</v>
      </c>
    </row>
    <row r="358" spans="1:9" s="108" customFormat="1" ht="63" x14ac:dyDescent="0.25">
      <c r="A358" s="851" t="str">
        <f>IF(B358&gt;0,VLOOKUP(B358,КВСР!A66:B1231,2),IF(C358&gt;0,VLOOKUP(C358,КФСР!A66:B1578,2),IF(D358&gt;0,VLOOKUP(D358,Программа!A$1:B$5112,2),IF(F358&gt;0,VLOOKUP(F358,КВР!A$1:B$5001,2),IF(E358&gt;0,VLOOKUP(E358,Направление!A$1:B$4791,2))))))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8" s="116"/>
      <c r="C358" s="111"/>
      <c r="D358" s="113" t="s">
        <v>470</v>
      </c>
      <c r="E358" s="111"/>
      <c r="F358" s="113"/>
      <c r="G358" s="294">
        <v>15676089</v>
      </c>
      <c r="H358" s="283">
        <f t="shared" si="83"/>
        <v>0</v>
      </c>
      <c r="I358" s="294">
        <f t="shared" si="83"/>
        <v>15676089</v>
      </c>
    </row>
    <row r="359" spans="1:9" s="108" customFormat="1" ht="47.25" x14ac:dyDescent="0.25">
      <c r="A359" s="851" t="str">
        <f>IF(B359&gt;0,VLOOKUP(B359,КВСР!A67:B1232,2),IF(C359&gt;0,VLOOKUP(C359,КФСР!A67:B1579,2),IF(D359&gt;0,VLOOKUP(D359,Программа!A$1:B$5112,2),IF(F359&gt;0,VLOOKUP(F359,КВР!A$1:B$5001,2),IF(E359&gt;0,VLOOKUP(E359,Направление!A$1:B$4791,2))))))</f>
        <v>Ведомственная целевая программа «Сохранение и развитие культуры Тутаевского муниципального района»</v>
      </c>
      <c r="B359" s="116"/>
      <c r="C359" s="111"/>
      <c r="D359" s="112" t="s">
        <v>568</v>
      </c>
      <c r="E359" s="111"/>
      <c r="F359" s="113"/>
      <c r="G359" s="294">
        <v>15676089</v>
      </c>
      <c r="H359" s="283">
        <f>H363+H360</f>
        <v>0</v>
      </c>
      <c r="I359" s="283">
        <f>I363+I360</f>
        <v>15676089</v>
      </c>
    </row>
    <row r="360" spans="1:9" s="108" customFormat="1" ht="31.5" x14ac:dyDescent="0.25">
      <c r="A360" s="851" t="str">
        <f>IF(B360&gt;0,VLOOKUP(B360,КВСР!A68:B1233,2),IF(C360&gt;0,VLOOKUP(C360,КФСР!A68:B1580,2),IF(D360&gt;0,VLOOKUP(D360,Программа!A$1:B$5112,2),IF(F360&gt;0,VLOOKUP(F360,КВР!A$1:B$5001,2),IF(E360&gt;0,VLOOKUP(E360,Направление!A$1:B$4791,2))))))</f>
        <v>Содействие доступу граждан к культурным ценностям</v>
      </c>
      <c r="B360" s="116"/>
      <c r="C360" s="111"/>
      <c r="D360" s="112" t="s">
        <v>587</v>
      </c>
      <c r="E360" s="111"/>
      <c r="F360" s="113"/>
      <c r="G360" s="294">
        <v>869080</v>
      </c>
      <c r="H360" s="294">
        <f t="shared" ref="H360:I361" si="84">H361</f>
        <v>0</v>
      </c>
      <c r="I360" s="294">
        <f t="shared" si="84"/>
        <v>869080</v>
      </c>
    </row>
    <row r="361" spans="1:9" s="108" customFormat="1" ht="31.5" x14ac:dyDescent="0.25">
      <c r="A361" s="851" t="str">
        <f>IF(B361&gt;0,VLOOKUP(B361,КВСР!A69:B1234,2),IF(C361&gt;0,VLOOKUP(C361,КФСР!A69:B1581,2),IF(D361&gt;0,VLOOKUP(D361,Программа!A$1:B$5112,2),IF(F361&gt;0,VLOOKUP(F361,КВР!A$1:B$5001,2),IF(E361&gt;0,VLOOKUP(E361,Направление!A$1:B$4791,2))))))</f>
        <v>Обеспечение деятельности учреждений по организации досуга в сфере культуры</v>
      </c>
      <c r="B361" s="116"/>
      <c r="C361" s="111"/>
      <c r="D361" s="112"/>
      <c r="E361" s="111">
        <v>15010</v>
      </c>
      <c r="F361" s="113"/>
      <c r="G361" s="294">
        <v>869080</v>
      </c>
      <c r="H361" s="294">
        <f t="shared" si="84"/>
        <v>0</v>
      </c>
      <c r="I361" s="294">
        <f t="shared" si="84"/>
        <v>869080</v>
      </c>
    </row>
    <row r="362" spans="1:9" s="108" customFormat="1" ht="47.25" x14ac:dyDescent="0.25">
      <c r="A362" s="851" t="str">
        <f>IF(B362&gt;0,VLOOKUP(B362,КВСР!A70:B1235,2),IF(C362&gt;0,VLOOKUP(C362,КФСР!A70:B1582,2),IF(D362&gt;0,VLOOKUP(D362,Программа!A$1:B$5112,2),IF(F362&gt;0,VLOOKUP(F362,КВР!A$1:B$5001,2),IF(E362&gt;0,VLOOKUP(E362,Направление!A$1:B$4791,2))))))</f>
        <v>Предоставление субсидий бюджетным, автономным учреждениям и иным некоммерческим организациям</v>
      </c>
      <c r="B362" s="116"/>
      <c r="C362" s="111"/>
      <c r="D362" s="112"/>
      <c r="E362" s="111"/>
      <c r="F362" s="113">
        <v>600</v>
      </c>
      <c r="G362" s="294">
        <v>869080</v>
      </c>
      <c r="H362" s="283"/>
      <c r="I362" s="294">
        <f>G362+H362</f>
        <v>869080</v>
      </c>
    </row>
    <row r="363" spans="1:9" s="108" customFormat="1" x14ac:dyDescent="0.25">
      <c r="A363" s="851" t="str">
        <f>IF(B363&gt;0,VLOOKUP(B363,КВСР!A68:B1233,2),IF(C363&gt;0,VLOOKUP(C363,КФСР!A68:B1580,2),IF(D363&gt;0,VLOOKUP(D363,Программа!A$1:B$5112,2),IF(F363&gt;0,VLOOKUP(F363,КВР!A$1:B$5001,2),IF(E363&gt;0,VLOOKUP(E363,Направление!A$1:B$4791,2))))))</f>
        <v>Федеральный проект "Культурная среда"</v>
      </c>
      <c r="B363" s="116"/>
      <c r="C363" s="111"/>
      <c r="D363" s="113" t="s">
        <v>1881</v>
      </c>
      <c r="E363" s="111"/>
      <c r="F363" s="113"/>
      <c r="G363" s="294">
        <v>14807009</v>
      </c>
      <c r="H363" s="283">
        <f t="shared" si="83"/>
        <v>0</v>
      </c>
      <c r="I363" s="294">
        <f t="shared" si="83"/>
        <v>14807009</v>
      </c>
    </row>
    <row r="364" spans="1:9" s="108" customFormat="1" ht="47.25" x14ac:dyDescent="0.25">
      <c r="A364" s="851" t="str">
        <f>IF(B364&gt;0,VLOOKUP(B364,КВСР!A69:B1234,2),IF(C364&gt;0,VLOOKUP(C364,КФСР!A69:B1581,2),IF(D364&gt;0,VLOOKUP(D364,Программа!A$1:B$5112,2),IF(F364&gt;0,VLOOKUP(F364,КВР!A$1:B$5001,2),IF(E364&gt;0,VLOOKUP(E364,Направление!A$1:B$4791,2))))))</f>
        <v>Расходы на капитальный ремонт учреждений культурно-досугового типа в сельской местности</v>
      </c>
      <c r="B364" s="116"/>
      <c r="C364" s="111"/>
      <c r="D364" s="113"/>
      <c r="E364" s="111">
        <v>55196</v>
      </c>
      <c r="F364" s="113"/>
      <c r="G364" s="294">
        <v>14807009</v>
      </c>
      <c r="H364" s="283">
        <f t="shared" si="83"/>
        <v>0</v>
      </c>
      <c r="I364" s="294">
        <f t="shared" si="83"/>
        <v>14807009</v>
      </c>
    </row>
    <row r="365" spans="1:9" s="108" customFormat="1" ht="63" x14ac:dyDescent="0.25">
      <c r="A365" s="851" t="str">
        <f>IF(B365&gt;0,VLOOKUP(B365,КВСР!A70:B1235,2),IF(C365&gt;0,VLOOKUP(C365,КФСР!A70:B1582,2),IF(D365&gt;0,VLOOKUP(D365,Программа!A$1:B$5112,2),IF(F365&gt;0,VLOOKUP(F365,КВР!A$1:B$5001,2),IF(E365&gt;0,VLOOKUP(E365,Направление!A$1:B$4791,2))))))</f>
        <v xml:space="preserve">Закупка товаров, работ и услуг для обеспечения государственных (муниципальных) нужд
</v>
      </c>
      <c r="B365" s="116"/>
      <c r="C365" s="111"/>
      <c r="D365" s="113"/>
      <c r="E365" s="111"/>
      <c r="F365" s="113">
        <v>200</v>
      </c>
      <c r="G365" s="294">
        <v>14807009</v>
      </c>
      <c r="H365" s="283"/>
      <c r="I365" s="119">
        <f>G365+H365</f>
        <v>14807009</v>
      </c>
    </row>
    <row r="366" spans="1:9" s="108" customFormat="1" hidden="1" x14ac:dyDescent="0.25">
      <c r="A366" s="851" t="str">
        <f>IF(B366&gt;0,VLOOKUP(B366,КВСР!A62:B1227,2),IF(C366&gt;0,VLOOKUP(C366,КФСР!A62:B1574,2),IF(D366&gt;0,VLOOKUP(D366,Программа!A$1:B$5112,2),IF(F366&gt;0,VLOOKUP(F366,КВР!A$1:B$5001,2),IF(E366&gt;0,VLOOKUP(E366,Направление!A$1:B$4791,2))))))</f>
        <v>Охрана семьи и детства</v>
      </c>
      <c r="B366" s="116"/>
      <c r="C366" s="111">
        <v>1004</v>
      </c>
      <c r="D366" s="113"/>
      <c r="E366" s="111"/>
      <c r="F366" s="113"/>
      <c r="G366" s="294">
        <v>0</v>
      </c>
      <c r="H366" s="283">
        <f t="shared" ref="H366:I367" si="85">H367</f>
        <v>0</v>
      </c>
      <c r="I366" s="119">
        <f t="shared" si="26"/>
        <v>0</v>
      </c>
    </row>
    <row r="367" spans="1:9" s="108" customFormat="1" hidden="1" x14ac:dyDescent="0.25">
      <c r="A367" s="851" t="str">
        <f>IF(B367&gt;0,VLOOKUP(B367,КВСР!A63:B1228,2),IF(C367&gt;0,VLOOKUP(C367,КФСР!A63:B1575,2),IF(D367&gt;0,VLOOKUP(D367,Программа!A$1:B$5112,2),IF(F367&gt;0,VLOOKUP(F367,КВР!A$1:B$5001,2),IF(E367&gt;0,VLOOKUP(E367,Направление!A$1:B$4791,2))))))</f>
        <v>Непрограммные расходы бюджета</v>
      </c>
      <c r="B367" s="116"/>
      <c r="C367" s="111"/>
      <c r="D367" s="113" t="s">
        <v>383</v>
      </c>
      <c r="E367" s="111"/>
      <c r="F367" s="113"/>
      <c r="G367" s="294">
        <v>0</v>
      </c>
      <c r="H367" s="283">
        <f t="shared" si="85"/>
        <v>0</v>
      </c>
      <c r="I367" s="294">
        <f t="shared" si="85"/>
        <v>0</v>
      </c>
    </row>
    <row r="368" spans="1:9" s="108" customFormat="1" hidden="1" x14ac:dyDescent="0.25">
      <c r="A368" s="851" t="str">
        <f>IF(B368&gt;0,VLOOKUP(B368,КВСР!A66:B1231,2),IF(C368&gt;0,VLOOKUP(C368,КФСР!A66:B1578,2),IF(D368&gt;0,VLOOKUP(D368,Программа!A$1:B$5112,2),IF(F368&gt;0,VLOOKUP(F368,КВР!A$1:B$5001,2),IF(E368&gt;0,VLOOKUP(E368,Направление!A$1:B$4791,2))))))</f>
        <v>Содержание центрального аппарата</v>
      </c>
      <c r="B368" s="116"/>
      <c r="C368" s="111"/>
      <c r="D368" s="113"/>
      <c r="E368" s="111">
        <v>12010</v>
      </c>
      <c r="F368" s="113"/>
      <c r="G368" s="294">
        <v>0</v>
      </c>
      <c r="H368" s="283">
        <f t="shared" ref="H368" si="86">H369</f>
        <v>0</v>
      </c>
      <c r="I368" s="119">
        <f t="shared" si="26"/>
        <v>0</v>
      </c>
    </row>
    <row r="369" spans="1:9" s="108" customFormat="1" ht="110.25" hidden="1" x14ac:dyDescent="0.25">
      <c r="A369" s="851" t="str">
        <f>IF(B369&gt;0,VLOOKUP(B369,КВСР!A67:B1232,2),IF(C369&gt;0,VLOOKUP(C369,КФСР!A67:B1579,2),IF(D369&gt;0,VLOOKUP(D369,Программа!A$1:B$5112,2),IF(F369&gt;0,VLOOKUP(F369,КВР!A$1:B$5001,2),IF(E369&gt;0,VLOOKUP(E369,Направление!A$1:B$4791,2))))))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16"/>
      <c r="C369" s="111"/>
      <c r="D369" s="113"/>
      <c r="E369" s="111"/>
      <c r="F369" s="113">
        <v>100</v>
      </c>
      <c r="G369" s="294">
        <v>0</v>
      </c>
      <c r="H369" s="283"/>
      <c r="I369" s="119">
        <f t="shared" si="26"/>
        <v>0</v>
      </c>
    </row>
    <row r="370" spans="1:9" s="108" customFormat="1" x14ac:dyDescent="0.25">
      <c r="A370" s="851" t="str">
        <f>IF(B370&gt;0,VLOOKUP(B370,КВСР!A66:B1231,2),IF(C370&gt;0,VLOOKUP(C370,КФСР!A66:B1578,2),IF(D370&gt;0,VLOOKUP(D370,Программа!A$1:B$5112,2),IF(F370&gt;0,VLOOKUP(F370,КВР!A$1:B$5001,2),IF(E370&gt;0,VLOOKUP(E370,Направление!A$1:B$4791,2))))))</f>
        <v>Массовый спорт</v>
      </c>
      <c r="B370" s="116"/>
      <c r="C370" s="111">
        <v>1102</v>
      </c>
      <c r="D370" s="112"/>
      <c r="E370" s="111"/>
      <c r="F370" s="113"/>
      <c r="G370" s="294">
        <v>16570000</v>
      </c>
      <c r="H370" s="283">
        <f t="shared" ref="H370:I370" si="87">H371</f>
        <v>0</v>
      </c>
      <c r="I370" s="294">
        <f t="shared" si="87"/>
        <v>16570000</v>
      </c>
    </row>
    <row r="371" spans="1:9" s="108" customFormat="1" ht="63" x14ac:dyDescent="0.25">
      <c r="A371" s="851" t="str">
        <f>IF(B371&gt;0,VLOOKUP(B371,КВСР!A63:B1228,2),IF(C371&gt;0,VLOOKUP(C371,КФСР!A63:B1575,2),IF(D371&gt;0,VLOOKUP(D371,Программа!A$1:B$5112,2),IF(F371&gt;0,VLOOKUP(F371,КВР!A$1:B$5001,2),IF(E371&gt;0,VLOOKUP(E371,Направление!A$1:B$4791,2))))))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71" s="116"/>
      <c r="C371" s="111"/>
      <c r="D371" s="112" t="s">
        <v>441</v>
      </c>
      <c r="E371" s="111"/>
      <c r="F371" s="113"/>
      <c r="G371" s="294">
        <v>16570000</v>
      </c>
      <c r="H371" s="283">
        <f>H372</f>
        <v>0</v>
      </c>
      <c r="I371" s="294">
        <f>I372</f>
        <v>16570000</v>
      </c>
    </row>
    <row r="372" spans="1:9" s="108" customFormat="1" ht="47.25" x14ac:dyDescent="0.25">
      <c r="A372" s="851" t="str">
        <f>IF(B372&gt;0,VLOOKUP(B372,КВСР!A64:B1229,2),IF(C372&gt;0,VLOOKUP(C372,КФСР!A64:B1576,2),IF(D372&gt;0,VLOOKUP(D372,Программа!A$1:B$5112,2),IF(F372&gt;0,VLOOKUP(F372,КВР!A$1:B$5001,2),IF(E372&gt;0,VLOOKUP(E372,Направление!A$1:B$4791,2))))))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2" s="116"/>
      <c r="C372" s="111"/>
      <c r="D372" s="112" t="s">
        <v>460</v>
      </c>
      <c r="E372" s="111"/>
      <c r="F372" s="113"/>
      <c r="G372" s="294">
        <v>16570000</v>
      </c>
      <c r="H372" s="283">
        <f>H373</f>
        <v>0</v>
      </c>
      <c r="I372" s="294">
        <f>I373</f>
        <v>16570000</v>
      </c>
    </row>
    <row r="373" spans="1:9" s="108" customFormat="1" ht="31.5" x14ac:dyDescent="0.25">
      <c r="A373" s="851" t="str">
        <f>IF(B373&gt;0,VLOOKUP(B373,КВСР!A65:B1230,2),IF(C373&gt;0,VLOOKUP(C373,КФСР!A65:B1577,2),IF(D373&gt;0,VLOOKUP(D373,Программа!A$1:B$5112,2),IF(F373&gt;0,VLOOKUP(F373,КВР!A$1:B$5001,2),IF(E373&gt;0,VLOOKUP(E373,Направление!A$1:B$4791,2))))))</f>
        <v>Развитие сети плоскостных спортивных сооружений</v>
      </c>
      <c r="B373" s="116"/>
      <c r="C373" s="111"/>
      <c r="D373" s="112" t="s">
        <v>496</v>
      </c>
      <c r="E373" s="111"/>
      <c r="F373" s="113"/>
      <c r="G373" s="294">
        <v>16570000</v>
      </c>
      <c r="H373" s="283">
        <f>H374+H377+H379+H381</f>
        <v>0</v>
      </c>
      <c r="I373" s="294">
        <f>I374+I377+I379+I381</f>
        <v>16570000</v>
      </c>
    </row>
    <row r="374" spans="1:9" s="108" customFormat="1" ht="47.25" x14ac:dyDescent="0.25">
      <c r="A374" s="851" t="str">
        <f>IF(B374&gt;0,VLOOKUP(B374,КВСР!A65:B1230,2),IF(C374&gt;0,VLOOKUP(C374,КФСР!A65:B1577,2),IF(D374&gt;0,VLOOKUP(D374,Программа!A$1:B$5112,2),IF(F374&gt;0,VLOOKUP(F374,КВР!A$1:B$5001,2),IF(E374&gt;0,VLOOKUP(E374,Направление!A$1:B$4791,2))))))</f>
        <v>Мероприятия по строительству, реконструкции и ремонту спортивных объектов</v>
      </c>
      <c r="B374" s="116"/>
      <c r="C374" s="111"/>
      <c r="D374" s="113"/>
      <c r="E374" s="111">
        <v>14100</v>
      </c>
      <c r="F374" s="113"/>
      <c r="G374" s="294">
        <v>16570000</v>
      </c>
      <c r="H374" s="283">
        <f>H375+H376</f>
        <v>0</v>
      </c>
      <c r="I374" s="283">
        <f>I375+I376</f>
        <v>16570000</v>
      </c>
    </row>
    <row r="375" spans="1:9" s="108" customFormat="1" ht="63" x14ac:dyDescent="0.25">
      <c r="A375" s="851" t="str">
        <f>IF(B375&gt;0,VLOOKUP(B375,КВСР!A65:B1230,2),IF(C375&gt;0,VLOOKUP(C375,КФСР!A65:B1577,2),IF(D375&gt;0,VLOOKUP(D375,Программа!A$1:B$5112,2),IF(F375&gt;0,VLOOKUP(F375,КВР!A$1:B$5001,2),IF(E375&gt;0,VLOOKUP(E375,Направление!A$1:B$4791,2))))))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16000000</v>
      </c>
      <c r="H375" s="283"/>
      <c r="I375" s="119">
        <f t="shared" si="26"/>
        <v>16000000</v>
      </c>
    </row>
    <row r="376" spans="1:9" s="108" customFormat="1" ht="47.25" x14ac:dyDescent="0.25">
      <c r="A376" s="851" t="str">
        <f>IF(B376&gt;0,VLOOKUP(B376,КВСР!A66:B1231,2),IF(C376&gt;0,VLOOKUP(C376,КФСР!A66:B1578,2),IF(D376&gt;0,VLOOKUP(D376,Программа!A$1:B$5112,2),IF(F376&gt;0,VLOOKUP(F376,КВР!A$1:B$5001,2),IF(E376&gt;0,VLOOKUP(E376,Направление!A$1:B$4791,2))))))</f>
        <v>Предоставление субсидий бюджетным, автономным учреждениям и иным некоммерческим организациям</v>
      </c>
      <c r="B376" s="116"/>
      <c r="C376" s="111"/>
      <c r="D376" s="113"/>
      <c r="E376" s="111"/>
      <c r="F376" s="113">
        <v>600</v>
      </c>
      <c r="G376" s="294">
        <v>570000</v>
      </c>
      <c r="H376" s="283"/>
      <c r="I376" s="119">
        <f t="shared" si="26"/>
        <v>570000</v>
      </c>
    </row>
    <row r="377" spans="1:9" s="108" customFormat="1" ht="47.25" hidden="1" x14ac:dyDescent="0.25">
      <c r="A377" s="851" t="str">
        <f>IF(B377&gt;0,VLOOKUP(B377,КВСР!A66:B1231,2),IF(C377&gt;0,VLOOKUP(C377,КФСР!A66:B1578,2),IF(D377&gt;0,VLOOKUP(D377,Программа!A$1:B$5112,2),IF(F377&gt;0,VLOOKUP(F377,КВР!A$1:B$5001,2),IF(E377&gt;0,VLOOKUP(E377,Направление!A$1:B$4791,2))))))</f>
        <v>Расходы на реализацию мероприятий инициативного бюджетирования на территории Ярославской области</v>
      </c>
      <c r="B377" s="116"/>
      <c r="C377" s="111"/>
      <c r="D377" s="113"/>
      <c r="E377" s="111">
        <v>15350</v>
      </c>
      <c r="F377" s="113"/>
      <c r="G377" s="294">
        <v>0</v>
      </c>
      <c r="H377" s="283">
        <f t="shared" ref="H377:I377" si="88">H378</f>
        <v>0</v>
      </c>
      <c r="I377" s="294">
        <f t="shared" si="88"/>
        <v>0</v>
      </c>
    </row>
    <row r="378" spans="1:9" s="108" customFormat="1" ht="63" hidden="1" x14ac:dyDescent="0.25">
      <c r="A378" s="851" t="str">
        <f>IF(B378&gt;0,VLOOKUP(B378,КВСР!A67:B1232,2),IF(C378&gt;0,VLOOKUP(C378,КФСР!A67:B1579,2),IF(D378&gt;0,VLOOKUP(D378,Программа!A$1:B$5112,2),IF(F378&gt;0,VLOOKUP(F378,КВР!A$1:B$5001,2),IF(E378&gt;0,VLOOKUP(E378,Направление!A$1:B$4791,2))))))</f>
        <v xml:space="preserve">Закупка товаров, работ и услуг для обеспечения государственных (муниципальных) нужд
</v>
      </c>
      <c r="B378" s="116"/>
      <c r="C378" s="111"/>
      <c r="D378" s="113"/>
      <c r="E378" s="111"/>
      <c r="F378" s="113">
        <v>200</v>
      </c>
      <c r="G378" s="294">
        <v>0</v>
      </c>
      <c r="H378" s="283"/>
      <c r="I378" s="119">
        <f>G378+H378</f>
        <v>0</v>
      </c>
    </row>
    <row r="379" spans="1:9" s="108" customFormat="1" ht="47.25" hidden="1" x14ac:dyDescent="0.25">
      <c r="A379" s="851" t="str">
        <f>IF(B379&gt;0,VLOOKUP(B379,КВСР!A68:B1233,2),IF(C379&gt;0,VLOOKUP(C379,КФСР!A68:B1580,2),IF(D379&gt;0,VLOOKUP(D379,Программа!A$1:B$5112,2),IF(F379&gt;0,VLOOKUP(F379,КВР!A$1:B$5001,2),IF(E379&gt;0,VLOOKUP(E379,Направление!A$1:B$4791,2))))))</f>
        <v>Расходы на реализацию мероприятий инициативного бюджетирования на территории Ярославской области</v>
      </c>
      <c r="B379" s="116"/>
      <c r="C379" s="111"/>
      <c r="D379" s="113"/>
      <c r="E379" s="111">
        <v>75350</v>
      </c>
      <c r="F379" s="113"/>
      <c r="G379" s="294">
        <v>0</v>
      </c>
      <c r="H379" s="283">
        <f t="shared" ref="H379:I379" si="89">H380</f>
        <v>0</v>
      </c>
      <c r="I379" s="294">
        <f t="shared" si="89"/>
        <v>0</v>
      </c>
    </row>
    <row r="380" spans="1:9" s="108" customFormat="1" ht="63" hidden="1" x14ac:dyDescent="0.25">
      <c r="A380" s="851" t="str">
        <f>IF(B380&gt;0,VLOOKUP(B380,КВСР!A69:B1234,2),IF(C380&gt;0,VLOOKUP(C380,КФСР!A69:B1581,2),IF(D380&gt;0,VLOOKUP(D380,Программа!A$1:B$5112,2),IF(F380&gt;0,VLOOKUP(F380,КВР!A$1:B$5001,2),IF(E380&gt;0,VLOOKUP(E380,Направление!A$1:B$4791,2))))))</f>
        <v xml:space="preserve">Закупка товаров, работ и услуг для обеспечения государственных (муниципальных) нужд
</v>
      </c>
      <c r="B380" s="116"/>
      <c r="C380" s="111"/>
      <c r="D380" s="113"/>
      <c r="E380" s="111"/>
      <c r="F380" s="113">
        <v>200</v>
      </c>
      <c r="G380" s="294">
        <v>0</v>
      </c>
      <c r="H380" s="283"/>
      <c r="I380" s="119">
        <f t="shared" ref="I380" si="90">G380+H380</f>
        <v>0</v>
      </c>
    </row>
    <row r="381" spans="1:9" s="108" customFormat="1" ht="78.75" hidden="1" x14ac:dyDescent="0.25">
      <c r="A381" s="851" t="str">
        <f>IF(B381&gt;0,VLOOKUP(B381,КВСР!A70:B1235,2),IF(C381&gt;0,VLOOKUP(C381,КФСР!A70:B1582,2),IF(D381&gt;0,VLOOKUP(D381,Программа!A$1:B$5112,2),IF(F381&gt;0,VLOOKUP(F381,КВР!A$1:B$5001,2),IF(E381&gt;0,VLOOKUP(E381,Направление!A$1:B$4791,2))))))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1" s="116"/>
      <c r="C381" s="111"/>
      <c r="D381" s="113"/>
      <c r="E381" s="111">
        <v>75870</v>
      </c>
      <c r="F381" s="113"/>
      <c r="G381" s="294">
        <v>0</v>
      </c>
      <c r="H381" s="283">
        <f t="shared" ref="H381:I381" si="91">H382</f>
        <v>0</v>
      </c>
      <c r="I381" s="294">
        <f t="shared" si="91"/>
        <v>0</v>
      </c>
    </row>
    <row r="382" spans="1:9" s="108" customFormat="1" ht="63" hidden="1" x14ac:dyDescent="0.25">
      <c r="A382" s="851" t="str">
        <f>IF(B382&gt;0,VLOOKUP(B382,КВСР!A71:B1236,2),IF(C382&gt;0,VLOOKUP(C382,КФСР!A71:B1583,2),IF(D382&gt;0,VLOOKUP(D382,Программа!A$1:B$5112,2),IF(F382&gt;0,VLOOKUP(F382,КВР!A$1:B$5001,2),IF(E382&gt;0,VLOOKUP(E382,Направление!A$1:B$4791,2))))))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3"/>
      <c r="E382" s="111"/>
      <c r="F382" s="113">
        <v>200</v>
      </c>
      <c r="G382" s="294">
        <v>0</v>
      </c>
      <c r="H382" s="283"/>
      <c r="I382" s="119">
        <f>G382+H382</f>
        <v>0</v>
      </c>
    </row>
    <row r="383" spans="1:9" s="108" customFormat="1" x14ac:dyDescent="0.25">
      <c r="A383" s="851" t="str">
        <f>IF(B383&gt;0,VLOOKUP(B383,КВСР!A66:B1231,2),IF(C383&gt;0,VLOOKUP(C383,КФСР!A66:B1578,2),IF(D383&gt;0,VLOOKUP(D383,Программа!A$1:B$5112,2),IF(F383&gt;0,VLOOKUP(F383,КВР!A$1:B$5001,2),IF(E383&gt;0,VLOOKUP(E383,Направление!A$1:B$4791,2))))))</f>
        <v>Периодическая печать и издательства</v>
      </c>
      <c r="B383" s="116"/>
      <c r="C383" s="111">
        <v>1202</v>
      </c>
      <c r="D383" s="113"/>
      <c r="E383" s="111"/>
      <c r="F383" s="113"/>
      <c r="G383" s="294">
        <v>5660980</v>
      </c>
      <c r="H383" s="294">
        <f t="shared" ref="H383:I383" si="92">H384+H388</f>
        <v>0</v>
      </c>
      <c r="I383" s="294">
        <f t="shared" si="92"/>
        <v>5660980</v>
      </c>
    </row>
    <row r="384" spans="1:9" s="108" customFormat="1" ht="94.5" x14ac:dyDescent="0.25">
      <c r="A384" s="851" t="str">
        <f>IF(B384&gt;0,VLOOKUP(B384,КВСР!A67:B1232,2),IF(C384&gt;0,VLOOKUP(C384,КФСР!A67:B1579,2),IF(D384&gt;0,VLOOKUP(D384,Программа!A$1:B$5112,2),IF(F384&gt;0,VLOOKUP(F384,КВР!A$1:B$5001,2),IF(E384&gt;0,VLOOKUP(E384,Направление!A$1:B$4791,2))))))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4" s="116"/>
      <c r="C384" s="111"/>
      <c r="D384" s="113" t="s">
        <v>394</v>
      </c>
      <c r="E384" s="111"/>
      <c r="F384" s="113"/>
      <c r="G384" s="294">
        <v>89643</v>
      </c>
      <c r="H384" s="294">
        <f t="shared" ref="H384:I386" si="93">H385</f>
        <v>0</v>
      </c>
      <c r="I384" s="294">
        <f t="shared" si="93"/>
        <v>89643</v>
      </c>
    </row>
    <row r="385" spans="1:9" s="108" customFormat="1" ht="78.75" x14ac:dyDescent="0.25">
      <c r="A385" s="851" t="str">
        <f>IF(B385&gt;0,VLOOKUP(B385,КВСР!A68:B1233,2),IF(C385&gt;0,VLOOKUP(C385,КФСР!A68:B1580,2),IF(D385&gt;0,VLOOKUP(D385,Программа!A$1:B$5112,2),IF(F385&gt;0,VLOOKUP(F385,КВР!A$1:B$5001,2),IF(E385&gt;0,VLOOKUP(E385,Направление!A$1:B$4791,2))))))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5" s="116"/>
      <c r="C385" s="111"/>
      <c r="D385" s="113" t="s">
        <v>1792</v>
      </c>
      <c r="E385" s="111"/>
      <c r="F385" s="113"/>
      <c r="G385" s="294">
        <v>89643</v>
      </c>
      <c r="H385" s="294">
        <f t="shared" si="93"/>
        <v>0</v>
      </c>
      <c r="I385" s="294">
        <f t="shared" si="93"/>
        <v>89643</v>
      </c>
    </row>
    <row r="386" spans="1:9" s="108" customFormat="1" ht="31.5" x14ac:dyDescent="0.25">
      <c r="A386" s="851" t="str">
        <f>IF(B386&gt;0,VLOOKUP(B386,КВСР!A69:B1234,2),IF(C386&gt;0,VLOOKUP(C386,КФСР!A69:B1581,2),IF(D386&gt;0,VLOOKUP(D386,Программа!A$1:B$5112,2),IF(F386&gt;0,VLOOKUP(F386,КВР!A$1:B$5001,2),IF(E386&gt;0,VLOOKUP(E386,Направление!A$1:B$4791,2))))))</f>
        <v>Внедрение проектной деятельности и бережливых технологий</v>
      </c>
      <c r="B386" s="116"/>
      <c r="C386" s="111"/>
      <c r="D386" s="113"/>
      <c r="E386" s="111">
        <v>12300</v>
      </c>
      <c r="F386" s="113"/>
      <c r="G386" s="294">
        <v>89643</v>
      </c>
      <c r="H386" s="294">
        <f t="shared" si="93"/>
        <v>0</v>
      </c>
      <c r="I386" s="294">
        <f t="shared" si="93"/>
        <v>89643</v>
      </c>
    </row>
    <row r="387" spans="1:9" s="108" customFormat="1" ht="47.25" x14ac:dyDescent="0.25">
      <c r="A387" s="851" t="str">
        <f>IF(B387&gt;0,VLOOKUP(B387,КВСР!A70:B1235,2),IF(C387&gt;0,VLOOKUP(C387,КФСР!A70:B1582,2),IF(D387&gt;0,VLOOKUP(D387,Программа!A$1:B$5112,2),IF(F387&gt;0,VLOOKUP(F387,КВР!A$1:B$5001,2),IF(E387&gt;0,VLOOKUP(E387,Направление!A$1:B$4791,2))))))</f>
        <v>Предоставление субсидий бюджетным, автономным учреждениям и иным некоммерческим организациям</v>
      </c>
      <c r="B387" s="116"/>
      <c r="C387" s="111"/>
      <c r="D387" s="113"/>
      <c r="E387" s="111"/>
      <c r="F387" s="113">
        <v>600</v>
      </c>
      <c r="G387" s="294">
        <v>89643</v>
      </c>
      <c r="H387" s="338"/>
      <c r="I387" s="294">
        <f>G387+H387</f>
        <v>89643</v>
      </c>
    </row>
    <row r="388" spans="1:9" s="108" customFormat="1" x14ac:dyDescent="0.25">
      <c r="A388" s="851" t="str">
        <f>IF(B388&gt;0,VLOOKUP(B388,КВСР!A67:B1232,2),IF(C388&gt;0,VLOOKUP(C388,КФСР!A67:B1579,2),IF(D388&gt;0,VLOOKUP(D388,Программа!A$1:B$5112,2),IF(F388&gt;0,VLOOKUP(F388,КВР!A$1:B$5001,2),IF(E388&gt;0,VLOOKUP(E388,Направление!A$1:B$4791,2))))))</f>
        <v>Непрограммные расходы бюджета</v>
      </c>
      <c r="B388" s="116"/>
      <c r="C388" s="111"/>
      <c r="D388" s="113" t="s">
        <v>383</v>
      </c>
      <c r="E388" s="111"/>
      <c r="F388" s="113"/>
      <c r="G388" s="294">
        <v>5571337</v>
      </c>
      <c r="H388" s="283">
        <f t="shared" ref="H388:I389" si="94">H389</f>
        <v>0</v>
      </c>
      <c r="I388" s="294">
        <f t="shared" si="94"/>
        <v>5571337</v>
      </c>
    </row>
    <row r="389" spans="1:9" s="108" customFormat="1" x14ac:dyDescent="0.25">
      <c r="A389" s="851" t="str">
        <f>IF(B389&gt;0,VLOOKUP(B389,КВСР!A68:B1233,2),IF(C389&gt;0,VLOOKUP(C389,КФСР!A68:B1580,2),IF(D389&gt;0,VLOOKUP(D389,Программа!A$1:B$5112,2),IF(F389&gt;0,VLOOKUP(F389,КВР!A$1:B$5001,2),IF(E389&gt;0,VLOOKUP(E389,Направление!A$1:B$4791,2))))))</f>
        <v xml:space="preserve">Поддержка периодических изданий </v>
      </c>
      <c r="B389" s="116"/>
      <c r="C389" s="111"/>
      <c r="D389" s="113"/>
      <c r="E389" s="111">
        <v>12750</v>
      </c>
      <c r="F389" s="113"/>
      <c r="G389" s="294">
        <v>5571337</v>
      </c>
      <c r="H389" s="283">
        <f t="shared" si="94"/>
        <v>0</v>
      </c>
      <c r="I389" s="294">
        <f t="shared" si="94"/>
        <v>5571337</v>
      </c>
    </row>
    <row r="390" spans="1:9" s="108" customFormat="1" ht="47.25" x14ac:dyDescent="0.25">
      <c r="A390" s="851" t="str">
        <f>IF(B390&gt;0,VLOOKUP(B390,КВСР!A69:B1234,2),IF(C390&gt;0,VLOOKUP(C390,КФСР!A69:B1581,2),IF(D390&gt;0,VLOOKUP(D390,Программа!A$1:B$5112,2),IF(F390&gt;0,VLOOKUP(F390,КВР!A$1:B$5001,2),IF(E390&gt;0,VLOOKUP(E390,Направление!A$1:B$4791,2))))))</f>
        <v>Предоставление субсидий бюджетным, автономным учреждениям и иным некоммерческим организациям</v>
      </c>
      <c r="B390" s="116"/>
      <c r="C390" s="111"/>
      <c r="D390" s="113"/>
      <c r="E390" s="111"/>
      <c r="F390" s="113">
        <v>600</v>
      </c>
      <c r="G390" s="294">
        <v>5571337</v>
      </c>
      <c r="H390" s="283"/>
      <c r="I390" s="119">
        <f>G390+H390</f>
        <v>5571337</v>
      </c>
    </row>
    <row r="391" spans="1:9" s="121" customFormat="1" ht="31.5" x14ac:dyDescent="0.25">
      <c r="A391" s="850" t="str">
        <f>IF(B391&gt;0,VLOOKUP(B391,КВСР!A76:B1241,2),IF(C391&gt;0,VLOOKUP(C391,КФСР!A76:B1588,2),IF(D391&gt;0,VLOOKUP(D391,Программа!A$1:B$5112,2),IF(F391&gt;0,VLOOKUP(F391,КВР!A$1:B$5001,2),IF(E391&gt;0,VLOOKUP(E391,Направление!A$1:B$4791,2))))))</f>
        <v>Департамент муниципального имущества Администрации ТМР</v>
      </c>
      <c r="B391" s="110">
        <v>952</v>
      </c>
      <c r="C391" s="111"/>
      <c r="D391" s="112"/>
      <c r="E391" s="111"/>
      <c r="F391" s="113"/>
      <c r="G391" s="383">
        <v>14178518</v>
      </c>
      <c r="H391" s="337">
        <f>H392+H425+H431+H439</f>
        <v>561234</v>
      </c>
      <c r="I391" s="383">
        <f>I392+I425+I431+I439</f>
        <v>14739752</v>
      </c>
    </row>
    <row r="392" spans="1:9" s="121" customFormat="1" x14ac:dyDescent="0.25">
      <c r="A392" s="851" t="str">
        <f>IF(B392&gt;0,VLOOKUP(B392,КВСР!A77:B1242,2),IF(C392&gt;0,VLOOKUP(C392,КФСР!A77:B1589,2),IF(D392&gt;0,VLOOKUP(D392,Программа!A$1:B$5112,2),IF(F392&gt;0,VLOOKUP(F392,КВР!A$1:B$5001,2),IF(E392&gt;0,VLOOKUP(E392,Направление!A$1:B$4791,2))))))</f>
        <v>Другие общегосударственные вопросы</v>
      </c>
      <c r="B392" s="116"/>
      <c r="C392" s="111">
        <v>113</v>
      </c>
      <c r="D392" s="112"/>
      <c r="E392" s="111"/>
      <c r="F392" s="113"/>
      <c r="G392" s="276">
        <v>12443518</v>
      </c>
      <c r="H392" s="338">
        <f>H407+H400+H393</f>
        <v>561234</v>
      </c>
      <c r="I392" s="276">
        <f>I407+I400+I393</f>
        <v>13004752</v>
      </c>
    </row>
    <row r="393" spans="1:9" s="121" customFormat="1" ht="94.5" x14ac:dyDescent="0.25">
      <c r="A393" s="851" t="str">
        <f>IF(B393&gt;0,VLOOKUP(B393,КВСР!A78:B1243,2),IF(C393&gt;0,VLOOKUP(C393,КФСР!A78:B1590,2),IF(D393&gt;0,VLOOKUP(D393,Программа!A$1:B$5112,2),IF(F393&gt;0,VLOOKUP(F393,КВР!A$1:B$5001,2),IF(E393&gt;0,VLOOKUP(E393,Направление!A$1:B$4791,2))))))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3" s="116"/>
      <c r="C393" s="111"/>
      <c r="D393" s="112" t="s">
        <v>394</v>
      </c>
      <c r="E393" s="111"/>
      <c r="F393" s="113"/>
      <c r="G393" s="276">
        <v>283810</v>
      </c>
      <c r="H393" s="338">
        <f>H394+H397</f>
        <v>0</v>
      </c>
      <c r="I393" s="119">
        <f t="shared" si="26"/>
        <v>283810</v>
      </c>
    </row>
    <row r="394" spans="1:9" s="121" customFormat="1" ht="63" hidden="1" x14ac:dyDescent="0.25">
      <c r="A394" s="851" t="str">
        <f>IF(B394&gt;0,VLOOKUP(B394,КВСР!A79:B1244,2),IF(C394&gt;0,VLOOKUP(C394,КФСР!A79:B1591,2),IF(D394&gt;0,VLOOKUP(D394,Программа!A$1:B$5112,2),IF(F394&gt;0,VLOOKUP(F394,КВР!A$1:B$5001,2),IF(E394&gt;0,VLOOKUP(E394,Направление!A$1:B$4791,2))))))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4" s="116"/>
      <c r="C394" s="111"/>
      <c r="D394" s="112" t="s">
        <v>395</v>
      </c>
      <c r="E394" s="111"/>
      <c r="F394" s="113"/>
      <c r="G394" s="276">
        <v>0</v>
      </c>
      <c r="H394" s="338">
        <f t="shared" ref="H394:H395" si="95">H395</f>
        <v>0</v>
      </c>
      <c r="I394" s="119">
        <f t="shared" si="26"/>
        <v>0</v>
      </c>
    </row>
    <row r="395" spans="1:9" s="121" customFormat="1" ht="31.5" hidden="1" x14ac:dyDescent="0.25">
      <c r="A395" s="851" t="str">
        <f>IF(B395&gt;0,VLOOKUP(B395,КВСР!A80:B1245,2),IF(C395&gt;0,VLOOKUP(C395,КФСР!A80:B1592,2),IF(D395&gt;0,VLOOKUP(D395,Программа!A$1:B$5112,2),IF(F395&gt;0,VLOOKUP(F395,КВР!A$1:B$5001,2),IF(E395&gt;0,VLOOKUP(E395,Направление!A$1:B$4791,2))))))</f>
        <v>Расходы на развитие муниципальной службы</v>
      </c>
      <c r="B395" s="116"/>
      <c r="C395" s="111"/>
      <c r="D395" s="112"/>
      <c r="E395" s="111">
        <v>12200</v>
      </c>
      <c r="F395" s="113"/>
      <c r="G395" s="276">
        <v>0</v>
      </c>
      <c r="H395" s="338">
        <f t="shared" si="95"/>
        <v>0</v>
      </c>
      <c r="I395" s="119">
        <f t="shared" si="26"/>
        <v>0</v>
      </c>
    </row>
    <row r="396" spans="1:9" s="121" customFormat="1" ht="63" hidden="1" x14ac:dyDescent="0.25">
      <c r="A396" s="851" t="str">
        <f>IF(B396&gt;0,VLOOKUP(B396,КВСР!A81:B1246,2),IF(C396&gt;0,VLOOKUP(C396,КФСР!A81:B1593,2),IF(D396&gt;0,VLOOKUP(D396,Программа!A$1:B$5112,2),IF(F396&gt;0,VLOOKUP(F396,КВР!A$1:B$5001,2),IF(E396&gt;0,VLOOKUP(E396,Направление!A$1:B$4791,2))))))</f>
        <v xml:space="preserve">Закупка товаров, работ и услуг для обеспечения государственных (муниципальных) нужд
</v>
      </c>
      <c r="B396" s="116"/>
      <c r="C396" s="111"/>
      <c r="D396" s="112"/>
      <c r="E396" s="111"/>
      <c r="F396" s="113">
        <v>200</v>
      </c>
      <c r="G396" s="276">
        <v>0</v>
      </c>
      <c r="H396" s="338"/>
      <c r="I396" s="119">
        <f t="shared" si="26"/>
        <v>0</v>
      </c>
    </row>
    <row r="397" spans="1:9" s="121" customFormat="1" ht="78.75" x14ac:dyDescent="0.25">
      <c r="A397" s="851" t="str">
        <f>IF(B397&gt;0,VLOOKUP(B397,КВСР!A82:B1247,2),IF(C397&gt;0,VLOOKUP(C397,КФСР!A82:B1594,2),IF(D397&gt;0,VLOOKUP(D397,Программа!A$1:B$5112,2),IF(F397&gt;0,VLOOKUP(F397,КВР!A$1:B$5001,2),IF(E397&gt;0,VLOOKUP(E397,Направление!A$1:B$4791,2))))))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7" s="116"/>
      <c r="C397" s="111"/>
      <c r="D397" s="112" t="s">
        <v>1792</v>
      </c>
      <c r="E397" s="111"/>
      <c r="F397" s="113"/>
      <c r="G397" s="276">
        <v>283810</v>
      </c>
      <c r="H397" s="338">
        <f t="shared" ref="H397:I398" si="96">H398</f>
        <v>0</v>
      </c>
      <c r="I397" s="276">
        <f t="shared" si="96"/>
        <v>283810</v>
      </c>
    </row>
    <row r="398" spans="1:9" s="121" customFormat="1" ht="31.5" x14ac:dyDescent="0.25">
      <c r="A398" s="851" t="str">
        <f>IF(B398&gt;0,VLOOKUP(B398,КВСР!A83:B1248,2),IF(C398&gt;0,VLOOKUP(C398,КФСР!A83:B1595,2),IF(D398&gt;0,VLOOKUP(D398,Программа!A$1:B$5112,2),IF(F398&gt;0,VLOOKUP(F398,КВР!A$1:B$5001,2),IF(E398&gt;0,VLOOKUP(E398,Направление!A$1:B$4791,2))))))</f>
        <v>Внедрение проектной деятельности и бережливых технологий</v>
      </c>
      <c r="B398" s="116"/>
      <c r="C398" s="111"/>
      <c r="D398" s="112"/>
      <c r="E398" s="111">
        <v>12300</v>
      </c>
      <c r="F398" s="113"/>
      <c r="G398" s="276">
        <v>283810</v>
      </c>
      <c r="H398" s="338">
        <f t="shared" si="96"/>
        <v>0</v>
      </c>
      <c r="I398" s="276">
        <f t="shared" si="96"/>
        <v>283810</v>
      </c>
    </row>
    <row r="399" spans="1:9" s="121" customFormat="1" ht="110.25" x14ac:dyDescent="0.25">
      <c r="A399" s="851" t="str">
        <f>IF(B399&gt;0,VLOOKUP(B399,КВСР!A84:B1249,2),IF(C399&gt;0,VLOOKUP(C399,КФСР!A84:B1596,2),IF(D399&gt;0,VLOOKUP(D399,Программа!A$1:B$5112,2),IF(F399&gt;0,VLOOKUP(F399,КВР!A$1:B$5001,2),IF(E399&gt;0,VLOOKUP(E399,Направление!A$1:B$4791,2))))))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9" s="116"/>
      <c r="C399" s="111"/>
      <c r="D399" s="112"/>
      <c r="E399" s="111"/>
      <c r="F399" s="113">
        <v>100</v>
      </c>
      <c r="G399" s="276">
        <v>283810</v>
      </c>
      <c r="H399" s="338"/>
      <c r="I399" s="119">
        <f>G399+H399</f>
        <v>283810</v>
      </c>
    </row>
    <row r="400" spans="1:9" s="121" customFormat="1" ht="63" x14ac:dyDescent="0.25">
      <c r="A400" s="851" t="str">
        <f>IF(B400&gt;0,VLOOKUP(B400,КВСР!A78:B1243,2),IF(C400&gt;0,VLOOKUP(C400,КФСР!A78:B1590,2),IF(D400&gt;0,VLOOKUP(D400,Программа!A$1:B$5112,2),IF(F400&gt;0,VLOOKUP(F400,КВР!A$1:B$5001,2),IF(E400&gt;0,VLOOKUP(E400,Направление!A$1:B$4791,2))))))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00" s="116"/>
      <c r="C400" s="111"/>
      <c r="D400" s="112" t="s">
        <v>398</v>
      </c>
      <c r="E400" s="111"/>
      <c r="F400" s="113"/>
      <c r="G400" s="276">
        <v>150000</v>
      </c>
      <c r="H400" s="338">
        <f>H401+H404</f>
        <v>0</v>
      </c>
      <c r="I400" s="119">
        <f t="shared" si="26"/>
        <v>150000</v>
      </c>
    </row>
    <row r="401" spans="1:9" s="121" customFormat="1" ht="31.5" x14ac:dyDescent="0.25">
      <c r="A401" s="851" t="str">
        <f>IF(B401&gt;0,VLOOKUP(B401,КВСР!A79:B1244,2),IF(C401&gt;0,VLOOKUP(C401,КФСР!A79:B1591,2),IF(D401&gt;0,VLOOKUP(D401,Программа!A$1:B$5112,2),IF(F401&gt;0,VLOOKUP(F401,КВР!A$1:B$5001,2),IF(E401&gt;0,VLOOKUP(E401,Направление!A$1:B$4791,2))))))</f>
        <v>Бесперебойное функционирование информационных систем</v>
      </c>
      <c r="B401" s="116"/>
      <c r="C401" s="111"/>
      <c r="D401" s="112" t="s">
        <v>434</v>
      </c>
      <c r="E401" s="111"/>
      <c r="F401" s="113"/>
      <c r="G401" s="276">
        <v>150000</v>
      </c>
      <c r="H401" s="338">
        <f>H402</f>
        <v>0</v>
      </c>
      <c r="I401" s="119">
        <f t="shared" si="26"/>
        <v>150000</v>
      </c>
    </row>
    <row r="402" spans="1:9" s="121" customFormat="1" ht="31.5" x14ac:dyDescent="0.25">
      <c r="A402" s="851" t="str">
        <f>IF(B402&gt;0,VLOOKUP(B402,КВСР!A80:B1245,2),IF(C402&gt;0,VLOOKUP(C402,КФСР!A80:B1592,2),IF(D402&gt;0,VLOOKUP(D402,Программа!A$1:B$5112,2),IF(F402&gt;0,VLOOKUP(F402,КВР!A$1:B$5001,2),IF(E402&gt;0,VLOOKUP(E402,Направление!A$1:B$4791,2))))))</f>
        <v>Расходы на проведение мероприятий по информатизации</v>
      </c>
      <c r="B402" s="116"/>
      <c r="C402" s="111"/>
      <c r="D402" s="112"/>
      <c r="E402" s="111">
        <v>12210</v>
      </c>
      <c r="F402" s="113"/>
      <c r="G402" s="276">
        <v>150000</v>
      </c>
      <c r="H402" s="338">
        <f>H403</f>
        <v>0</v>
      </c>
      <c r="I402" s="119">
        <f t="shared" si="26"/>
        <v>150000</v>
      </c>
    </row>
    <row r="403" spans="1:9" s="121" customFormat="1" ht="63" x14ac:dyDescent="0.25">
      <c r="A403" s="851" t="str">
        <f>IF(B403&gt;0,VLOOKUP(B403,КВСР!A81:B1246,2),IF(C403&gt;0,VLOOKUP(C403,КФСР!A81:B1593,2),IF(D403&gt;0,VLOOKUP(D403,Программа!A$1:B$5112,2),IF(F403&gt;0,VLOOKUP(F403,КВР!A$1:B$5001,2),IF(E403&gt;0,VLOOKUP(E403,Направление!A$1:B$4791,2))))))</f>
        <v xml:space="preserve">Закупка товаров, работ и услуг для обеспечения государственных (муниципальных) нужд
</v>
      </c>
      <c r="B403" s="116"/>
      <c r="C403" s="111"/>
      <c r="D403" s="112"/>
      <c r="E403" s="111"/>
      <c r="F403" s="113">
        <v>200</v>
      </c>
      <c r="G403" s="276">
        <v>150000</v>
      </c>
      <c r="H403" s="338"/>
      <c r="I403" s="119">
        <f t="shared" si="26"/>
        <v>150000</v>
      </c>
    </row>
    <row r="404" spans="1:9" s="121" customFormat="1" ht="63" hidden="1" x14ac:dyDescent="0.25">
      <c r="A404" s="851" t="str">
        <f>IF(B404&gt;0,VLOOKUP(B404,КВСР!A82:B1247,2),IF(C404&gt;0,VLOOKUP(C404,КФСР!A82:B1594,2),IF(D404&gt;0,VLOOKUP(D404,Программа!A$1:B$5112,2),IF(F404&gt;0,VLOOKUP(F404,КВР!A$1:B$5001,2),IF(E404&gt;0,VLOOKUP(E404,Направление!A$1:B$4791,2))))))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4" s="116"/>
      <c r="C404" s="111"/>
      <c r="D404" s="112" t="s">
        <v>400</v>
      </c>
      <c r="E404" s="111"/>
      <c r="F404" s="113"/>
      <c r="G404" s="276">
        <v>0</v>
      </c>
      <c r="H404" s="338">
        <f>H405</f>
        <v>0</v>
      </c>
      <c r="I404" s="119">
        <f t="shared" si="26"/>
        <v>0</v>
      </c>
    </row>
    <row r="405" spans="1:9" s="121" customFormat="1" ht="31.5" hidden="1" x14ac:dyDescent="0.25">
      <c r="A405" s="851" t="str">
        <f>IF(B405&gt;0,VLOOKUP(B405,КВСР!A83:B1248,2),IF(C405&gt;0,VLOOKUP(C405,КФСР!A83:B1595,2),IF(D405&gt;0,VLOOKUP(D405,Программа!A$1:B$5112,2),IF(F405&gt;0,VLOOKUP(F405,КВР!A$1:B$5001,2),IF(E405&gt;0,VLOOKUP(E405,Направление!A$1:B$4791,2))))))</f>
        <v>Расходы на проведение мероприятий по информатизации</v>
      </c>
      <c r="B405" s="116"/>
      <c r="C405" s="111"/>
      <c r="D405" s="112"/>
      <c r="E405" s="111">
        <v>12210</v>
      </c>
      <c r="F405" s="113"/>
      <c r="G405" s="276">
        <v>0</v>
      </c>
      <c r="H405" s="338">
        <f>H406</f>
        <v>0</v>
      </c>
      <c r="I405" s="119">
        <f t="shared" si="26"/>
        <v>0</v>
      </c>
    </row>
    <row r="406" spans="1:9" s="121" customFormat="1" ht="63" hidden="1" x14ac:dyDescent="0.25">
      <c r="A406" s="851" t="str">
        <f>IF(B406&gt;0,VLOOKUP(B406,КВСР!A83:B1248,2),IF(C406&gt;0,VLOOKUP(C406,КФСР!A83:B1595,2),IF(D406&gt;0,VLOOKUP(D406,Программа!A$1:B$5112,2),IF(F406&gt;0,VLOOKUP(F406,КВР!A$1:B$5001,2),IF(E406&gt;0,VLOOKUP(E406,Направление!A$1:B$4791,2))))))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276">
        <v>0</v>
      </c>
      <c r="H406" s="338"/>
      <c r="I406" s="119">
        <f t="shared" si="26"/>
        <v>0</v>
      </c>
    </row>
    <row r="407" spans="1:9" s="121" customFormat="1" x14ac:dyDescent="0.25">
      <c r="A407" s="851" t="str">
        <f>IF(B407&gt;0,VLOOKUP(B407,КВСР!A78:B1243,2),IF(C407&gt;0,VLOOKUP(C407,КФСР!A78:B1590,2),IF(D407&gt;0,VLOOKUP(D407,Программа!A$1:B$5112,2),IF(F407&gt;0,VLOOKUP(F407,КВР!A$1:B$5001,2),IF(E407&gt;0,VLOOKUP(E407,Направление!A$1:B$4791,2))))))</f>
        <v>Непрограммные расходы бюджета</v>
      </c>
      <c r="B407" s="116"/>
      <c r="C407" s="111"/>
      <c r="D407" s="112" t="s">
        <v>383</v>
      </c>
      <c r="E407" s="111"/>
      <c r="F407" s="113"/>
      <c r="G407" s="276">
        <v>12009708</v>
      </c>
      <c r="H407" s="338">
        <f>H408+H413+H415+H417+H1454+H419+H421+H423</f>
        <v>561234</v>
      </c>
      <c r="I407" s="338">
        <f>I408+I413+I415+I417+I1454+I419+I421+I423</f>
        <v>12570942</v>
      </c>
    </row>
    <row r="408" spans="1:9" s="121" customFormat="1" x14ac:dyDescent="0.25">
      <c r="A408" s="851" t="str">
        <f>IF(B408&gt;0,VLOOKUP(B408,КВСР!A79:B1244,2),IF(C408&gt;0,VLOOKUP(C408,КФСР!A79:B1591,2),IF(D408&gt;0,VLOOKUP(D408,Программа!A$1:B$5112,2),IF(F408&gt;0,VLOOKUP(F408,КВР!A$1:B$5001,2),IF(E408&gt;0,VLOOKUP(E408,Направление!A$1:B$4791,2))))))</f>
        <v>Содержание центрального аппарата</v>
      </c>
      <c r="B408" s="116"/>
      <c r="C408" s="111"/>
      <c r="D408" s="112"/>
      <c r="E408" s="111">
        <v>12010</v>
      </c>
      <c r="F408" s="113"/>
      <c r="G408" s="276">
        <v>8402470</v>
      </c>
      <c r="H408" s="338">
        <f>H409+H410+H412+H411</f>
        <v>0</v>
      </c>
      <c r="I408" s="119">
        <f t="shared" si="26"/>
        <v>8402470</v>
      </c>
    </row>
    <row r="409" spans="1:9" s="121" customFormat="1" ht="110.25" x14ac:dyDescent="0.25">
      <c r="A409" s="851" t="str">
        <f>IF(B409&gt;0,VLOOKUP(B409,КВСР!A80:B1245,2),IF(C409&gt;0,VLOOKUP(C409,КФСР!A80:B1592,2),IF(D409&gt;0,VLOOKUP(D409,Программа!A$1:B$5112,2),IF(F409&gt;0,VLOOKUP(F409,КВР!A$1:B$5001,2),IF(E409&gt;0,VLOOKUP(E409,Направление!A$1:B$4791,2))))))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16"/>
      <c r="C409" s="111"/>
      <c r="D409" s="113"/>
      <c r="E409" s="111"/>
      <c r="F409" s="113">
        <v>100</v>
      </c>
      <c r="G409" s="294">
        <v>7907470</v>
      </c>
      <c r="H409" s="283"/>
      <c r="I409" s="119">
        <f t="shared" si="26"/>
        <v>7907470</v>
      </c>
    </row>
    <row r="410" spans="1:9" s="121" customFormat="1" ht="63" x14ac:dyDescent="0.25">
      <c r="A410" s="851" t="str">
        <f>IF(B410&gt;0,VLOOKUP(B410,КВСР!A81:B1246,2),IF(C410&gt;0,VLOOKUP(C410,КФСР!A81:B1593,2),IF(D410&gt;0,VLOOKUP(D410,Программа!A$1:B$5112,2),IF(F410&gt;0,VLOOKUP(F410,КВР!A$1:B$5001,2),IF(E410&gt;0,VLOOKUP(E410,Направление!A$1:B$4791,2))))))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3"/>
      <c r="E410" s="111"/>
      <c r="F410" s="113">
        <v>200</v>
      </c>
      <c r="G410" s="294">
        <v>475000</v>
      </c>
      <c r="H410" s="283"/>
      <c r="I410" s="119">
        <f t="shared" si="26"/>
        <v>475000</v>
      </c>
    </row>
    <row r="411" spans="1:9" s="121" customFormat="1" ht="31.5" hidden="1" x14ac:dyDescent="0.25">
      <c r="A411" s="851" t="str">
        <f>IF(B411&gt;0,VLOOKUP(B411,КВСР!A82:B1247,2),IF(C411&gt;0,VLOOKUP(C411,КФСР!A82:B1594,2),IF(D411&gt;0,VLOOKUP(D411,Программа!A$1:B$5112,2),IF(F411&gt;0,VLOOKUP(F411,КВР!A$1:B$5001,2),IF(E411&gt;0,VLOOKUP(E411,Направление!A$1:B$4791,2))))))</f>
        <v>Социальное обеспечение и иные выплаты населению</v>
      </c>
      <c r="B411" s="116"/>
      <c r="C411" s="111"/>
      <c r="D411" s="113"/>
      <c r="E411" s="111"/>
      <c r="F411" s="113">
        <v>300</v>
      </c>
      <c r="G411" s="294">
        <v>0</v>
      </c>
      <c r="H411" s="283"/>
      <c r="I411" s="119">
        <f>G411+H411</f>
        <v>0</v>
      </c>
    </row>
    <row r="412" spans="1:9" s="121" customFormat="1" x14ac:dyDescent="0.25">
      <c r="A412" s="851" t="str">
        <f>IF(B412&gt;0,VLOOKUP(B412,КВСР!A83:B1248,2),IF(C412&gt;0,VLOOKUP(C412,КФСР!A83:B1595,2),IF(D412&gt;0,VLOOKUP(D412,Программа!A$1:B$5112,2),IF(F412&gt;0,VLOOKUP(F412,КВР!A$1:B$5001,2),IF(E412&gt;0,VLOOKUP(E412,Направление!A$1:B$4791,2))))))</f>
        <v>Иные бюджетные ассигнования</v>
      </c>
      <c r="B412" s="116"/>
      <c r="C412" s="111"/>
      <c r="D412" s="113"/>
      <c r="E412" s="111"/>
      <c r="F412" s="113">
        <v>800</v>
      </c>
      <c r="G412" s="294">
        <v>20000</v>
      </c>
      <c r="H412" s="283"/>
      <c r="I412" s="119">
        <f t="shared" si="26"/>
        <v>20000</v>
      </c>
    </row>
    <row r="413" spans="1:9" s="121" customFormat="1" ht="31.5" x14ac:dyDescent="0.25">
      <c r="A413" s="851" t="str">
        <f>IF(B413&gt;0,VLOOKUP(B413,КВСР!A83:B1248,2),IF(C413&gt;0,VLOOKUP(C413,КФСР!A83:B1595,2),IF(D413&gt;0,VLOOKUP(D413,Программа!A$1:B$5112,2),IF(F413&gt;0,VLOOKUP(F413,КВР!A$1:B$5001,2),IF(E413&gt;0,VLOOKUP(E413,Направление!A$1:B$4791,2))))))</f>
        <v>Выполнение других обязательств органов местного самоуправления</v>
      </c>
      <c r="B413" s="116"/>
      <c r="C413" s="111"/>
      <c r="D413" s="112"/>
      <c r="E413" s="111">
        <v>12080</v>
      </c>
      <c r="F413" s="113"/>
      <c r="G413" s="117">
        <v>2525000</v>
      </c>
      <c r="H413" s="283">
        <f>H414</f>
        <v>51253</v>
      </c>
      <c r="I413" s="119">
        <f t="shared" si="26"/>
        <v>2576253</v>
      </c>
    </row>
    <row r="414" spans="1:9" s="121" customFormat="1" ht="63" x14ac:dyDescent="0.25">
      <c r="A414" s="851" t="str">
        <f>IF(B414&gt;0,VLOOKUP(B414,КВСР!A84:B1249,2),IF(C414&gt;0,VLOOKUP(C414,КФСР!A84:B1596,2),IF(D414&gt;0,VLOOKUP(D414,Программа!A$1:B$5112,2),IF(F414&gt;0,VLOOKUP(F414,КВР!A$1:B$5001,2),IF(E414&gt;0,VLOOKUP(E414,Направление!A$1:B$4791,2))))))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3"/>
      <c r="E414" s="111"/>
      <c r="F414" s="113">
        <v>200</v>
      </c>
      <c r="G414" s="294">
        <v>2525000</v>
      </c>
      <c r="H414" s="283">
        <v>51253</v>
      </c>
      <c r="I414" s="119">
        <f t="shared" si="26"/>
        <v>2576253</v>
      </c>
    </row>
    <row r="415" spans="1:9" s="121" customFormat="1" ht="47.25" x14ac:dyDescent="0.25">
      <c r="A415" s="851" t="str">
        <f>IF(B415&gt;0,VLOOKUP(B415,КВСР!A83:B1248,2),IF(C415&gt;0,VLOOKUP(C415,КФСР!A83:B1595,2),IF(D415&gt;0,VLOOKUP(D415,Программа!A$1:B$5112,2),IF(F415&gt;0,VLOOKUP(F415,КВР!A$1:B$5001,2),IF(E415&gt;0,VLOOKUP(E415,Направление!A$1:B$4791,2))))))</f>
        <v>Оценка недвижимости, признание прав и регулирование отношений по муниципальной собственности</v>
      </c>
      <c r="B415" s="116"/>
      <c r="C415" s="111"/>
      <c r="D415" s="112"/>
      <c r="E415" s="111">
        <v>12090</v>
      </c>
      <c r="F415" s="113"/>
      <c r="G415" s="117">
        <v>250000</v>
      </c>
      <c r="H415" s="283">
        <f>H416</f>
        <v>0</v>
      </c>
      <c r="I415" s="119">
        <f t="shared" si="26"/>
        <v>250000</v>
      </c>
    </row>
    <row r="416" spans="1:9" s="121" customFormat="1" ht="63" x14ac:dyDescent="0.25">
      <c r="A416" s="851" t="str">
        <f>IF(B416&gt;0,VLOOKUP(B416,КВСР!A84:B1249,2),IF(C416&gt;0,VLOOKUP(C416,КФСР!A84:B1596,2),IF(D416&gt;0,VLOOKUP(D416,Программа!A$1:B$5112,2),IF(F416&gt;0,VLOOKUP(F416,КВР!A$1:B$5001,2),IF(E416&gt;0,VLOOKUP(E416,Направление!A$1:B$4791,2))))))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3"/>
      <c r="E416" s="111"/>
      <c r="F416" s="113">
        <v>200</v>
      </c>
      <c r="G416" s="294">
        <v>250000</v>
      </c>
      <c r="H416" s="283"/>
      <c r="I416" s="119">
        <f t="shared" si="26"/>
        <v>250000</v>
      </c>
    </row>
    <row r="417" spans="1:9" s="121" customFormat="1" ht="47.25" x14ac:dyDescent="0.25">
      <c r="A417" s="851" t="str">
        <f>IF(B417&gt;0,VLOOKUP(B417,КВСР!A90:B1255,2),IF(C417&gt;0,VLOOKUP(C417,КФСР!A90:B1602,2),IF(D417&gt;0,VLOOKUP(D417,Программа!A$1:B$5112,2),IF(F417&gt;0,VLOOKUP(F417,КВР!A$1:B$5001,2),IF(E417&gt;0,VLOOKUP(E417,Направление!A$1:B$4791,2))))))</f>
        <v>Исполнение судебных актов, актов других органов и должностных лиц, иных документов</v>
      </c>
      <c r="B417" s="116"/>
      <c r="C417" s="111"/>
      <c r="D417" s="113"/>
      <c r="E417" s="111">
        <v>12130</v>
      </c>
      <c r="F417" s="113"/>
      <c r="G417" s="120">
        <v>0</v>
      </c>
      <c r="H417" s="283">
        <f>+H418</f>
        <v>424981</v>
      </c>
      <c r="I417" s="119">
        <f t="shared" ref="I417:I520" si="97">SUM(G417:H417)</f>
        <v>424981</v>
      </c>
    </row>
    <row r="418" spans="1:9" s="121" customFormat="1" ht="141.75" x14ac:dyDescent="0.25">
      <c r="A418" s="851" t="str">
        <f>IF(B418&gt;0,VLOOKUP(B418,КВСР!A92:B1257,2),IF(C418&gt;0,VLOOKUP(C418,КФСР!A92:B1604,2),IF(D418&gt;0,VLOOKUP(D418,Программа!A$1:B$5112,2),IF(F418&gt;0,VLOOKUP(F418,КВР!A$1:B$5001,2),IF(E418&gt;0,VLOOKUP(E418,Направление!A$1:B$4791,2))))))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8" s="116"/>
      <c r="C418" s="111"/>
      <c r="D418" s="113"/>
      <c r="E418" s="111"/>
      <c r="F418" s="113">
        <v>831</v>
      </c>
      <c r="G418" s="294">
        <v>0</v>
      </c>
      <c r="H418" s="283">
        <v>424981</v>
      </c>
      <c r="I418" s="119">
        <f t="shared" si="97"/>
        <v>424981</v>
      </c>
    </row>
    <row r="419" spans="1:9" s="121" customFormat="1" ht="94.5" x14ac:dyDescent="0.25">
      <c r="A419" s="851" t="str">
        <f>IF(B419&gt;0,VLOOKUP(B419,КВСР!A93:B1258,2),IF(C419&gt;0,VLOOKUP(C419,КФСР!A93:B1605,2),IF(D419&gt;0,VLOOKUP(D419,Программа!A$1:B$5112,2),IF(F419&gt;0,VLOOKUP(F419,КВР!A$1:B$5001,2),IF(E419&gt;0,VLOOKUP(E419,Направление!A$1:B$4791,2))))))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19" s="116"/>
      <c r="C419" s="111"/>
      <c r="D419" s="112"/>
      <c r="E419" s="111">
        <v>29026</v>
      </c>
      <c r="F419" s="113"/>
      <c r="G419" s="117">
        <v>250000</v>
      </c>
      <c r="H419" s="283">
        <f>H420</f>
        <v>0</v>
      </c>
      <c r="I419" s="119">
        <f t="shared" si="97"/>
        <v>250000</v>
      </c>
    </row>
    <row r="420" spans="1:9" s="121" customFormat="1" ht="63" x14ac:dyDescent="0.25">
      <c r="A420" s="851" t="str">
        <f>IF(B420&gt;0,VLOOKUP(B420,КВСР!A94:B1259,2),IF(C420&gt;0,VLOOKUP(C420,КФСР!A94:B1606,2),IF(D420&gt;0,VLOOKUP(D420,Программа!A$1:B$5112,2),IF(F420&gt;0,VLOOKUP(F420,КВР!A$1:B$5001,2),IF(E420&gt;0,VLOOKUP(E420,Направление!A$1:B$4791,2))))))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>
        <v>250000</v>
      </c>
      <c r="H420" s="283"/>
      <c r="I420" s="119">
        <f t="shared" si="97"/>
        <v>250000</v>
      </c>
    </row>
    <row r="421" spans="1:9" s="121" customFormat="1" ht="63" x14ac:dyDescent="0.25">
      <c r="A421" s="851" t="str">
        <f>IF(B421&gt;0,VLOOKUP(B421,КВСР!A95:B1260,2),IF(C421&gt;0,VLOOKUP(C421,КФСР!A95:B1607,2),IF(D421&gt;0,VLOOKUP(D421,Программа!A$1:B$5112,2),IF(F421&gt;0,VLOOKUP(F421,КВР!A$1:B$5001,2),IF(E421&gt;0,VLOOKUP(E421,Направление!A$1:B$4791,2))))))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1" s="116"/>
      <c r="C421" s="111"/>
      <c r="D421" s="113"/>
      <c r="E421" s="111">
        <v>29556</v>
      </c>
      <c r="F421" s="113"/>
      <c r="G421" s="294">
        <v>210000</v>
      </c>
      <c r="H421" s="283">
        <f t="shared" ref="H421:I421" si="98">H422</f>
        <v>85000</v>
      </c>
      <c r="I421" s="294">
        <f t="shared" si="98"/>
        <v>295000</v>
      </c>
    </row>
    <row r="422" spans="1:9" s="121" customFormat="1" ht="63" x14ac:dyDescent="0.25">
      <c r="A422" s="851" t="str">
        <f>IF(B422&gt;0,VLOOKUP(B422,КВСР!A96:B1261,2),IF(C422&gt;0,VLOOKUP(C422,КФСР!A96:B1608,2),IF(D422&gt;0,VLOOKUP(D422,Программа!A$1:B$5112,2),IF(F422&gt;0,VLOOKUP(F422,КВР!A$1:B$5001,2),IF(E422&gt;0,VLOOKUP(E422,Направление!A$1:B$4791,2))))))</f>
        <v xml:space="preserve">Закупка товаров, работ и услуг для обеспечения государственных (муниципальных) нужд
</v>
      </c>
      <c r="B422" s="116"/>
      <c r="C422" s="111"/>
      <c r="D422" s="113"/>
      <c r="E422" s="111"/>
      <c r="F422" s="113">
        <v>200</v>
      </c>
      <c r="G422" s="294">
        <v>210000</v>
      </c>
      <c r="H422" s="283">
        <v>85000</v>
      </c>
      <c r="I422" s="119">
        <f>G422+H422</f>
        <v>295000</v>
      </c>
    </row>
    <row r="423" spans="1:9" s="121" customFormat="1" ht="31.5" x14ac:dyDescent="0.25">
      <c r="A423" s="851" t="str">
        <f>IF(B423&gt;0,VLOOKUP(B423,КВСР!A97:B1262,2),IF(C423&gt;0,VLOOKUP(C423,КФСР!A97:B1609,2),IF(D423&gt;0,VLOOKUP(D423,Программа!A$1:B$5112,2),IF(F423&gt;0,VLOOKUP(F423,КВР!A$1:B$5001,2),IF(E423&gt;0,VLOOKUP(E423,Направление!A$1:B$4791,2))))))</f>
        <v>Выполнение иных обязательств органов местного самоуправления</v>
      </c>
      <c r="B423" s="116"/>
      <c r="C423" s="111"/>
      <c r="D423" s="113"/>
      <c r="E423" s="111">
        <v>29806</v>
      </c>
      <c r="F423" s="113"/>
      <c r="G423" s="294">
        <v>372238</v>
      </c>
      <c r="H423" s="294">
        <f t="shared" ref="H423:I423" si="99">H424</f>
        <v>0</v>
      </c>
      <c r="I423" s="294">
        <f t="shared" si="99"/>
        <v>372238</v>
      </c>
    </row>
    <row r="424" spans="1:9" s="121" customFormat="1" ht="63" x14ac:dyDescent="0.25">
      <c r="A424" s="851" t="str">
        <f>IF(B424&gt;0,VLOOKUP(B424,КВСР!A98:B1263,2),IF(C424&gt;0,VLOOKUP(C424,КФСР!A98:B1610,2),IF(D424&gt;0,VLOOKUP(D424,Программа!A$1:B$5112,2),IF(F424&gt;0,VLOOKUP(F424,КВР!A$1:B$5001,2),IF(E424&gt;0,VLOOKUP(E424,Направление!A$1:B$4791,2))))))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372238</v>
      </c>
      <c r="H424" s="283"/>
      <c r="I424" s="119">
        <f t="shared" ref="I424" si="100">G424+H424</f>
        <v>372238</v>
      </c>
    </row>
    <row r="425" spans="1:9" s="121" customFormat="1" ht="31.5" x14ac:dyDescent="0.25">
      <c r="A425" s="851" t="str">
        <f>IF(B425&gt;0,VLOOKUP(B425,КВСР!A92:B1257,2),IF(C425&gt;0,VLOOKUP(C425,КФСР!A92:B1604,2),IF(D425&gt;0,VLOOKUP(D425,Программа!A$1:B$5112,2),IF(F425&gt;0,VLOOKUP(F425,КВР!A$1:B$5001,2),IF(E425&gt;0,VLOOKUP(E425,Направление!A$1:B$4791,2))))))</f>
        <v>Другие вопросы в области национальной экономики</v>
      </c>
      <c r="B425" s="116"/>
      <c r="C425" s="111">
        <v>412</v>
      </c>
      <c r="D425" s="112"/>
      <c r="E425" s="111"/>
      <c r="F425" s="113"/>
      <c r="G425" s="117">
        <v>1000000</v>
      </c>
      <c r="H425" s="283">
        <f t="shared" ref="H425:H427" si="101">H426</f>
        <v>0</v>
      </c>
      <c r="I425" s="119">
        <f t="shared" si="97"/>
        <v>1000000</v>
      </c>
    </row>
    <row r="426" spans="1:9" s="121" customFormat="1" x14ac:dyDescent="0.25">
      <c r="A426" s="851" t="str">
        <f>IF(B426&gt;0,VLOOKUP(B426,КВСР!A93:B1258,2),IF(C426&gt;0,VLOOKUP(C426,КФСР!A93:B1605,2),IF(D426&gt;0,VLOOKUP(D426,Программа!A$1:B$5112,2),IF(F426&gt;0,VLOOKUP(F426,КВР!A$1:B$5001,2),IF(E426&gt;0,VLOOKUP(E426,Направление!A$1:B$4791,2))))))</f>
        <v>Непрограммные расходы бюджета</v>
      </c>
      <c r="B426" s="116"/>
      <c r="C426" s="111"/>
      <c r="D426" s="112" t="s">
        <v>383</v>
      </c>
      <c r="E426" s="111"/>
      <c r="F426" s="113"/>
      <c r="G426" s="117">
        <v>1000000</v>
      </c>
      <c r="H426" s="283">
        <f>H427+H429</f>
        <v>0</v>
      </c>
      <c r="I426" s="119">
        <f t="shared" si="97"/>
        <v>1000000</v>
      </c>
    </row>
    <row r="427" spans="1:9" s="121" customFormat="1" ht="31.5" x14ac:dyDescent="0.25">
      <c r="A427" s="851" t="str">
        <f>IF(B427&gt;0,VLOOKUP(B427,КВСР!A94:B1259,2),IF(C427&gt;0,VLOOKUP(C427,КФСР!A94:B1606,2),IF(D427&gt;0,VLOOKUP(D427,Программа!A$1:B$5112,2),IF(F427&gt;0,VLOOKUP(F427,КВР!A$1:B$5001,2),IF(E427&gt;0,VLOOKUP(E427,Направление!A$1:B$4791,2))))))</f>
        <v>Мероприятия по землеустройству и землепользованию</v>
      </c>
      <c r="B427" s="116"/>
      <c r="C427" s="111"/>
      <c r="D427" s="112"/>
      <c r="E427" s="111">
        <v>10510</v>
      </c>
      <c r="F427" s="113"/>
      <c r="G427" s="117">
        <v>500000</v>
      </c>
      <c r="H427" s="283">
        <f t="shared" si="101"/>
        <v>0</v>
      </c>
      <c r="I427" s="119">
        <f t="shared" si="97"/>
        <v>500000</v>
      </c>
    </row>
    <row r="428" spans="1:9" s="121" customFormat="1" ht="63" x14ac:dyDescent="0.25">
      <c r="A428" s="851" t="str">
        <f>IF(B428&gt;0,VLOOKUP(B428,КВСР!A95:B1260,2),IF(C428&gt;0,VLOOKUP(C428,КФСР!A95:B1607,2),IF(D428&gt;0,VLOOKUP(D428,Программа!A$1:B$5112,2),IF(F428&gt;0,VLOOKUP(F428,КВР!A$1:B$5001,2),IF(E428&gt;0,VLOOKUP(E428,Направление!A$1:B$4791,2))))))</f>
        <v xml:space="preserve">Закупка товаров, работ и услуг для обеспечения государственных (муниципальных) нужд
</v>
      </c>
      <c r="B428" s="116"/>
      <c r="C428" s="111"/>
      <c r="D428" s="113"/>
      <c r="E428" s="111"/>
      <c r="F428" s="113">
        <v>200</v>
      </c>
      <c r="G428" s="294">
        <v>500000</v>
      </c>
      <c r="H428" s="283"/>
      <c r="I428" s="119">
        <f t="shared" si="97"/>
        <v>500000</v>
      </c>
    </row>
    <row r="429" spans="1:9" s="121" customFormat="1" ht="63" x14ac:dyDescent="0.25">
      <c r="A429" s="851" t="str">
        <f>IF(B429&gt;0,VLOOKUP(B429,КВСР!A96:B1261,2),IF(C429&gt;0,VLOOKUP(C429,КФСР!A96:B1608,2),IF(D429&gt;0,VLOOKUP(D429,Программа!A$1:B$5112,2),IF(F429&gt;0,VLOOKUP(F429,КВР!A$1:B$5001,2),IF(E429&gt;0,VLOOKUP(E429,Направление!A$1:B$4791,2))))))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29" s="116"/>
      <c r="C429" s="111"/>
      <c r="D429" s="113"/>
      <c r="E429" s="111">
        <v>29276</v>
      </c>
      <c r="F429" s="113"/>
      <c r="G429" s="282">
        <v>500000</v>
      </c>
      <c r="H429" s="283">
        <f>H430</f>
        <v>0</v>
      </c>
      <c r="I429" s="119">
        <f>SUM(G429:H429)</f>
        <v>500000</v>
      </c>
    </row>
    <row r="430" spans="1:9" s="121" customFormat="1" ht="63" x14ac:dyDescent="0.25">
      <c r="A430" s="851" t="str">
        <f>IF(B430&gt;0,VLOOKUP(B430,КВСР!A97:B1262,2),IF(C430&gt;0,VLOOKUP(C430,КФСР!A97:B1609,2),IF(D430&gt;0,VLOOKUP(D430,Программа!A$1:B$5112,2),IF(F430&gt;0,VLOOKUP(F430,КВР!A$1:B$5001,2),IF(E430&gt;0,VLOOKUP(E430,Направление!A$1:B$4791,2))))))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500000</v>
      </c>
      <c r="H430" s="283"/>
      <c r="I430" s="119">
        <f>SUM(G430:H430)</f>
        <v>500000</v>
      </c>
    </row>
    <row r="431" spans="1:9" s="121" customFormat="1" x14ac:dyDescent="0.25">
      <c r="A431" s="851" t="str">
        <f>IF(B431&gt;0,VLOOKUP(B431,КВСР!A100:B1265,2),IF(C431&gt;0,VLOOKUP(C431,КФСР!A100:B1612,2),IF(D431&gt;0,VLOOKUP(D431,Программа!A$1:B$5112,2),IF(F431&gt;0,VLOOKUP(F431,КВР!A$1:B$5001,2),IF(E431&gt;0,VLOOKUP(E431,Направление!A$1:B$4791,2))))))</f>
        <v>Жилищное хозяйство</v>
      </c>
      <c r="B431" s="116"/>
      <c r="C431" s="111">
        <v>501</v>
      </c>
      <c r="D431" s="113"/>
      <c r="E431" s="111"/>
      <c r="F431" s="113"/>
      <c r="G431" s="120">
        <v>735000</v>
      </c>
      <c r="H431" s="283">
        <f t="shared" ref="H431:H433" si="102">H432</f>
        <v>0</v>
      </c>
      <c r="I431" s="119">
        <f t="shared" si="97"/>
        <v>735000</v>
      </c>
    </row>
    <row r="432" spans="1:9" s="121" customFormat="1" x14ac:dyDescent="0.25">
      <c r="A432" s="851" t="str">
        <f>IF(B432&gt;0,VLOOKUP(B432,КВСР!A101:B1266,2),IF(C432&gt;0,VLOOKUP(C432,КФСР!A101:B1613,2),IF(D432&gt;0,VLOOKUP(D432,Программа!A$1:B$5112,2),IF(F432&gt;0,VLOOKUP(F432,КВР!A$1:B$5001,2),IF(E432&gt;0,VLOOKUP(E432,Направление!A$1:B$4791,2))))))</f>
        <v>Непрограммные расходы бюджета</v>
      </c>
      <c r="B432" s="116"/>
      <c r="C432" s="111"/>
      <c r="D432" s="113" t="s">
        <v>383</v>
      </c>
      <c r="E432" s="111"/>
      <c r="F432" s="113"/>
      <c r="G432" s="120">
        <v>735000</v>
      </c>
      <c r="H432" s="283">
        <f>H433+H437+H435</f>
        <v>0</v>
      </c>
      <c r="I432" s="119">
        <f>SUM(G432:H432)</f>
        <v>735000</v>
      </c>
    </row>
    <row r="433" spans="1:9" s="121" customFormat="1" ht="47.25" x14ac:dyDescent="0.25">
      <c r="A433" s="851" t="str">
        <f>IF(B433&gt;0,VLOOKUP(B433,КВСР!A102:B1267,2),IF(C433&gt;0,VLOOKUP(C433,КФСР!A102:B1614,2),IF(D433&gt;0,VLOOKUP(D433,Программа!A$1:B$5112,2),IF(F433&gt;0,VLOOKUP(F433,КВР!A$1:B$5001,2),IF(E433&gt;0,VLOOKUP(E433,Направление!A$1:B$4791,2))))))</f>
        <v>Взносы на  капитальный ремонт  жилых помещений муниципального жилищного фонда</v>
      </c>
      <c r="B433" s="116"/>
      <c r="C433" s="111"/>
      <c r="D433" s="113"/>
      <c r="E433" s="111">
        <v>10370</v>
      </c>
      <c r="F433" s="113"/>
      <c r="G433" s="120">
        <v>325000</v>
      </c>
      <c r="H433" s="283">
        <f t="shared" si="102"/>
        <v>0</v>
      </c>
      <c r="I433" s="119">
        <f t="shared" si="97"/>
        <v>325000</v>
      </c>
    </row>
    <row r="434" spans="1:9" s="121" customFormat="1" ht="63" x14ac:dyDescent="0.25">
      <c r="A434" s="851" t="str">
        <f>IF(B434&gt;0,VLOOKUP(B434,КВСР!A103:B1268,2),IF(C434&gt;0,VLOOKUP(C434,КФСР!A103:B1615,2),IF(D434&gt;0,VLOOKUP(D434,Программа!A$1:B$5112,2),IF(F434&gt;0,VLOOKUP(F434,КВР!A$1:B$5001,2),IF(E434&gt;0,VLOOKUP(E434,Направление!A$1:B$4791,2))))))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325000</v>
      </c>
      <c r="H434" s="283"/>
      <c r="I434" s="119">
        <f t="shared" si="97"/>
        <v>325000</v>
      </c>
    </row>
    <row r="435" spans="1:9" s="121" customFormat="1" ht="47.25" x14ac:dyDescent="0.25">
      <c r="A435" s="851" t="str">
        <f>IF(B435&gt;0,VLOOKUP(B435,КВСР!A104:B1269,2),IF(C435&gt;0,VLOOKUP(C435,КФСР!A104:B1616,2),IF(D435&gt;0,VLOOKUP(D435,Программа!A$1:B$5112,2),IF(F435&gt;0,VLOOKUP(F435,КВР!A$1:B$5001,2),IF(E435&gt;0,VLOOKUP(E435,Направление!A$1:B$4791,2))))))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5" s="116"/>
      <c r="C435" s="111"/>
      <c r="D435" s="113"/>
      <c r="E435" s="111">
        <v>29436</v>
      </c>
      <c r="F435" s="113"/>
      <c r="G435" s="282">
        <v>350000</v>
      </c>
      <c r="H435" s="283">
        <f>H436</f>
        <v>0</v>
      </c>
      <c r="I435" s="119">
        <f t="shared" ref="I435:I436" si="103">SUM(G435:H435)</f>
        <v>350000</v>
      </c>
    </row>
    <row r="436" spans="1:9" s="121" customFormat="1" ht="63" x14ac:dyDescent="0.25">
      <c r="A436" s="851" t="str">
        <f>IF(B436&gt;0,VLOOKUP(B436,КВСР!A105:B1270,2),IF(C436&gt;0,VLOOKUP(C436,КФСР!A105:B1617,2),IF(D436&gt;0,VLOOKUP(D436,Программа!A$1:B$5112,2),IF(F436&gt;0,VLOOKUP(F436,КВР!A$1:B$5001,2),IF(E436&gt;0,VLOOKUP(E436,Направление!A$1:B$4791,2))))))</f>
        <v xml:space="preserve">Закупка товаров, работ и услуг для обеспечения государственных (муниципальных) нужд
</v>
      </c>
      <c r="B436" s="116"/>
      <c r="C436" s="111"/>
      <c r="D436" s="113"/>
      <c r="E436" s="111"/>
      <c r="F436" s="113">
        <v>200</v>
      </c>
      <c r="G436" s="294">
        <v>350000</v>
      </c>
      <c r="H436" s="283"/>
      <c r="I436" s="119">
        <f t="shared" si="103"/>
        <v>350000</v>
      </c>
    </row>
    <row r="437" spans="1:9" s="121" customFormat="1" ht="63" x14ac:dyDescent="0.25">
      <c r="A437" s="851" t="str">
        <f>IF(B437&gt;0,VLOOKUP(B437,КВСР!A104:B1269,2),IF(C437&gt;0,VLOOKUP(C437,КФСР!A104:B1616,2),IF(D437&gt;0,VLOOKUP(D437,Программа!A$1:B$5112,2),IF(F437&gt;0,VLOOKUP(F437,КВР!A$1:B$5001,2),IF(E437&gt;0,VLOOKUP(E437,Направление!A$1:B$4791,2))))))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7" s="116"/>
      <c r="C437" s="111"/>
      <c r="D437" s="113"/>
      <c r="E437" s="111">
        <v>29446</v>
      </c>
      <c r="F437" s="113"/>
      <c r="G437" s="282">
        <v>60000</v>
      </c>
      <c r="H437" s="283">
        <f>H438</f>
        <v>0</v>
      </c>
      <c r="I437" s="119">
        <f t="shared" si="97"/>
        <v>60000</v>
      </c>
    </row>
    <row r="438" spans="1:9" s="121" customFormat="1" ht="63" x14ac:dyDescent="0.25">
      <c r="A438" s="851" t="str">
        <f>IF(B438&gt;0,VLOOKUP(B438,КВСР!A105:B1270,2),IF(C438&gt;0,VLOOKUP(C438,КФСР!A105:B1617,2),IF(D438&gt;0,VLOOKUP(D438,Программа!A$1:B$5112,2),IF(F438&gt;0,VLOOKUP(F438,КВР!A$1:B$5001,2),IF(E438&gt;0,VLOOKUP(E438,Направление!A$1:B$4791,2))))))</f>
        <v xml:space="preserve">Закупка товаров, работ и услуг для обеспечения государственных (муниципальных) нужд
</v>
      </c>
      <c r="B438" s="116"/>
      <c r="C438" s="111"/>
      <c r="D438" s="113"/>
      <c r="E438" s="111"/>
      <c r="F438" s="113">
        <v>200</v>
      </c>
      <c r="G438" s="294">
        <v>60000</v>
      </c>
      <c r="H438" s="283"/>
      <c r="I438" s="119">
        <f t="shared" si="97"/>
        <v>60000</v>
      </c>
    </row>
    <row r="439" spans="1:9" s="121" customFormat="1" hidden="1" x14ac:dyDescent="0.25">
      <c r="A439" s="851" t="str">
        <f>IF(B439&gt;0,VLOOKUP(B439,КВСР!A106:B1271,2),IF(C439&gt;0,VLOOKUP(C439,КФСР!A106:B1618,2),IF(D439&gt;0,VLOOKUP(D439,Программа!A$1:B$5112,2),IF(F439&gt;0,VLOOKUP(F439,КВР!A$1:B$5001,2),IF(E439&gt;0,VLOOKUP(E439,Направление!A$1:B$4791,2))))))</f>
        <v>Охрана семьи и детства</v>
      </c>
      <c r="B439" s="116"/>
      <c r="C439" s="111">
        <v>1004</v>
      </c>
      <c r="D439" s="113"/>
      <c r="E439" s="111"/>
      <c r="F439" s="113"/>
      <c r="G439" s="294">
        <v>0</v>
      </c>
      <c r="H439" s="283">
        <f t="shared" ref="H439:I441" si="104">H440</f>
        <v>0</v>
      </c>
      <c r="I439" s="294">
        <f t="shared" si="104"/>
        <v>0</v>
      </c>
    </row>
    <row r="440" spans="1:9" s="121" customFormat="1" hidden="1" x14ac:dyDescent="0.25">
      <c r="A440" s="851" t="str">
        <f>IF(B440&gt;0,VLOOKUP(B440,КВСР!A107:B1272,2),IF(C440&gt;0,VLOOKUP(C440,КФСР!A107:B1619,2),IF(D440&gt;0,VLOOKUP(D440,Программа!A$1:B$5112,2),IF(F440&gt;0,VLOOKUP(F440,КВР!A$1:B$5001,2),IF(E440&gt;0,VLOOKUP(E440,Направление!A$1:B$4791,2))))))</f>
        <v>Непрограммные расходы бюджета</v>
      </c>
      <c r="B440" s="116"/>
      <c r="C440" s="111"/>
      <c r="D440" s="113" t="s">
        <v>383</v>
      </c>
      <c r="E440" s="111"/>
      <c r="F440" s="113"/>
      <c r="G440" s="294">
        <v>0</v>
      </c>
      <c r="H440" s="283">
        <f t="shared" si="104"/>
        <v>0</v>
      </c>
      <c r="I440" s="294">
        <f t="shared" si="104"/>
        <v>0</v>
      </c>
    </row>
    <row r="441" spans="1:9" s="121" customFormat="1" hidden="1" x14ac:dyDescent="0.25">
      <c r="A441" s="851" t="str">
        <f>IF(B441&gt;0,VLOOKUP(B441,КВСР!A108:B1273,2),IF(C441&gt;0,VLOOKUP(C441,КФСР!A108:B1620,2),IF(D441&gt;0,VLOOKUP(D441,Программа!A$1:B$5112,2),IF(F441&gt;0,VLOOKUP(F441,КВР!A$1:B$5001,2),IF(E441&gt;0,VLOOKUP(E441,Направление!A$1:B$4791,2))))))</f>
        <v>Содержание центрального аппарата</v>
      </c>
      <c r="B441" s="116"/>
      <c r="C441" s="111"/>
      <c r="D441" s="113"/>
      <c r="E441" s="111">
        <v>12010</v>
      </c>
      <c r="F441" s="113"/>
      <c r="G441" s="294">
        <v>0</v>
      </c>
      <c r="H441" s="283">
        <f t="shared" si="104"/>
        <v>0</v>
      </c>
      <c r="I441" s="294">
        <f t="shared" si="104"/>
        <v>0</v>
      </c>
    </row>
    <row r="442" spans="1:9" s="121" customFormat="1" ht="110.25" hidden="1" x14ac:dyDescent="0.25">
      <c r="A442" s="851" t="str">
        <f>IF(B442&gt;0,VLOOKUP(B442,КВСР!A109:B1274,2),IF(C442&gt;0,VLOOKUP(C442,КФСР!A109:B1621,2),IF(D442&gt;0,VLOOKUP(D442,Программа!A$1:B$5112,2),IF(F442&gt;0,VLOOKUP(F442,КВР!A$1:B$5001,2),IF(E442&gt;0,VLOOKUP(E442,Направление!A$1:B$4791,2))))))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2" s="116"/>
      <c r="C442" s="111"/>
      <c r="D442" s="113"/>
      <c r="E442" s="111"/>
      <c r="F442" s="113">
        <v>100</v>
      </c>
      <c r="G442" s="294">
        <v>0</v>
      </c>
      <c r="H442" s="283"/>
      <c r="I442" s="119">
        <f>G442+H442</f>
        <v>0</v>
      </c>
    </row>
    <row r="443" spans="1:9" ht="31.5" x14ac:dyDescent="0.25">
      <c r="A443" s="850" t="str">
        <f>IF(B443&gt;0,VLOOKUP(B443,КВСР!A106:B1271,2),IF(C443&gt;0,VLOOKUP(C443,КФСР!A106:B1618,2),IF(D443&gt;0,VLOOKUP(D443,Программа!A$1:B$5112,2),IF(F443&gt;0,VLOOKUP(F443,КВР!A$1:B$5001,2),IF(E443&gt;0,VLOOKUP(E443,Направление!A$1:B$4791,2))))))</f>
        <v>Департамент образования Администрации ТМР</v>
      </c>
      <c r="B443" s="110">
        <v>953</v>
      </c>
      <c r="C443" s="111"/>
      <c r="D443" s="112"/>
      <c r="E443" s="111"/>
      <c r="F443" s="113"/>
      <c r="G443" s="337">
        <v>1135261121</v>
      </c>
      <c r="H443" s="337">
        <f>H450+H485+H521+H549+H575+H664+H697+H658+H543+H444</f>
        <v>4450923</v>
      </c>
      <c r="I443" s="383">
        <f>I450+I485+I521+I549+I575+I664+I697+I658+I543+I444</f>
        <v>1139712044</v>
      </c>
    </row>
    <row r="444" spans="1:9" x14ac:dyDescent="0.25">
      <c r="A444" s="851" t="str">
        <f>IF(B444&gt;0,VLOOKUP(B444,КВСР!A105:B1270,2),IF(C444&gt;0,VLOOKUP(C444,КФСР!A105:B1617,2),IF(D444&gt;0,VLOOKUP(D444,Программа!A$1:B$5112,2),IF(F444&gt;0,VLOOKUP(F444,КВР!A$1:B$5001,2),IF(E444&gt;0,VLOOKUP(E444,Направление!A$1:B$4791,2))))))</f>
        <v xml:space="preserve"> Общеэкономические вопросы</v>
      </c>
      <c r="B444" s="110"/>
      <c r="C444" s="111">
        <v>401</v>
      </c>
      <c r="D444" s="112"/>
      <c r="E444" s="111"/>
      <c r="F444" s="113"/>
      <c r="G444" s="745">
        <v>266483</v>
      </c>
      <c r="H444" s="745">
        <f t="shared" ref="H444:I448" si="105">H445</f>
        <v>0</v>
      </c>
      <c r="I444" s="745">
        <f t="shared" si="105"/>
        <v>266483</v>
      </c>
    </row>
    <row r="445" spans="1:9" ht="63" x14ac:dyDescent="0.25">
      <c r="A445" s="851" t="str">
        <f>IF(B445&gt;0,VLOOKUP(B445,КВСР!A106:B1271,2),IF(C445&gt;0,VLOOKUP(C445,КФСР!A106:B1618,2),IF(D445&gt;0,VLOOKUP(D445,Программа!A$1:B$5112,2),IF(F445&gt;0,VLOOKUP(F445,КВР!A$1:B$5001,2),IF(E445&gt;0,VLOOKUP(E445,Направление!A$1:B$4791,2))))))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5" s="110"/>
      <c r="C445" s="111"/>
      <c r="D445" s="112" t="s">
        <v>470</v>
      </c>
      <c r="E445" s="111"/>
      <c r="F445" s="113"/>
      <c r="G445" s="745">
        <v>266483</v>
      </c>
      <c r="H445" s="745">
        <f t="shared" si="105"/>
        <v>0</v>
      </c>
      <c r="I445" s="745">
        <f t="shared" si="105"/>
        <v>266483</v>
      </c>
    </row>
    <row r="446" spans="1:9" ht="31.5" x14ac:dyDescent="0.25">
      <c r="A446" s="851" t="str">
        <f>IF(B446&gt;0,VLOOKUP(B446,КВСР!A107:B1272,2),IF(C446&gt;0,VLOOKUP(C446,КФСР!A107:B1619,2),IF(D446&gt;0,VLOOKUP(D446,Программа!A$1:B$5112,2),IF(F446&gt;0,VLOOKUP(F446,КВР!A$1:B$5001,2),IF(E446&gt;0,VLOOKUP(E446,Направление!A$1:B$4791,2))))))</f>
        <v>Ведомственная целевая программа «Молодежь»</v>
      </c>
      <c r="B446" s="110"/>
      <c r="C446" s="111"/>
      <c r="D446" s="112" t="s">
        <v>573</v>
      </c>
      <c r="E446" s="111"/>
      <c r="F446" s="113"/>
      <c r="G446" s="745">
        <v>266483</v>
      </c>
      <c r="H446" s="745">
        <f t="shared" si="105"/>
        <v>0</v>
      </c>
      <c r="I446" s="745">
        <f t="shared" si="105"/>
        <v>266483</v>
      </c>
    </row>
    <row r="447" spans="1:9" ht="47.25" x14ac:dyDescent="0.25">
      <c r="A447" s="851" t="str">
        <f>IF(B447&gt;0,VLOOKUP(B447,КВСР!A108:B1273,2),IF(C447&gt;0,VLOOKUP(C447,КФСР!A108:B1620,2),IF(D447&gt;0,VLOOKUP(D447,Программа!A$1:B$5112,2),IF(F447&gt;0,VLOOKUP(F447,КВР!A$1:B$5001,2),IF(E447&gt;0,VLOOKUP(E447,Направление!A$1:B$4791,2))))))</f>
        <v>Обеспечение качества и доступности услуг(работ) в сфере молодежной политики</v>
      </c>
      <c r="B447" s="110"/>
      <c r="C447" s="111"/>
      <c r="D447" s="112" t="s">
        <v>1179</v>
      </c>
      <c r="E447" s="111"/>
      <c r="F447" s="113"/>
      <c r="G447" s="745">
        <v>266483</v>
      </c>
      <c r="H447" s="745">
        <f t="shared" si="105"/>
        <v>0</v>
      </c>
      <c r="I447" s="745">
        <f t="shared" si="105"/>
        <v>266483</v>
      </c>
    </row>
    <row r="448" spans="1:9" ht="47.25" x14ac:dyDescent="0.25">
      <c r="A448" s="851" t="str">
        <f>IF(B448&gt;0,VLOOKUP(B448,КВСР!A109:B1274,2),IF(C448&gt;0,VLOOKUP(C448,КФСР!A109:B1621,2),IF(D448&gt;0,VLOOKUP(D448,Программа!A$1:B$5112,2),IF(F448&gt;0,VLOOKUP(F448,КВР!A$1:B$5001,2),IF(E448&gt;0,VLOOKUP(E448,Направление!A$1:B$4791,2))))))</f>
        <v>Расходы на обеспечение трудоустройства несовершеннолетних граждан на временные рабочие места</v>
      </c>
      <c r="B448" s="110"/>
      <c r="C448" s="111"/>
      <c r="D448" s="112"/>
      <c r="E448" s="111">
        <v>76950</v>
      </c>
      <c r="F448" s="113"/>
      <c r="G448" s="745">
        <v>266483</v>
      </c>
      <c r="H448" s="745">
        <f t="shared" si="105"/>
        <v>0</v>
      </c>
      <c r="I448" s="745">
        <f t="shared" si="105"/>
        <v>266483</v>
      </c>
    </row>
    <row r="449" spans="1:9" ht="47.25" x14ac:dyDescent="0.25">
      <c r="A449" s="851" t="str">
        <f>IF(B449&gt;0,VLOOKUP(B449,КВСР!A110:B1275,2),IF(C449&gt;0,VLOOKUP(C449,КФСР!A110:B1622,2),IF(D449&gt;0,VLOOKUP(D449,Программа!A$1:B$5112,2),IF(F449&gt;0,VLOOKUP(F449,КВР!A$1:B$5001,2),IF(E449&gt;0,VLOOKUP(E449,Направление!A$1:B$4791,2))))))</f>
        <v>Предоставление субсидий бюджетным, автономным учреждениям и иным некоммерческим организациям</v>
      </c>
      <c r="B449" s="110"/>
      <c r="C449" s="111"/>
      <c r="D449" s="112"/>
      <c r="E449" s="111"/>
      <c r="F449" s="113">
        <v>600</v>
      </c>
      <c r="G449" s="745">
        <v>266483</v>
      </c>
      <c r="H449" s="745"/>
      <c r="I449" s="745">
        <f>G449+H449</f>
        <v>266483</v>
      </c>
    </row>
    <row r="450" spans="1:9" x14ac:dyDescent="0.25">
      <c r="A450" s="851" t="str">
        <f>IF(B450&gt;0,VLOOKUP(B450,КВСР!A111:B1276,2),IF(C450&gt;0,VLOOKUP(C450,КФСР!A111:B1623,2),IF(D450&gt;0,VLOOKUP(D450,Программа!A$1:B$5112,2),IF(F450&gt;0,VLOOKUP(F450,КВР!A$1:B$5001,2),IF(E450&gt;0,VLOOKUP(E450,Направление!A$1:B$4791,2))))))</f>
        <v>Дошкольное образование</v>
      </c>
      <c r="B450" s="116"/>
      <c r="C450" s="111">
        <v>701</v>
      </c>
      <c r="D450" s="112"/>
      <c r="E450" s="111"/>
      <c r="F450" s="113"/>
      <c r="G450" s="119">
        <v>419721731</v>
      </c>
      <c r="H450" s="338">
        <f>H451+H482+H473</f>
        <v>718356</v>
      </c>
      <c r="I450" s="119">
        <f t="shared" si="97"/>
        <v>420440087</v>
      </c>
    </row>
    <row r="451" spans="1:9" ht="63" x14ac:dyDescent="0.25">
      <c r="A451" s="851" t="str">
        <f>IF(B451&gt;0,VLOOKUP(B451,КВСР!A112:B1277,2),IF(C451&gt;0,VLOOKUP(C451,КФСР!A112:B1624,2),IF(D451&gt;0,VLOOKUP(D451,Программа!A$1:B$5112,2),IF(F451&gt;0,VLOOKUP(F451,КВР!A$1:B$5001,2),IF(E451&gt;0,VLOOKUP(E451,Направление!A$1:B$4791,2))))))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51" s="116"/>
      <c r="C451" s="111"/>
      <c r="D451" s="112" t="s">
        <v>441</v>
      </c>
      <c r="E451" s="111"/>
      <c r="F451" s="113"/>
      <c r="G451" s="119">
        <v>419721731</v>
      </c>
      <c r="H451" s="338">
        <f>H453</f>
        <v>718356</v>
      </c>
      <c r="I451" s="119">
        <f t="shared" si="97"/>
        <v>420440087</v>
      </c>
    </row>
    <row r="452" spans="1:9" ht="63" x14ac:dyDescent="0.25">
      <c r="A452" s="851" t="str">
        <f>IF(B452&gt;0,VLOOKUP(B452,КВСР!A113:B1278,2),IF(C452&gt;0,VLOOKUP(C452,КФСР!A113:B1625,2),IF(D452&gt;0,VLOOKUP(D452,Программа!A$1:B$5112,2),IF(F452&gt;0,VLOOKUP(F452,КВР!A$1:B$5001,2),IF(E452&gt;0,VLOOKUP(E452,Направление!A$1:B$4791,2))))))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52" s="116"/>
      <c r="C452" s="111"/>
      <c r="D452" s="112" t="s">
        <v>443</v>
      </c>
      <c r="E452" s="111"/>
      <c r="F452" s="113"/>
      <c r="G452" s="119">
        <v>419721731</v>
      </c>
      <c r="H452" s="338">
        <f>H453</f>
        <v>718356</v>
      </c>
      <c r="I452" s="119">
        <f t="shared" si="97"/>
        <v>420440087</v>
      </c>
    </row>
    <row r="453" spans="1:9" ht="47.25" x14ac:dyDescent="0.25">
      <c r="A453" s="851" t="str">
        <f>IF(B453&gt;0,VLOOKUP(B453,КВСР!A114:B1279,2),IF(C453&gt;0,VLOOKUP(C453,КФСР!A114:B1626,2),IF(D453&gt;0,VLOOKUP(D453,Программа!A$1:B$5112,2),IF(F453&gt;0,VLOOKUP(F453,КВР!A$1:B$5001,2),IF(E453&gt;0,VLOOKUP(E453,Направление!A$1:B$4791,2))))))</f>
        <v>Обеспечение качества и доступности образовательных услуг в сфере дошкольного образования</v>
      </c>
      <c r="B453" s="116"/>
      <c r="C453" s="111"/>
      <c r="D453" s="112" t="s">
        <v>444</v>
      </c>
      <c r="E453" s="111"/>
      <c r="F453" s="113"/>
      <c r="G453" s="338">
        <v>419721731</v>
      </c>
      <c r="H453" s="338">
        <f>H454+H462+H466+H458+H464+H460+H471+H469</f>
        <v>718356</v>
      </c>
      <c r="I453" s="338">
        <f t="shared" ref="I453" si="106">I454+I462+I466+I458+I464+I460+I471+I469</f>
        <v>420440087</v>
      </c>
    </row>
    <row r="454" spans="1:9" ht="31.5" x14ac:dyDescent="0.25">
      <c r="A454" s="851" t="str">
        <f>IF(B454&gt;0,VLOOKUP(B454,КВСР!A114:B1279,2),IF(C454&gt;0,VLOOKUP(C454,КФСР!A114:B1626,2),IF(D454&gt;0,VLOOKUP(D454,Программа!A$1:B$5112,2),IF(F454&gt;0,VLOOKUP(F454,КВР!A$1:B$5001,2),IF(E454&gt;0,VLOOKUP(E454,Направление!A$1:B$4791,2))))))</f>
        <v>Обеспечение деятельности дошкольных учреждений</v>
      </c>
      <c r="B454" s="116"/>
      <c r="C454" s="111"/>
      <c r="D454" s="112"/>
      <c r="E454" s="111">
        <v>13010</v>
      </c>
      <c r="F454" s="113"/>
      <c r="G454" s="283">
        <v>180195213</v>
      </c>
      <c r="H454" s="283">
        <f t="shared" ref="H454:I454" si="107">H455+H456+H457</f>
        <v>-1670601</v>
      </c>
      <c r="I454" s="283">
        <f t="shared" si="107"/>
        <v>178524612</v>
      </c>
    </row>
    <row r="455" spans="1:9" ht="110.25" x14ac:dyDescent="0.25">
      <c r="A455" s="851" t="str">
        <f>IF(B455&gt;0,VLOOKUP(B455,КВСР!A115:B1280,2),IF(C455&gt;0,VLOOKUP(C455,КФСР!A115:B1627,2),IF(D455&gt;0,VLOOKUP(D455,Программа!A$1:B$5112,2),IF(F455&gt;0,VLOOKUP(F455,КВР!A$1:B$5001,2),IF(E455&gt;0,VLOOKUP(E455,Направление!A$1:B$4791,2))))))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6"/>
      <c r="C455" s="111"/>
      <c r="D455" s="113"/>
      <c r="E455" s="111"/>
      <c r="F455" s="113">
        <v>100</v>
      </c>
      <c r="G455" s="294">
        <v>71916022</v>
      </c>
      <c r="H455" s="283"/>
      <c r="I455" s="119">
        <f>SUM(G455:H455)</f>
        <v>71916022</v>
      </c>
    </row>
    <row r="456" spans="1:9" ht="63" x14ac:dyDescent="0.25">
      <c r="A456" s="851" t="str">
        <f>IF(B456&gt;0,VLOOKUP(B456,КВСР!A116:B1281,2),IF(C456&gt;0,VLOOKUP(C456,КФСР!A116:B1628,2),IF(D456&gt;0,VLOOKUP(D456,Программа!A$1:B$5112,2),IF(F456&gt;0,VLOOKUP(F456,КВР!A$1:B$5001,2),IF(E456&gt;0,VLOOKUP(E456,Направление!A$1:B$4791,2))))))</f>
        <v xml:space="preserve">Закупка товаров, работ и услуг для обеспечения государственных (муниципальных) нужд
</v>
      </c>
      <c r="B456" s="116"/>
      <c r="C456" s="111"/>
      <c r="D456" s="113"/>
      <c r="E456" s="111"/>
      <c r="F456" s="113">
        <v>200</v>
      </c>
      <c r="G456" s="294">
        <v>102770398</v>
      </c>
      <c r="H456" s="283">
        <f>68428-1509029-230000</f>
        <v>-1670601</v>
      </c>
      <c r="I456" s="119">
        <f t="shared" ref="I456:I457" si="108">SUM(G456:H456)</f>
        <v>101099797</v>
      </c>
    </row>
    <row r="457" spans="1:9" x14ac:dyDescent="0.25">
      <c r="A457" s="851" t="str">
        <f>IF(B457&gt;0,VLOOKUP(B457,КВСР!A117:B1282,2),IF(C457&gt;0,VLOOKUP(C457,КФСР!A117:B1629,2),IF(D457&gt;0,VLOOKUP(D457,Программа!A$1:B$5112,2),IF(F457&gt;0,VLOOKUP(F457,КВР!A$1:B$5001,2),IF(E457&gt;0,VLOOKUP(E457,Направление!A$1:B$4791,2))))))</f>
        <v>Иные бюджетные ассигнования</v>
      </c>
      <c r="B457" s="116"/>
      <c r="C457" s="111"/>
      <c r="D457" s="113"/>
      <c r="E457" s="111"/>
      <c r="F457" s="113">
        <v>800</v>
      </c>
      <c r="G457" s="294">
        <v>5508793</v>
      </c>
      <c r="H457" s="283"/>
      <c r="I457" s="119">
        <f t="shared" si="108"/>
        <v>5508793</v>
      </c>
    </row>
    <row r="458" spans="1:9" ht="31.5" x14ac:dyDescent="0.25">
      <c r="A458" s="851" t="str">
        <f>IF(B458&gt;0,VLOOKUP(B458,КВСР!A116:B1281,2),IF(C458&gt;0,VLOOKUP(C458,КФСР!A116:B1628,2),IF(D458&gt;0,VLOOKUP(D458,Программа!A$1:B$5112,2),IF(F458&gt;0,VLOOKUP(F458,КВР!A$1:B$5001,2),IF(E458&gt;0,VLOOKUP(E458,Направление!A$1:B$4791,2))))))</f>
        <v>Обеспечение деятельности общеобразовательных учреждений</v>
      </c>
      <c r="B458" s="116"/>
      <c r="C458" s="111"/>
      <c r="D458" s="113"/>
      <c r="E458" s="111">
        <v>13110</v>
      </c>
      <c r="F458" s="113"/>
      <c r="G458" s="282">
        <v>14451043</v>
      </c>
      <c r="H458" s="283">
        <f t="shared" ref="H458" si="109">H459</f>
        <v>384700</v>
      </c>
      <c r="I458" s="119">
        <f t="shared" si="97"/>
        <v>14835743</v>
      </c>
    </row>
    <row r="459" spans="1:9" ht="47.25" x14ac:dyDescent="0.25">
      <c r="A459" s="851" t="str">
        <f>IF(B459&gt;0,VLOOKUP(B459,КВСР!A117:B1282,2),IF(C459&gt;0,VLOOKUP(C459,КФСР!A117:B1629,2),IF(D459&gt;0,VLOOKUP(D459,Программа!A$1:B$5112,2),IF(F459&gt;0,VLOOKUP(F459,КВР!A$1:B$5001,2),IF(E459&gt;0,VLOOKUP(E459,Направление!A$1:B$4791,2))))))</f>
        <v>Предоставление субсидий бюджетным, автономным учреждениям и иным некоммерческим организациям</v>
      </c>
      <c r="B459" s="116"/>
      <c r="C459" s="111"/>
      <c r="D459" s="113"/>
      <c r="E459" s="111"/>
      <c r="F459" s="113">
        <v>600</v>
      </c>
      <c r="G459" s="294">
        <v>14451043</v>
      </c>
      <c r="H459" s="283">
        <v>384700</v>
      </c>
      <c r="I459" s="119">
        <f t="shared" si="97"/>
        <v>14835743</v>
      </c>
    </row>
    <row r="460" spans="1:9" ht="47.25" x14ac:dyDescent="0.25">
      <c r="A460" s="851" t="str">
        <f>IF(B460&gt;0,VLOOKUP(B460,КВСР!A118:B1283,2),IF(C460&gt;0,VLOOKUP(C460,КФСР!A118:B1630,2),IF(D460&gt;0,VLOOKUP(D460,Программа!A$1:B$5112,2),IF(F460&gt;0,VLOOKUP(F460,КВР!A$1:B$5001,2),IF(E460&gt;0,VLOOKUP(E460,Направление!A$1:B$4791,2))))))</f>
        <v>Расходы на реализацию мероприятий инициативного бюджетирования на территории Ярославской области</v>
      </c>
      <c r="B460" s="116"/>
      <c r="C460" s="111"/>
      <c r="D460" s="113"/>
      <c r="E460" s="111">
        <v>15350</v>
      </c>
      <c r="F460" s="113"/>
      <c r="G460" s="294">
        <v>222431</v>
      </c>
      <c r="H460" s="283">
        <f t="shared" ref="H460:I460" si="110">H461</f>
        <v>0</v>
      </c>
      <c r="I460" s="294">
        <f t="shared" si="110"/>
        <v>222431</v>
      </c>
    </row>
    <row r="461" spans="1:9" ht="63" x14ac:dyDescent="0.25">
      <c r="A461" s="851" t="str">
        <f>IF(B461&gt;0,VLOOKUP(B461,КВСР!A119:B1284,2),IF(C461&gt;0,VLOOKUP(C461,КФСР!A119:B1631,2),IF(D461&gt;0,VLOOKUP(D461,Программа!A$1:B$5112,2),IF(F461&gt;0,VLOOKUP(F461,КВР!A$1:B$5001,2),IF(E461&gt;0,VLOOKUP(E461,Направление!A$1:B$4791,2))))))</f>
        <v xml:space="preserve">Закупка товаров, работ и услуг для обеспечения государственных (муниципальных) нужд
</v>
      </c>
      <c r="B461" s="116"/>
      <c r="C461" s="111"/>
      <c r="D461" s="113"/>
      <c r="E461" s="111"/>
      <c r="F461" s="113">
        <v>200</v>
      </c>
      <c r="G461" s="294">
        <v>222431</v>
      </c>
      <c r="H461" s="283"/>
      <c r="I461" s="119">
        <f>G461+H461</f>
        <v>222431</v>
      </c>
    </row>
    <row r="462" spans="1:9" ht="110.25" hidden="1" x14ac:dyDescent="0.25">
      <c r="A462" s="851" t="str">
        <f>IF(B462&gt;0,VLOOKUP(B462,КВСР!A118:B1283,2),IF(C462&gt;0,VLOOKUP(C462,КФСР!A118:B1630,2),IF(D462&gt;0,VLOOKUP(D462,Программа!A$1:B$5112,2),IF(F462&gt;0,VLOOKUP(F462,КВР!A$1:B$5001,2),IF(E462&gt;0,VLOOKUP(E462,Направление!A$1:B$4791,2))))))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62" s="116"/>
      <c r="C462" s="111"/>
      <c r="D462" s="112"/>
      <c r="E462" s="111">
        <v>70510</v>
      </c>
      <c r="F462" s="113"/>
      <c r="G462" s="117">
        <v>0</v>
      </c>
      <c r="H462" s="283">
        <f>H463</f>
        <v>0</v>
      </c>
      <c r="I462" s="119">
        <f t="shared" si="97"/>
        <v>0</v>
      </c>
    </row>
    <row r="463" spans="1:9" ht="47.25" hidden="1" x14ac:dyDescent="0.25">
      <c r="A463" s="851" t="str">
        <f>IF(B463&gt;0,VLOOKUP(B463,КВСР!A119:B1284,2),IF(C463&gt;0,VLOOKUP(C463,КФСР!A119:B1631,2),IF(D463&gt;0,VLOOKUP(D463,Программа!A$1:B$5112,2),IF(F463&gt;0,VLOOKUP(F463,КВР!A$1:B$5001,2),IF(E463&gt;0,VLOOKUP(E463,Направление!A$1:B$4791,2))))))</f>
        <v>Предоставление субсидий бюджетным, автономным учреждениям и иным некоммерческим организациям</v>
      </c>
      <c r="B463" s="116"/>
      <c r="C463" s="111"/>
      <c r="D463" s="113"/>
      <c r="E463" s="111"/>
      <c r="F463" s="113">
        <v>600</v>
      </c>
      <c r="G463" s="294">
        <v>0</v>
      </c>
      <c r="H463" s="283"/>
      <c r="I463" s="119">
        <f t="shared" si="97"/>
        <v>0</v>
      </c>
    </row>
    <row r="464" spans="1:9" ht="47.25" x14ac:dyDescent="0.25">
      <c r="A464" s="851" t="str">
        <f>IF(B464&gt;0,VLOOKUP(B464,КВСР!A120:B1285,2),IF(C464&gt;0,VLOOKUP(C464,КФСР!A120:B1632,2),IF(D464&gt;0,VLOOKUP(D464,Программа!A$1:B$5112,2),IF(F464&gt;0,VLOOKUP(F464,КВР!A$1:B$5001,2),IF(E464&gt;0,VLOOKUP(E464,Направление!A$1:B$4791,2))))))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4" s="116"/>
      <c r="C464" s="111"/>
      <c r="D464" s="113"/>
      <c r="E464" s="111">
        <v>70520</v>
      </c>
      <c r="F464" s="113"/>
      <c r="G464" s="282">
        <v>21696550</v>
      </c>
      <c r="H464" s="283">
        <f t="shared" ref="H464:I464" si="111">H465</f>
        <v>0</v>
      </c>
      <c r="I464" s="282">
        <f t="shared" si="111"/>
        <v>21696550</v>
      </c>
    </row>
    <row r="465" spans="1:9" ht="47.25" x14ac:dyDescent="0.25">
      <c r="A465" s="851" t="str">
        <f>IF(B465&gt;0,VLOOKUP(B465,КВСР!A121:B1286,2),IF(C465&gt;0,VLOOKUP(C465,КФСР!A121:B1633,2),IF(D465&gt;0,VLOOKUP(D465,Программа!A$1:B$5112,2),IF(F465&gt;0,VLOOKUP(F465,КВР!A$1:B$5001,2),IF(E465&gt;0,VLOOKUP(E465,Направление!A$1:B$4791,2))))))</f>
        <v>Предоставление субсидий бюджетным, автономным учреждениям и иным некоммерческим организациям</v>
      </c>
      <c r="B465" s="116"/>
      <c r="C465" s="111"/>
      <c r="D465" s="113"/>
      <c r="E465" s="111"/>
      <c r="F465" s="113">
        <v>600</v>
      </c>
      <c r="G465" s="294">
        <v>21696550</v>
      </c>
      <c r="H465" s="283"/>
      <c r="I465" s="119">
        <f>G465+H465</f>
        <v>21696550</v>
      </c>
    </row>
    <row r="466" spans="1:9" ht="63" x14ac:dyDescent="0.25">
      <c r="A466" s="851" t="str">
        <f>IF(B466&gt;0,VLOOKUP(B466,КВСР!A120:B1285,2),IF(C466&gt;0,VLOOKUP(C466,КФСР!A120:B1632,2),IF(D466&gt;0,VLOOKUP(D466,Программа!A$1:B$5112,2),IF(F466&gt;0,VLOOKUP(F466,КВР!A$1:B$5001,2),IF(E466&gt;0,VLOOKUP(E466,Направление!A$1:B$4791,2))))))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6" s="116"/>
      <c r="C466" s="111"/>
      <c r="D466" s="112"/>
      <c r="E466" s="111">
        <v>73110</v>
      </c>
      <c r="F466" s="113"/>
      <c r="G466" s="117">
        <v>203156494</v>
      </c>
      <c r="H466" s="283">
        <f>H467+H468</f>
        <v>0</v>
      </c>
      <c r="I466" s="119">
        <f t="shared" si="97"/>
        <v>203156494</v>
      </c>
    </row>
    <row r="467" spans="1:9" ht="110.25" x14ac:dyDescent="0.25">
      <c r="A467" s="851" t="str">
        <f>IF(B467&gt;0,VLOOKUP(B467,КВСР!A121:B1286,2),IF(C467&gt;0,VLOOKUP(C467,КФСР!A121:B1633,2),IF(D467&gt;0,VLOOKUP(D467,Программа!A$1:B$5112,2),IF(F467&gt;0,VLOOKUP(F467,КВР!A$1:B$5001,2),IF(E467&gt;0,VLOOKUP(E467,Направление!A$1:B$4791,2))))))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7" s="116"/>
      <c r="C467" s="111"/>
      <c r="D467" s="113"/>
      <c r="E467" s="111"/>
      <c r="F467" s="113">
        <v>100</v>
      </c>
      <c r="G467" s="294">
        <v>197579092</v>
      </c>
      <c r="H467" s="283">
        <v>-30000</v>
      </c>
      <c r="I467" s="119">
        <f t="shared" si="97"/>
        <v>197549092</v>
      </c>
    </row>
    <row r="468" spans="1:9" ht="63" x14ac:dyDescent="0.25">
      <c r="A468" s="851" t="str">
        <f>IF(B468&gt;0,VLOOKUP(B468,КВСР!A122:B1287,2),IF(C468&gt;0,VLOOKUP(C468,КФСР!A122:B1634,2),IF(D468&gt;0,VLOOKUP(D468,Программа!A$1:B$5112,2),IF(F468&gt;0,VLOOKUP(F468,КВР!A$1:B$5001,2),IF(E468&gt;0,VLOOKUP(E468,Направление!A$1:B$4791,2))))))</f>
        <v xml:space="preserve">Закупка товаров, работ и услуг для обеспечения государственных (муниципальных) нужд
</v>
      </c>
      <c r="B468" s="116"/>
      <c r="C468" s="111"/>
      <c r="D468" s="113"/>
      <c r="E468" s="111"/>
      <c r="F468" s="113">
        <v>200</v>
      </c>
      <c r="G468" s="294">
        <v>5577402</v>
      </c>
      <c r="H468" s="283">
        <v>30000</v>
      </c>
      <c r="I468" s="119">
        <f t="shared" si="97"/>
        <v>5607402</v>
      </c>
    </row>
    <row r="469" spans="1:9" hidden="1" x14ac:dyDescent="0.25">
      <c r="A469" s="851" t="str">
        <f>IF(B469&gt;0,VLOOKUP(B469,КВСР!A123:B1288,2),IF(C469&gt;0,VLOOKUP(C469,КФСР!A123:B1635,2),IF(D469&gt;0,VLOOKUP(D469,Программа!A$1:B$5112,2),IF(F469&gt;0,VLOOKUP(F469,КВР!A$1:B$5001,2),IF(E469&gt;0,VLOOKUP(E469,Направление!A$1:B$4791,2))))))</f>
        <v xml:space="preserve">Иная дотация </v>
      </c>
      <c r="B469" s="116"/>
      <c r="C469" s="111"/>
      <c r="D469" s="113"/>
      <c r="E469" s="111">
        <v>73260</v>
      </c>
      <c r="F469" s="113"/>
      <c r="G469" s="294">
        <v>0</v>
      </c>
      <c r="H469" s="283">
        <f t="shared" ref="H469:I469" si="112">H470</f>
        <v>0</v>
      </c>
      <c r="I469" s="294">
        <f t="shared" si="112"/>
        <v>0</v>
      </c>
    </row>
    <row r="470" spans="1:9" ht="63" hidden="1" x14ac:dyDescent="0.25">
      <c r="A470" s="851" t="str">
        <f>IF(B470&gt;0,VLOOKUP(B470,КВСР!A124:B1289,2),IF(C470&gt;0,VLOOKUP(C470,КФСР!A124:B1636,2),IF(D470&gt;0,VLOOKUP(D470,Программа!A$1:B$5112,2),IF(F470&gt;0,VLOOKUP(F470,КВР!A$1:B$5001,2),IF(E470&gt;0,VLOOKUP(E470,Направление!A$1:B$4791,2))))))</f>
        <v xml:space="preserve">Закупка товаров, работ и услуг для обеспечения государственных (муниципальных) нужд
</v>
      </c>
      <c r="B470" s="116"/>
      <c r="C470" s="111"/>
      <c r="D470" s="113"/>
      <c r="E470" s="111"/>
      <c r="F470" s="113">
        <v>200</v>
      </c>
      <c r="G470" s="294">
        <v>0</v>
      </c>
      <c r="H470" s="283"/>
      <c r="I470" s="119">
        <f>G470+H470</f>
        <v>0</v>
      </c>
    </row>
    <row r="471" spans="1:9" ht="47.25" x14ac:dyDescent="0.25">
      <c r="A471" s="851" t="str">
        <f>IF(B471&gt;0,VLOOKUP(B471,КВСР!A123:B1288,2),IF(C471&gt;0,VLOOKUP(C471,КФСР!A123:B1635,2),IF(D471&gt;0,VLOOKUP(D471,Программа!A$1:B$5112,2),IF(F471&gt;0,VLOOKUP(F471,КВР!A$1:B$5001,2),IF(E471&gt;0,VLOOKUP(E471,Направление!A$1:B$4791,2))))))</f>
        <v>Расходы на реализацию мероприятий инициативного бюджетирования на территории Ярославской области</v>
      </c>
      <c r="B471" s="116"/>
      <c r="C471" s="111"/>
      <c r="D471" s="113"/>
      <c r="E471" s="111">
        <v>75350</v>
      </c>
      <c r="F471" s="113"/>
      <c r="G471" s="294">
        <v>0</v>
      </c>
      <c r="H471" s="283">
        <f t="shared" ref="H471:I471" si="113">H472</f>
        <v>2004257</v>
      </c>
      <c r="I471" s="294">
        <f t="shared" si="113"/>
        <v>2004257</v>
      </c>
    </row>
    <row r="472" spans="1:9" ht="63" x14ac:dyDescent="0.25">
      <c r="A472" s="851" t="str">
        <f>IF(B472&gt;0,VLOOKUP(B472,КВСР!A124:B1289,2),IF(C472&gt;0,VLOOKUP(C472,КФСР!A124:B1636,2),IF(D472&gt;0,VLOOKUP(D472,Программа!A$1:B$5112,2),IF(F472&gt;0,VLOOKUP(F472,КВР!A$1:B$5001,2),IF(E472&gt;0,VLOOKUP(E472,Направление!A$1:B$4791,2))))))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3"/>
      <c r="E472" s="111"/>
      <c r="F472" s="113">
        <v>200</v>
      </c>
      <c r="G472" s="294">
        <v>0</v>
      </c>
      <c r="H472" s="283">
        <v>2004257</v>
      </c>
      <c r="I472" s="119">
        <f>G472+H472</f>
        <v>2004257</v>
      </c>
    </row>
    <row r="473" spans="1:9" ht="47.25" hidden="1" x14ac:dyDescent="0.25">
      <c r="A473" s="851" t="str">
        <f>IF(B473&gt;0,VLOOKUP(B473,КВСР!A122:B1287,2),IF(C473&gt;0,VLOOKUP(C473,КФСР!A122:B1634,2),IF(D473&gt;0,VLOOKUP(D473,Программа!A$1:B$5112,2),IF(F473&gt;0,VLOOKUP(F473,КВР!A$1:B$5001,2),IF(E473&gt;0,VLOOKUP(E473,Направление!A$1:B$4791,2))))))</f>
        <v>Муниципальная программа "Социальная поддержка населения Тутаевского муниципального района"</v>
      </c>
      <c r="B473" s="116"/>
      <c r="C473" s="111"/>
      <c r="D473" s="112" t="s">
        <v>450</v>
      </c>
      <c r="E473" s="111"/>
      <c r="F473" s="113"/>
      <c r="G473" s="117">
        <v>0</v>
      </c>
      <c r="H473" s="283">
        <f>H474</f>
        <v>0</v>
      </c>
      <c r="I473" s="119">
        <f t="shared" si="97"/>
        <v>0</v>
      </c>
    </row>
    <row r="474" spans="1:9" ht="47.25" hidden="1" x14ac:dyDescent="0.25">
      <c r="A474" s="851" t="str">
        <f>IF(B474&gt;0,VLOOKUP(B474,КВСР!A123:B1288,2),IF(C474&gt;0,VLOOKUP(C474,КФСР!A123:B1635,2),IF(D474&gt;0,VLOOKUP(D474,Программа!A$1:B$5112,2),IF(F474&gt;0,VLOOKUP(F474,КВР!A$1:B$5001,2),IF(E474&gt;0,VLOOKUP(E474,Направление!A$1:B$4791,2))))))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4" s="116"/>
      <c r="C474" s="111"/>
      <c r="D474" s="112" t="s">
        <v>452</v>
      </c>
      <c r="E474" s="111"/>
      <c r="F474" s="113"/>
      <c r="G474" s="117">
        <v>0</v>
      </c>
      <c r="H474" s="283">
        <f>H475+H479</f>
        <v>0</v>
      </c>
      <c r="I474" s="119">
        <f t="shared" si="97"/>
        <v>0</v>
      </c>
    </row>
    <row r="475" spans="1:9" ht="63" hidden="1" x14ac:dyDescent="0.25">
      <c r="A475" s="851" t="str">
        <f>IF(B475&gt;0,VLOOKUP(B475,КВСР!A124:B1289,2),IF(C475&gt;0,VLOOKUP(C475,КФСР!A124:B1636,2),IF(D475&gt;0,VLOOKUP(D475,Программа!A$1:B$5112,2),IF(F475&gt;0,VLOOKUP(F475,КВР!A$1:B$5001,2),IF(E475&gt;0,VLOOKUP(E475,Направление!A$1:B$4791,2))))))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5" s="116"/>
      <c r="C475" s="111"/>
      <c r="D475" s="112" t="s">
        <v>453</v>
      </c>
      <c r="E475" s="111"/>
      <c r="F475" s="113"/>
      <c r="G475" s="117">
        <v>0</v>
      </c>
      <c r="H475" s="283">
        <f>H476</f>
        <v>0</v>
      </c>
      <c r="I475" s="119">
        <f t="shared" si="97"/>
        <v>0</v>
      </c>
    </row>
    <row r="476" spans="1:9" ht="31.5" hidden="1" x14ac:dyDescent="0.25">
      <c r="A476" s="851" t="str">
        <f>IF(B476&gt;0,VLOOKUP(B476,КВСР!A125:B1290,2),IF(C476&gt;0,VLOOKUP(C476,КФСР!A125:B1637,2),IF(D476&gt;0,VLOOKUP(D476,Программа!A$1:B$5112,2),IF(F476&gt;0,VLOOKUP(F476,КВР!A$1:B$5001,2),IF(E476&gt;0,VLOOKUP(E476,Направление!A$1:B$4791,2))))))</f>
        <v>Расходы на реализацию мероприятий по улучшению условий и охраны труда</v>
      </c>
      <c r="B476" s="116"/>
      <c r="C476" s="111"/>
      <c r="D476" s="112"/>
      <c r="E476" s="111">
        <v>16150</v>
      </c>
      <c r="F476" s="113"/>
      <c r="G476" s="117">
        <v>0</v>
      </c>
      <c r="H476" s="283">
        <f>H477+H478</f>
        <v>0</v>
      </c>
      <c r="I476" s="119">
        <f t="shared" si="97"/>
        <v>0</v>
      </c>
    </row>
    <row r="477" spans="1:9" ht="63" hidden="1" x14ac:dyDescent="0.25">
      <c r="A477" s="851" t="str">
        <f>IF(B477&gt;0,VLOOKUP(B477,КВСР!A126:B1291,2),IF(C477&gt;0,VLOOKUP(C477,КФСР!A126:B1638,2),IF(D477&gt;0,VLOOKUP(D477,Программа!A$1:B$5112,2),IF(F477&gt;0,VLOOKUP(F477,КВР!A$1:B$5001,2),IF(E477&gt;0,VLOOKUP(E477,Направление!A$1:B$4791,2))))))</f>
        <v xml:space="preserve">Закупка товаров, работ и услуг для обеспечения государственных (муниципальных) нужд
</v>
      </c>
      <c r="B477" s="116"/>
      <c r="C477" s="111"/>
      <c r="D477" s="112"/>
      <c r="E477" s="111"/>
      <c r="F477" s="113">
        <v>200</v>
      </c>
      <c r="G477" s="294">
        <v>0</v>
      </c>
      <c r="H477" s="283"/>
      <c r="I477" s="119">
        <f t="shared" si="97"/>
        <v>0</v>
      </c>
    </row>
    <row r="478" spans="1:9" ht="47.25" hidden="1" x14ac:dyDescent="0.25">
      <c r="A478" s="851" t="str">
        <f>IF(B478&gt;0,VLOOKUP(B478,КВСР!A127:B1292,2),IF(C478&gt;0,VLOOKUP(C478,КФСР!A127:B1639,2),IF(D478&gt;0,VLOOKUP(D478,Программа!A$1:B$5112,2),IF(F478&gt;0,VLOOKUP(F478,КВР!A$1:B$5001,2),IF(E478&gt;0,VLOOKUP(E478,Направление!A$1:B$4791,2))))))</f>
        <v>Предоставление субсидий бюджетным, автономным учреждениям и иным некоммерческим организациям</v>
      </c>
      <c r="B478" s="116"/>
      <c r="C478" s="111"/>
      <c r="D478" s="112"/>
      <c r="E478" s="111"/>
      <c r="F478" s="113">
        <v>600</v>
      </c>
      <c r="G478" s="294">
        <v>0</v>
      </c>
      <c r="H478" s="283"/>
      <c r="I478" s="119">
        <f t="shared" si="97"/>
        <v>0</v>
      </c>
    </row>
    <row r="479" spans="1:9" ht="47.25" hidden="1" x14ac:dyDescent="0.25">
      <c r="A479" s="851" t="str">
        <f>IF(B479&gt;0,VLOOKUP(B479,КВСР!A127:B1292,2),IF(C479&gt;0,VLOOKUP(C479,КФСР!A127:B1639,2),IF(D479&gt;0,VLOOKUP(D479,Программа!A$1:B$5112,2),IF(F479&gt;0,VLOOKUP(F479,КВР!A$1:B$5001,2),IF(E479&gt;0,VLOOKUP(E479,Направление!A$1:B$4791,2))))))</f>
        <v>Обучение по охране труда работников организаций Тутаевского муниципального района</v>
      </c>
      <c r="B479" s="116"/>
      <c r="C479" s="111"/>
      <c r="D479" s="112" t="s">
        <v>1116</v>
      </c>
      <c r="E479" s="111"/>
      <c r="F479" s="113"/>
      <c r="G479" s="294">
        <v>0</v>
      </c>
      <c r="H479" s="283">
        <f>H480</f>
        <v>0</v>
      </c>
      <c r="I479" s="119">
        <f t="shared" si="97"/>
        <v>0</v>
      </c>
    </row>
    <row r="480" spans="1:9" ht="31.5" hidden="1" x14ac:dyDescent="0.25">
      <c r="A480" s="851" t="str">
        <f>IF(B480&gt;0,VLOOKUP(B480,КВСР!A128:B1293,2),IF(C480&gt;0,VLOOKUP(C480,КФСР!A128:B1640,2),IF(D480&gt;0,VLOOKUP(D480,Программа!A$1:B$5112,2),IF(F480&gt;0,VLOOKUP(F480,КВР!A$1:B$5001,2),IF(E480&gt;0,VLOOKUP(E480,Направление!A$1:B$4791,2))))))</f>
        <v>Расходы на реализацию мероприятий по улучшению условий и охраны труда</v>
      </c>
      <c r="B480" s="116"/>
      <c r="C480" s="111"/>
      <c r="D480" s="112"/>
      <c r="E480" s="111">
        <v>16150</v>
      </c>
      <c r="F480" s="113"/>
      <c r="G480" s="294">
        <v>0</v>
      </c>
      <c r="H480" s="283">
        <f>H481</f>
        <v>0</v>
      </c>
      <c r="I480" s="119">
        <f t="shared" si="97"/>
        <v>0</v>
      </c>
    </row>
    <row r="481" spans="1:9" ht="63" hidden="1" x14ac:dyDescent="0.25">
      <c r="A481" s="851" t="str">
        <f>IF(B481&gt;0,VLOOKUP(B481,КВСР!A129:B1294,2),IF(C481&gt;0,VLOOKUP(C481,КФСР!A129:B1641,2),IF(D481&gt;0,VLOOKUP(D481,Программа!A$1:B$5112,2),IF(F481&gt;0,VLOOKUP(F481,КВР!A$1:B$5001,2),IF(E481&gt;0,VLOOKUP(E481,Направление!A$1:B$4791,2))))))</f>
        <v xml:space="preserve">Закупка товаров, работ и услуг для обеспечения государственных (муниципальных) нужд
</v>
      </c>
      <c r="B481" s="116"/>
      <c r="C481" s="111"/>
      <c r="D481" s="112"/>
      <c r="E481" s="111"/>
      <c r="F481" s="113">
        <v>200</v>
      </c>
      <c r="G481" s="294">
        <v>0</v>
      </c>
      <c r="H481" s="283"/>
      <c r="I481" s="119">
        <f t="shared" si="97"/>
        <v>0</v>
      </c>
    </row>
    <row r="482" spans="1:9" hidden="1" x14ac:dyDescent="0.25">
      <c r="A482" s="851" t="str">
        <f>IF(B482&gt;0,VLOOKUP(B482,КВСР!A125:B1290,2),IF(C482&gt;0,VLOOKUP(C482,КФСР!A125:B1637,2),IF(D482&gt;0,VLOOKUP(D482,Программа!A$1:B$5112,2),IF(F482&gt;0,VLOOKUP(F482,КВР!A$1:B$5001,2),IF(E482&gt;0,VLOOKUP(E482,Направление!A$1:B$4791,2))))))</f>
        <v>Непрограммные расходы бюджета</v>
      </c>
      <c r="B482" s="116"/>
      <c r="C482" s="111"/>
      <c r="D482" s="112" t="s">
        <v>383</v>
      </c>
      <c r="E482" s="111"/>
      <c r="F482" s="113"/>
      <c r="G482" s="119">
        <v>0</v>
      </c>
      <c r="H482" s="338">
        <f>H483</f>
        <v>0</v>
      </c>
      <c r="I482" s="119">
        <f t="shared" si="97"/>
        <v>0</v>
      </c>
    </row>
    <row r="483" spans="1:9" ht="47.25" hidden="1" x14ac:dyDescent="0.25">
      <c r="A483" s="851" t="str">
        <f>IF(B483&gt;0,VLOOKUP(B483,КВСР!A117:B1282,2),IF(C483&gt;0,VLOOKUP(C483,КФСР!A117:B1629,2),IF(D483&gt;0,VLOOKUP(D483,Программа!A$1:B$5112,2),IF(F483&gt;0,VLOOKUP(F483,КВР!A$1:B$5001,2),IF(E483&gt;0,VLOOKUP(E483,Направление!A$1:B$4791,2))))))</f>
        <v>Исполнение судебных актов, актов других органов и должностных лиц, иных документов</v>
      </c>
      <c r="B483" s="116"/>
      <c r="C483" s="111"/>
      <c r="D483" s="112"/>
      <c r="E483" s="111">
        <v>12130</v>
      </c>
      <c r="F483" s="113"/>
      <c r="G483" s="276">
        <v>0</v>
      </c>
      <c r="H483" s="338">
        <f>H484</f>
        <v>0</v>
      </c>
      <c r="I483" s="119">
        <f t="shared" si="97"/>
        <v>0</v>
      </c>
    </row>
    <row r="484" spans="1:9" ht="47.25" hidden="1" x14ac:dyDescent="0.25">
      <c r="A484" s="851" t="str">
        <f>IF(B484&gt;0,VLOOKUP(B484,КВСР!A118:B1283,2),IF(C484&gt;0,VLOOKUP(C484,КФСР!A118:B1630,2),IF(D484&gt;0,VLOOKUP(D484,Программа!A$1:B$5112,2),IF(F484&gt;0,VLOOKUP(F484,КВР!A$1:B$5001,2),IF(E484&gt;0,VLOOKUP(E484,Направление!A$1:B$4791,2))))))</f>
        <v>Предоставление субсидий бюджетным, автономным учреждениям и иным некоммерческим организациям</v>
      </c>
      <c r="B484" s="116"/>
      <c r="C484" s="111"/>
      <c r="D484" s="113"/>
      <c r="E484" s="111"/>
      <c r="F484" s="113">
        <v>600</v>
      </c>
      <c r="G484" s="276">
        <v>0</v>
      </c>
      <c r="H484" s="338"/>
      <c r="I484" s="119">
        <f t="shared" si="97"/>
        <v>0</v>
      </c>
    </row>
    <row r="485" spans="1:9" x14ac:dyDescent="0.25">
      <c r="A485" s="851" t="str">
        <f>IF(B485&gt;0,VLOOKUP(B485,КВСР!A120:B1285,2),IF(C485&gt;0,VLOOKUP(C485,КФСР!A120:B1632,2),IF(D485&gt;0,VLOOKUP(D485,Программа!A$1:B$5112,2),IF(F485&gt;0,VLOOKUP(F485,КВР!A$1:B$5001,2),IF(E485&gt;0,VLOOKUP(E485,Направление!A$1:B$4791,2))))))</f>
        <v>Общее образование</v>
      </c>
      <c r="B485" s="116"/>
      <c r="C485" s="111">
        <v>702</v>
      </c>
      <c r="D485" s="112"/>
      <c r="E485" s="111"/>
      <c r="F485" s="113"/>
      <c r="G485" s="119">
        <v>513907871</v>
      </c>
      <c r="H485" s="338">
        <f>H486+H513</f>
        <v>2985377</v>
      </c>
      <c r="I485" s="119">
        <f t="shared" si="97"/>
        <v>516893248</v>
      </c>
    </row>
    <row r="486" spans="1:9" ht="63" x14ac:dyDescent="0.25">
      <c r="A486" s="851" t="str">
        <f>IF(B486&gt;0,VLOOKUP(B486,КВСР!A121:B1286,2),IF(C486&gt;0,VLOOKUP(C486,КФСР!A121:B1633,2),IF(D486&gt;0,VLOOKUP(D486,Программа!A$1:B$5112,2),IF(F486&gt;0,VLOOKUP(F486,КВР!A$1:B$5001,2),IF(E486&gt;0,VLOOKUP(E486,Направление!A$1:B$4791,2))))))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6" s="116"/>
      <c r="C486" s="111"/>
      <c r="D486" s="112" t="s">
        <v>441</v>
      </c>
      <c r="E486" s="111"/>
      <c r="F486" s="113"/>
      <c r="G486" s="119">
        <v>513907871</v>
      </c>
      <c r="H486" s="338">
        <f>H487+H509</f>
        <v>2985377</v>
      </c>
      <c r="I486" s="119">
        <f t="shared" si="97"/>
        <v>516893248</v>
      </c>
    </row>
    <row r="487" spans="1:9" ht="63" x14ac:dyDescent="0.25">
      <c r="A487" s="851" t="str">
        <f>IF(B487&gt;0,VLOOKUP(B487,КВСР!A122:B1287,2),IF(C487&gt;0,VLOOKUP(C487,КФСР!A122:B1634,2),IF(D487&gt;0,VLOOKUP(D487,Программа!A$1:B$5112,2),IF(F487&gt;0,VLOOKUP(F487,КВР!A$1:B$5001,2),IF(E487&gt;0,VLOOKUP(E487,Направление!A$1:B$4791,2))))))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7" s="116"/>
      <c r="C487" s="111"/>
      <c r="D487" s="112" t="s">
        <v>443</v>
      </c>
      <c r="E487" s="111"/>
      <c r="F487" s="113"/>
      <c r="G487" s="119">
        <v>513907871</v>
      </c>
      <c r="H487" s="338">
        <f>H488+H506+H503</f>
        <v>2985377</v>
      </c>
      <c r="I487" s="276">
        <f>I488+I506+I503</f>
        <v>516893248</v>
      </c>
    </row>
    <row r="488" spans="1:9" ht="47.25" x14ac:dyDescent="0.25">
      <c r="A488" s="851" t="str">
        <f>IF(B488&gt;0,VLOOKUP(B488,КВСР!A123:B1288,2),IF(C488&gt;0,VLOOKUP(C488,КФСР!A123:B1635,2),IF(D488&gt;0,VLOOKUP(D488,Программа!A$1:B$5112,2),IF(F488&gt;0,VLOOKUP(F488,КВР!A$1:B$5001,2),IF(E488&gt;0,VLOOKUP(E488,Направление!A$1:B$4791,2))))))</f>
        <v>Обеспечение качества и доступности образовательных услуг в сфере общего образования</v>
      </c>
      <c r="B488" s="116"/>
      <c r="C488" s="111"/>
      <c r="D488" s="112" t="s">
        <v>483</v>
      </c>
      <c r="E488" s="111"/>
      <c r="F488" s="113"/>
      <c r="G488" s="119">
        <v>511257871</v>
      </c>
      <c r="H488" s="338">
        <f>H489+H491+H493+H495+H497+H499+H501</f>
        <v>2985377</v>
      </c>
      <c r="I488" s="276">
        <f>I489+I491+I493+I495+I497+I499+I501</f>
        <v>514243248</v>
      </c>
    </row>
    <row r="489" spans="1:9" ht="31.5" x14ac:dyDescent="0.25">
      <c r="A489" s="851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IF(B489&gt;0,VLOOKUP(B489,КВСР!A123:B1288,2),IF(C489&gt;0,VLOOKUP(C489,КФСР!A123:B1635,2),IF(D489&gt;0,VLOOKUP(D489,Программа!A$1:B$5112,2),IF(F489&gt;0,VLOOKUP(F489,КВР!A$1:B$5001,2),IF(E489&gt;0,VLOOKUP(E489,Направление!A$1:B$4791,2))))))</f>
        <v>Обеспечение деятельности общеобразовательных учреждений</v>
      </c>
      <c r="B489" s="116"/>
      <c r="C489" s="111"/>
      <c r="D489" s="112"/>
      <c r="E489" s="111">
        <v>13110</v>
      </c>
      <c r="F489" s="113"/>
      <c r="G489" s="117">
        <v>80702195</v>
      </c>
      <c r="H489" s="283">
        <f>H490</f>
        <v>481275</v>
      </c>
      <c r="I489" s="119">
        <f t="shared" si="97"/>
        <v>81183470</v>
      </c>
    </row>
    <row r="490" spans="1:9" ht="47.25" x14ac:dyDescent="0.25">
      <c r="A490" s="851" t="str">
        <f>IF(B490&gt;0,VLOOKUP(B490,КВСР!A124:B1289,2),IF(C490&gt;0,VLOOKUP(C490,КФСР!A124:B1636,2),IF(D490&gt;0,VLOOKUP(D490,Программа!A$1:B$5112,2),IF(F490&gt;0,VLOOKUP(F490,КВР!A$1:B$5001,2),IF(E490&gt;0,VLOOKUP(E490,Направление!A$1:B$4791,2))))))</f>
        <v>Предоставление субсидий бюджетным, автономным учреждениям и иным некоммерческим организациям</v>
      </c>
      <c r="B490" s="116"/>
      <c r="C490" s="111"/>
      <c r="D490" s="113"/>
      <c r="E490" s="111"/>
      <c r="F490" s="113">
        <v>600</v>
      </c>
      <c r="G490" s="294">
        <v>80702195</v>
      </c>
      <c r="H490" s="283">
        <v>481275</v>
      </c>
      <c r="I490" s="119">
        <f t="shared" si="97"/>
        <v>81183470</v>
      </c>
    </row>
    <row r="491" spans="1:9" ht="47.25" x14ac:dyDescent="0.25">
      <c r="A491" s="851" t="str">
        <f>IF(B491&gt;0,VLOOKUP(B491,КВСР!A125:B1290,2),IF(C491&gt;0,VLOOKUP(C491,КФСР!A125:B1637,2),IF(D491&gt;0,VLOOKUP(D491,Программа!A$1:B$5112,2),IF(F491&gt;0,VLOOKUP(F491,КВР!A$1:B$5001,2),IF(E491&gt;0,VLOOKUP(E491,Направление!A$1:B$4791,2))))))</f>
        <v>Расходы на реализацию мероприятий инициативного бюджетирования на территории Ярославской области</v>
      </c>
      <c r="B491" s="116"/>
      <c r="C491" s="111"/>
      <c r="D491" s="112"/>
      <c r="E491" s="111">
        <v>15350</v>
      </c>
      <c r="F491" s="113"/>
      <c r="G491" s="119">
        <v>341469</v>
      </c>
      <c r="H491" s="338">
        <f>H492</f>
        <v>0</v>
      </c>
      <c r="I491" s="119">
        <f t="shared" si="97"/>
        <v>341469</v>
      </c>
    </row>
    <row r="492" spans="1:9" ht="47.25" x14ac:dyDescent="0.25">
      <c r="A492" s="851" t="str">
        <f>IF(B492&gt;0,VLOOKUP(B492,КВСР!A126:B1291,2),IF(C492&gt;0,VLOOKUP(C492,КФСР!A126:B1638,2),IF(D492&gt;0,VLOOKUP(D492,Программа!A$1:B$5112,2),IF(F492&gt;0,VLOOKUP(F492,КВР!A$1:B$5001,2),IF(E492&gt;0,VLOOKUP(E492,Направление!A$1:B$4791,2))))))</f>
        <v>Предоставление субсидий бюджетным, автономным учреждениям и иным некоммерческим организациям</v>
      </c>
      <c r="B492" s="122"/>
      <c r="C492" s="123"/>
      <c r="D492" s="124"/>
      <c r="E492" s="123"/>
      <c r="F492" s="124">
        <v>600</v>
      </c>
      <c r="G492" s="276">
        <v>341469</v>
      </c>
      <c r="H492" s="338"/>
      <c r="I492" s="119">
        <f t="shared" si="97"/>
        <v>341469</v>
      </c>
    </row>
    <row r="493" spans="1:9" ht="78.75" x14ac:dyDescent="0.25">
      <c r="A493" s="851" t="str">
        <f>IF(B493&gt;0,VLOOKUP(B493,КВСР!A129:B1294,2),IF(C493&gt;0,VLOOKUP(C493,КФСР!A129:B1641,2),IF(D493&gt;0,VLOOKUP(D493,Программа!A$1:B$5112,2),IF(F493&gt;0,VLOOKUP(F493,КВР!A$1:B$5001,2),IF(E493&gt;0,VLOOKUP(E493,Направление!A$1:B$4791,2))))))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93" s="122"/>
      <c r="C493" s="123"/>
      <c r="D493" s="125"/>
      <c r="E493" s="123">
        <v>53031</v>
      </c>
      <c r="F493" s="124"/>
      <c r="G493" s="119">
        <v>23438829</v>
      </c>
      <c r="H493" s="338">
        <f>H494</f>
        <v>0</v>
      </c>
      <c r="I493" s="119">
        <f t="shared" si="97"/>
        <v>23438829</v>
      </c>
    </row>
    <row r="494" spans="1:9" ht="47.25" x14ac:dyDescent="0.25">
      <c r="A494" s="851" t="str">
        <f>IF(B494&gt;0,VLOOKUP(B494,КВСР!A130:B1295,2),IF(C494&gt;0,VLOOKUP(C494,КФСР!A130:B1642,2),IF(D494&gt;0,VLOOKUP(D494,Программа!A$1:B$5112,2),IF(F494&gt;0,VLOOKUP(F494,КВР!A$1:B$5001,2),IF(E494&gt;0,VLOOKUP(E494,Направление!A$1:B$4791,2))))))</f>
        <v>Предоставление субсидий бюджетным, автономным учреждениям и иным некоммерческим организациям</v>
      </c>
      <c r="B494" s="122"/>
      <c r="C494" s="123"/>
      <c r="D494" s="124"/>
      <c r="E494" s="123"/>
      <c r="F494" s="113">
        <v>600</v>
      </c>
      <c r="G494" s="294">
        <v>23438829</v>
      </c>
      <c r="H494" s="283"/>
      <c r="I494" s="119">
        <f t="shared" si="97"/>
        <v>23438829</v>
      </c>
    </row>
    <row r="495" spans="1:9" ht="47.25" x14ac:dyDescent="0.25">
      <c r="A495" s="851" t="str">
        <f>IF(B495&gt;0,VLOOKUP(B495,КВСР!A131:B1296,2),IF(C495&gt;0,VLOOKUP(C495,КФСР!A131:B1643,2),IF(D495&gt;0,VLOOKUP(D495,Программа!A$1:B$5112,2),IF(F495&gt;0,VLOOKUP(F495,КВР!A$1:B$5001,2),IF(E495&gt;0,VLOOKUP(E495,Направление!A$1:B$4791,2))))))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5" s="122"/>
      <c r="C495" s="123"/>
      <c r="D495" s="125"/>
      <c r="E495" s="123">
        <v>70520</v>
      </c>
      <c r="F495" s="113"/>
      <c r="G495" s="119">
        <v>358808347</v>
      </c>
      <c r="H495" s="338">
        <f>H496</f>
        <v>0</v>
      </c>
      <c r="I495" s="119">
        <f t="shared" si="97"/>
        <v>358808347</v>
      </c>
    </row>
    <row r="496" spans="1:9" ht="47.25" x14ac:dyDescent="0.25">
      <c r="A496" s="851" t="str">
        <f>IF(B496&gt;0,VLOOKUP(B496,КВСР!A132:B1297,2),IF(C496&gt;0,VLOOKUP(C496,КФСР!A132:B1644,2),IF(D496&gt;0,VLOOKUP(D496,Программа!A$1:B$5112,2),IF(F496&gt;0,VLOOKUP(F496,КВР!A$1:B$5001,2),IF(E496&gt;0,VLOOKUP(E496,Направление!A$1:B$4791,2))))))</f>
        <v>Предоставление субсидий бюджетным, автономным учреждениям и иным некоммерческим организациям</v>
      </c>
      <c r="B496" s="122"/>
      <c r="C496" s="123"/>
      <c r="D496" s="124"/>
      <c r="E496" s="123"/>
      <c r="F496" s="113">
        <v>600</v>
      </c>
      <c r="G496" s="276">
        <v>358808347</v>
      </c>
      <c r="H496" s="338"/>
      <c r="I496" s="119">
        <f t="shared" si="97"/>
        <v>358808347</v>
      </c>
    </row>
    <row r="497" spans="1:9" ht="63" x14ac:dyDescent="0.25">
      <c r="A497" s="851" t="str">
        <f>IF(B497&gt;0,VLOOKUP(B497,КВСР!A133:B1298,2),IF(C497&gt;0,VLOOKUP(C497,КФСР!A133:B1645,2),IF(D497&gt;0,VLOOKUP(D497,Программа!A$1:B$5112,2),IF(F497&gt;0,VLOOKUP(F497,КВР!A$1:B$5001,2),IF(E497&gt;0,VLOOKUP(E497,Направление!A$1:B$4791,2))))))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7" s="122"/>
      <c r="C497" s="123"/>
      <c r="D497" s="124"/>
      <c r="E497" s="123">
        <v>70530</v>
      </c>
      <c r="F497" s="113"/>
      <c r="G497" s="119">
        <v>18445281</v>
      </c>
      <c r="H497" s="338">
        <f>H498</f>
        <v>0</v>
      </c>
      <c r="I497" s="119">
        <f t="shared" si="97"/>
        <v>18445281</v>
      </c>
    </row>
    <row r="498" spans="1:9" ht="47.25" x14ac:dyDescent="0.25">
      <c r="A498" s="851" t="str">
        <f>IF(B498&gt;0,VLOOKUP(B498,КВСР!A134:B1299,2),IF(C498&gt;0,VLOOKUP(C498,КФСР!A134:B1646,2),IF(D498&gt;0,VLOOKUP(D498,Программа!A$1:B$5112,2),IF(F498&gt;0,VLOOKUP(F498,КВР!A$1:B$5001,2),IF(E498&gt;0,VLOOKUP(E498,Направление!A$1:B$4791,2))))))</f>
        <v>Предоставление субсидий бюджетным, автономным учреждениям и иным некоммерческим организациям</v>
      </c>
      <c r="B498" s="122"/>
      <c r="C498" s="123"/>
      <c r="D498" s="124"/>
      <c r="E498" s="123"/>
      <c r="F498" s="113">
        <v>600</v>
      </c>
      <c r="G498" s="276">
        <v>18445281</v>
      </c>
      <c r="H498" s="338"/>
      <c r="I498" s="119">
        <f t="shared" si="97"/>
        <v>18445281</v>
      </c>
    </row>
    <row r="499" spans="1:9" ht="47.25" x14ac:dyDescent="0.25">
      <c r="A499" s="851" t="str">
        <f>IF(B499&gt;0,VLOOKUP(B499,КВСР!A135:B1300,2),IF(C499&gt;0,VLOOKUP(C499,КФСР!A135:B1647,2),IF(D499&gt;0,VLOOKUP(D499,Программа!A$1:B$5112,2),IF(F499&gt;0,VLOOKUP(F499,КВР!A$1:B$5001,2),IF(E499&gt;0,VLOOKUP(E499,Направление!A$1:B$4791,2))))))</f>
        <v>Расходы на реализацию мероприятий инициативного бюджетирования на территории Ярославской области</v>
      </c>
      <c r="B499" s="122"/>
      <c r="C499" s="123"/>
      <c r="D499" s="124"/>
      <c r="E499" s="123">
        <v>75350</v>
      </c>
      <c r="F499" s="113"/>
      <c r="G499" s="276">
        <v>1000000</v>
      </c>
      <c r="H499" s="338">
        <f t="shared" ref="H499:I499" si="114">H500</f>
        <v>2504102</v>
      </c>
      <c r="I499" s="276">
        <f t="shared" si="114"/>
        <v>3504102</v>
      </c>
    </row>
    <row r="500" spans="1:9" ht="47.25" x14ac:dyDescent="0.25">
      <c r="A500" s="851" t="str">
        <f>IF(B500&gt;0,VLOOKUP(B500,КВСР!A136:B1301,2),IF(C500&gt;0,VLOOKUP(C500,КФСР!A136:B1648,2),IF(D500&gt;0,VLOOKUP(D500,Программа!A$1:B$5112,2),IF(F500&gt;0,VLOOKUP(F500,КВР!A$1:B$5001,2),IF(E500&gt;0,VLOOKUP(E500,Направление!A$1:B$4791,2))))))</f>
        <v>Предоставление субсидий бюджетным, автономным учреждениям и иным некоммерческим организациям</v>
      </c>
      <c r="B500" s="122"/>
      <c r="C500" s="123"/>
      <c r="D500" s="124"/>
      <c r="E500" s="123"/>
      <c r="F500" s="113">
        <v>600</v>
      </c>
      <c r="G500" s="276">
        <v>1000000</v>
      </c>
      <c r="H500" s="338">
        <v>2504102</v>
      </c>
      <c r="I500" s="119">
        <f>G500+H500</f>
        <v>3504102</v>
      </c>
    </row>
    <row r="501" spans="1:9" ht="78.75" x14ac:dyDescent="0.25">
      <c r="A501" s="851" t="str">
        <f>IF(B501&gt;0,VLOOKUP(B501,КВСР!A137:B1302,2),IF(C501&gt;0,VLOOKUP(C501,КФСР!A137:B1649,2),IF(D501&gt;0,VLOOKUP(D501,Программа!A$1:B$5112,2),IF(F501&gt;0,VLOOKUP(F501,КВР!A$1:B$5001,2),IF(E501&gt;0,VLOOKUP(E501,Направление!A$1:B$4791,2))))))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01" s="122"/>
      <c r="C501" s="123"/>
      <c r="D501" s="124"/>
      <c r="E501" s="123" t="s">
        <v>1788</v>
      </c>
      <c r="F501" s="113"/>
      <c r="G501" s="276">
        <v>28521750</v>
      </c>
      <c r="H501" s="338">
        <f t="shared" ref="H501:I501" si="115">H502</f>
        <v>0</v>
      </c>
      <c r="I501" s="276">
        <f t="shared" si="115"/>
        <v>28521750</v>
      </c>
    </row>
    <row r="502" spans="1:9" ht="47.25" x14ac:dyDescent="0.25">
      <c r="A502" s="851" t="str">
        <f>IF(B502&gt;0,VLOOKUP(B502,КВСР!A138:B1303,2),IF(C502&gt;0,VLOOKUP(C502,КФСР!A138:B1650,2),IF(D502&gt;0,VLOOKUP(D502,Программа!A$1:B$5112,2),IF(F502&gt;0,VLOOKUP(F502,КВР!A$1:B$5001,2),IF(E502&gt;0,VLOOKUP(E502,Направление!A$1:B$4791,2))))))</f>
        <v>Предоставление субсидий бюджетным, автономным учреждениям и иным некоммерческим организациям</v>
      </c>
      <c r="B502" s="122"/>
      <c r="C502" s="123"/>
      <c r="D502" s="124"/>
      <c r="E502" s="123"/>
      <c r="F502" s="113">
        <v>600</v>
      </c>
      <c r="G502" s="276">
        <v>28521750</v>
      </c>
      <c r="H502" s="338"/>
      <c r="I502" s="119">
        <f>G502+H502</f>
        <v>28521750</v>
      </c>
    </row>
    <row r="503" spans="1:9" ht="31.5" x14ac:dyDescent="0.25">
      <c r="A503" s="851" t="str">
        <f>IF(B503&gt;0,VLOOKUP(B503,КВСР!A137:B1302,2),IF(C503&gt;0,VLOOKUP(C503,КФСР!A137:B1649,2),IF(D503&gt;0,VLOOKUP(D503,Программа!A$1:B$5112,2),IF(F503&gt;0,VLOOKUP(F503,КВР!A$1:B$5001,2),IF(E503&gt;0,VLOOKUP(E503,Направление!A$1:B$4791,2))))))</f>
        <v>Региональный проект "Современная школа"</v>
      </c>
      <c r="B503" s="122"/>
      <c r="C503" s="123"/>
      <c r="D503" s="112" t="s">
        <v>1942</v>
      </c>
      <c r="E503" s="123"/>
      <c r="F503" s="113"/>
      <c r="G503" s="276">
        <v>2650000</v>
      </c>
      <c r="H503" s="338">
        <f t="shared" ref="H503:I504" si="116">H504</f>
        <v>0</v>
      </c>
      <c r="I503" s="276">
        <f t="shared" si="116"/>
        <v>2650000</v>
      </c>
    </row>
    <row r="504" spans="1:9" ht="78.75" x14ac:dyDescent="0.25">
      <c r="A504" s="851" t="str">
        <f>IF(B504&gt;0,VLOOKUP(B504,КВСР!A138:B1303,2),IF(C504&gt;0,VLOOKUP(C504,КФСР!A138:B1650,2),IF(D504&gt;0,VLOOKUP(D504,Программа!A$1:B$5112,2),IF(F504&gt;0,VLOOKUP(F504,КВР!A$1:B$5001,2),IF(E504&gt;0,VLOOKUP(E504,Направление!A$1:B$4791,2))))))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4" s="122"/>
      <c r="C504" s="123"/>
      <c r="D504" s="124"/>
      <c r="E504" s="123">
        <v>71690</v>
      </c>
      <c r="F504" s="113"/>
      <c r="G504" s="276">
        <v>2650000</v>
      </c>
      <c r="H504" s="338">
        <f t="shared" si="116"/>
        <v>0</v>
      </c>
      <c r="I504" s="276">
        <f t="shared" si="116"/>
        <v>2650000</v>
      </c>
    </row>
    <row r="505" spans="1:9" ht="47.25" x14ac:dyDescent="0.25">
      <c r="A505" s="851" t="str">
        <f>IF(B505&gt;0,VLOOKUP(B505,КВСР!A139:B1304,2),IF(C505&gt;0,VLOOKUP(C505,КФСР!A139:B1651,2),IF(D505&gt;0,VLOOKUP(D505,Программа!A$1:B$5112,2),IF(F505&gt;0,VLOOKUP(F505,КВР!A$1:B$5001,2),IF(E505&gt;0,VLOOKUP(E505,Направление!A$1:B$4791,2))))))</f>
        <v>Предоставление субсидий бюджетным, автономным учреждениям и иным некоммерческим организациям</v>
      </c>
      <c r="B505" s="122"/>
      <c r="C505" s="123"/>
      <c r="D505" s="124"/>
      <c r="E505" s="123"/>
      <c r="F505" s="113">
        <v>600</v>
      </c>
      <c r="G505" s="276">
        <v>2650000</v>
      </c>
      <c r="H505" s="338"/>
      <c r="I505" s="119">
        <f>G505+H505</f>
        <v>2650000</v>
      </c>
    </row>
    <row r="506" spans="1:9" ht="31.5" hidden="1" x14ac:dyDescent="0.25">
      <c r="A506" s="851" t="str">
        <f>IF(B506&gt;0,VLOOKUP(B506,КВСР!A137:B1302,2),IF(C506&gt;0,VLOOKUP(C506,КФСР!A137:B1649,2),IF(D506&gt;0,VLOOKUP(D506,Программа!A$1:B$5112,2),IF(F506&gt;0,VLOOKUP(F506,КВР!A$1:B$5001,2),IF(E506&gt;0,VLOOKUP(E506,Направление!A$1:B$4791,2))))))</f>
        <v>Региональный проект "Успех каждого ребенка"</v>
      </c>
      <c r="B506" s="122"/>
      <c r="C506" s="123"/>
      <c r="D506" s="124" t="s">
        <v>1675</v>
      </c>
      <c r="E506" s="123"/>
      <c r="F506" s="113"/>
      <c r="G506" s="276">
        <v>0</v>
      </c>
      <c r="H506" s="338">
        <f>H507</f>
        <v>0</v>
      </c>
      <c r="I506" s="276">
        <f>I507</f>
        <v>0</v>
      </c>
    </row>
    <row r="507" spans="1:9" ht="78.75" hidden="1" x14ac:dyDescent="0.25">
      <c r="A507" s="851" t="str">
        <f>IF(B507&gt;0,VLOOKUP(B507,КВСР!A138:B1303,2),IF(C507&gt;0,VLOOKUP(C507,КФСР!A138:B1650,2),IF(D507&gt;0,VLOOKUP(D507,Программа!A$1:B$5112,2),IF(F507&gt;0,VLOOKUP(F507,КВР!A$1:B$5001,2),IF(E507&gt;0,VLOOKUP(E507,Направление!A$1:B$4791,2))))))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7" s="122"/>
      <c r="C507" s="123"/>
      <c r="D507" s="124"/>
      <c r="E507" s="123">
        <v>50970</v>
      </c>
      <c r="F507" s="113"/>
      <c r="G507" s="276">
        <v>0</v>
      </c>
      <c r="H507" s="338">
        <f>H508</f>
        <v>0</v>
      </c>
      <c r="I507" s="276">
        <f>I508</f>
        <v>0</v>
      </c>
    </row>
    <row r="508" spans="1:9" ht="47.25" hidden="1" x14ac:dyDescent="0.25">
      <c r="A508" s="851" t="str">
        <f>IF(B508&gt;0,VLOOKUP(B508,КВСР!A139:B1304,2),IF(C508&gt;0,VLOOKUP(C508,КФСР!A139:B1651,2),IF(D508&gt;0,VLOOKUP(D508,Программа!A$1:B$5112,2),IF(F508&gt;0,VLOOKUP(F508,КВР!A$1:B$5001,2),IF(E508&gt;0,VLOOKUP(E508,Направление!A$1:B$4791,2))))))</f>
        <v>Предоставление субсидий бюджетным, автономным учреждениям и иным некоммерческим организациям</v>
      </c>
      <c r="B508" s="122"/>
      <c r="C508" s="123"/>
      <c r="D508" s="124"/>
      <c r="E508" s="123"/>
      <c r="F508" s="113">
        <v>600</v>
      </c>
      <c r="G508" s="276">
        <v>0</v>
      </c>
      <c r="H508" s="338"/>
      <c r="I508" s="119">
        <f>G508+H508</f>
        <v>0</v>
      </c>
    </row>
    <row r="509" spans="1:9" ht="47.25" hidden="1" x14ac:dyDescent="0.25">
      <c r="A509" s="851" t="str">
        <f>IF(B509&gt;0,VLOOKUP(B509,КВСР!A143:B1308,2),IF(C509&gt;0,VLOOKUP(C509,КФСР!A143:B1655,2),IF(D509&gt;0,VLOOKUP(D509,Программа!A$1:B$5112,2),IF(F509&gt;0,VLOOKUP(F509,КВР!A$1:B$5001,2),IF(E509&gt;0,VLOOKUP(E509,Направление!A$1:B$4791,2))))))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09" s="122"/>
      <c r="C509" s="123"/>
      <c r="D509" s="125" t="s">
        <v>460</v>
      </c>
      <c r="E509" s="123"/>
      <c r="F509" s="124"/>
      <c r="G509" s="276">
        <v>0</v>
      </c>
      <c r="H509" s="338">
        <f>H511</f>
        <v>0</v>
      </c>
      <c r="I509" s="119">
        <f t="shared" si="97"/>
        <v>0</v>
      </c>
    </row>
    <row r="510" spans="1:9" ht="47.25" hidden="1" x14ac:dyDescent="0.25">
      <c r="A510" s="851" t="str">
        <f>IF(B510&gt;0,VLOOKUP(B510,КВСР!A144:B1309,2),IF(C510&gt;0,VLOOKUP(C510,КФСР!A144:B1656,2),IF(D510&gt;0,VLOOKUP(D510,Программа!A$1:B$5112,2),IF(F510&gt;0,VLOOKUP(F510,КВР!A$1:B$5001,2),IF(E510&gt;0,VLOOKUP(E510,Направление!A$1:B$4791,2))))))</f>
        <v>Строительство и реконструкция спортивных сооружений и укрепление материальной базы</v>
      </c>
      <c r="B510" s="122"/>
      <c r="C510" s="123"/>
      <c r="D510" s="125" t="s">
        <v>461</v>
      </c>
      <c r="E510" s="123"/>
      <c r="F510" s="124"/>
      <c r="G510" s="276">
        <v>0</v>
      </c>
      <c r="H510" s="338">
        <f>H511</f>
        <v>0</v>
      </c>
      <c r="I510" s="119">
        <f t="shared" si="97"/>
        <v>0</v>
      </c>
    </row>
    <row r="511" spans="1:9" ht="31.5" hidden="1" x14ac:dyDescent="0.25">
      <c r="A511" s="851" t="str">
        <f>IF(B511&gt;0,VLOOKUP(B511,КВСР!A144:B1309,2),IF(C511&gt;0,VLOOKUP(C511,КФСР!A144:B1656,2),IF(D511&gt;0,VLOOKUP(D511,Программа!A$1:B$5112,2),IF(F511&gt;0,VLOOKUP(F511,КВР!A$1:B$5001,2),IF(E511&gt;0,VLOOKUP(E511,Направление!A$1:B$4791,2))))))</f>
        <v>Обеспечение деятельности учреждений дополнительного образования</v>
      </c>
      <c r="B511" s="122"/>
      <c r="C511" s="123"/>
      <c r="D511" s="125"/>
      <c r="E511" s="123">
        <v>13210</v>
      </c>
      <c r="F511" s="124"/>
      <c r="G511" s="276">
        <v>0</v>
      </c>
      <c r="H511" s="338">
        <f>H512</f>
        <v>0</v>
      </c>
      <c r="I511" s="119">
        <f t="shared" si="97"/>
        <v>0</v>
      </c>
    </row>
    <row r="512" spans="1:9" ht="47.25" hidden="1" x14ac:dyDescent="0.25">
      <c r="A512" s="851" t="str">
        <f>IF(B512&gt;0,VLOOKUP(B512,КВСР!A145:B1310,2),IF(C512&gt;0,VLOOKUP(C512,КФСР!A145:B1657,2),IF(D512&gt;0,VLOOKUP(D512,Программа!A$1:B$5112,2),IF(F512&gt;0,VLOOKUP(F512,КВР!A$1:B$5001,2),IF(E512&gt;0,VLOOKUP(E512,Направление!A$1:B$4791,2))))))</f>
        <v>Предоставление субсидий бюджетным, автономным учреждениям и иным некоммерческим организациям</v>
      </c>
      <c r="B512" s="122"/>
      <c r="C512" s="123"/>
      <c r="D512" s="124"/>
      <c r="E512" s="123"/>
      <c r="F512" s="124">
        <v>600</v>
      </c>
      <c r="G512" s="294">
        <v>0</v>
      </c>
      <c r="H512" s="283"/>
      <c r="I512" s="119">
        <f t="shared" si="97"/>
        <v>0</v>
      </c>
    </row>
    <row r="513" spans="1:9" ht="47.25" hidden="1" x14ac:dyDescent="0.25">
      <c r="A513" s="851" t="str">
        <f>IF(B513&gt;0,VLOOKUP(B513,КВСР!A148:B1313,2),IF(C513&gt;0,VLOOKUP(C513,КФСР!A148:B1660,2),IF(D513&gt;0,VLOOKUP(D513,Программа!A$1:B$5112,2),IF(F513&gt;0,VLOOKUP(F513,КВР!A$1:B$5001,2),IF(E513&gt;0,VLOOKUP(E513,Направление!A$1:B$4791,2))))))</f>
        <v>Муниципальная программа "Социальная поддержка населения Тутаевского муниципального района"</v>
      </c>
      <c r="B513" s="122"/>
      <c r="C513" s="123"/>
      <c r="D513" s="125" t="s">
        <v>450</v>
      </c>
      <c r="E513" s="123"/>
      <c r="F513" s="124"/>
      <c r="G513" s="117">
        <v>0</v>
      </c>
      <c r="H513" s="283">
        <f>H514</f>
        <v>0</v>
      </c>
      <c r="I513" s="119">
        <f t="shared" si="97"/>
        <v>0</v>
      </c>
    </row>
    <row r="514" spans="1:9" ht="47.25" hidden="1" x14ac:dyDescent="0.25">
      <c r="A514" s="851" t="str">
        <f>IF(B514&gt;0,VLOOKUP(B514,КВСР!A149:B1314,2),IF(C514&gt;0,VLOOKUP(C514,КФСР!A149:B1661,2),IF(D514&gt;0,VLOOKUP(D514,Программа!A$1:B$5112,2),IF(F514&gt;0,VLOOKUP(F514,КВР!A$1:B$5001,2),IF(E514&gt;0,VLOOKUP(E514,Направление!A$1:B$4791,2))))))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4" s="122"/>
      <c r="C514" s="123"/>
      <c r="D514" s="125" t="s">
        <v>452</v>
      </c>
      <c r="E514" s="123"/>
      <c r="F514" s="124"/>
      <c r="G514" s="117">
        <v>0</v>
      </c>
      <c r="H514" s="283">
        <f>H515+H518</f>
        <v>0</v>
      </c>
      <c r="I514" s="119">
        <f t="shared" si="97"/>
        <v>0</v>
      </c>
    </row>
    <row r="515" spans="1:9" ht="63" hidden="1" x14ac:dyDescent="0.25">
      <c r="A515" s="851" t="str">
        <f>IF(B515&gt;0,VLOOKUP(B515,КВСР!A150:B1315,2),IF(C515&gt;0,VLOOKUP(C515,КФСР!A150:B1662,2),IF(D515&gt;0,VLOOKUP(D515,Программа!A$1:B$5112,2),IF(F515&gt;0,VLOOKUP(F515,КВР!A$1:B$5001,2),IF(E515&gt;0,VLOOKUP(E515,Направление!A$1:B$4791,2))))))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5" s="122"/>
      <c r="C515" s="123"/>
      <c r="D515" s="125" t="s">
        <v>453</v>
      </c>
      <c r="E515" s="123"/>
      <c r="F515" s="124"/>
      <c r="G515" s="117">
        <v>0</v>
      </c>
      <c r="H515" s="283">
        <f>H516</f>
        <v>0</v>
      </c>
      <c r="I515" s="119">
        <f t="shared" si="97"/>
        <v>0</v>
      </c>
    </row>
    <row r="516" spans="1:9" ht="31.5" hidden="1" x14ac:dyDescent="0.25">
      <c r="A516" s="851" t="str">
        <f>IF(B516&gt;0,VLOOKUP(B516,КВСР!A151:B1316,2),IF(C516&gt;0,VLOOKUP(C516,КФСР!A151:B1663,2),IF(D516&gt;0,VLOOKUP(D516,Программа!A$1:B$5112,2),IF(F516&gt;0,VLOOKUP(F516,КВР!A$1:B$5001,2),IF(E516&gt;0,VLOOKUP(E516,Направление!A$1:B$4791,2))))))</f>
        <v>Расходы на реализацию мероприятий по улучшению условий и охраны труда</v>
      </c>
      <c r="B516" s="122"/>
      <c r="C516" s="123"/>
      <c r="D516" s="125"/>
      <c r="E516" s="123">
        <v>16150</v>
      </c>
      <c r="F516" s="124"/>
      <c r="G516" s="117">
        <v>0</v>
      </c>
      <c r="H516" s="283">
        <f>H517</f>
        <v>0</v>
      </c>
      <c r="I516" s="119">
        <f t="shared" si="97"/>
        <v>0</v>
      </c>
    </row>
    <row r="517" spans="1:9" ht="47.25" hidden="1" x14ac:dyDescent="0.25">
      <c r="A517" s="851" t="str">
        <f>IF(B517&gt;0,VLOOKUP(B517,КВСР!A150:B1315,2),IF(C517&gt;0,VLOOKUP(C517,КФСР!A150:B1662,2),IF(D517&gt;0,VLOOKUP(D517,Программа!A$1:B$5112,2),IF(F517&gt;0,VLOOKUP(F517,КВР!A$1:B$5001,2),IF(E517&gt;0,VLOOKUP(E517,Направление!A$1:B$4791,2))))))</f>
        <v>Предоставление субсидий бюджетным, автономным учреждениям и иным некоммерческим организациям</v>
      </c>
      <c r="B517" s="122"/>
      <c r="C517" s="123"/>
      <c r="D517" s="124"/>
      <c r="E517" s="123"/>
      <c r="F517" s="124">
        <v>600</v>
      </c>
      <c r="G517" s="294">
        <v>0</v>
      </c>
      <c r="H517" s="283"/>
      <c r="I517" s="119">
        <f t="shared" si="97"/>
        <v>0</v>
      </c>
    </row>
    <row r="518" spans="1:9" ht="47.25" hidden="1" x14ac:dyDescent="0.25">
      <c r="A518" s="851" t="str">
        <f>IF(B518&gt;0,VLOOKUP(B518,КВСР!A148:B1313,2),IF(C518&gt;0,VLOOKUP(C518,КФСР!A148:B1660,2),IF(D518&gt;0,VLOOKUP(D518,Программа!A$1:B$5112,2),IF(F518&gt;0,VLOOKUP(F518,КВР!A$1:B$5001,2),IF(E518&gt;0,VLOOKUP(E518,Направление!A$1:B$4791,2))))))</f>
        <v>Обучение по охране труда работников организаций Тутаевского муниципального района</v>
      </c>
      <c r="B518" s="122"/>
      <c r="C518" s="123"/>
      <c r="D518" s="125" t="s">
        <v>1116</v>
      </c>
      <c r="E518" s="123"/>
      <c r="F518" s="124"/>
      <c r="G518" s="117">
        <v>0</v>
      </c>
      <c r="H518" s="283">
        <f>H519</f>
        <v>0</v>
      </c>
      <c r="I518" s="119">
        <f t="shared" si="97"/>
        <v>0</v>
      </c>
    </row>
    <row r="519" spans="1:9" ht="31.5" hidden="1" x14ac:dyDescent="0.25">
      <c r="A519" s="851" t="str">
        <f>IF(B519&gt;0,VLOOKUP(B519,КВСР!A149:B1314,2),IF(C519&gt;0,VLOOKUP(C519,КФСР!A149:B1661,2),IF(D519&gt;0,VLOOKUP(D519,Программа!A$1:B$5112,2),IF(F519&gt;0,VLOOKUP(F519,КВР!A$1:B$5001,2),IF(E519&gt;0,VLOOKUP(E519,Направление!A$1:B$4791,2))))))</f>
        <v>Расходы на реализацию мероприятий по улучшению условий и охраны труда</v>
      </c>
      <c r="B519" s="122"/>
      <c r="C519" s="123"/>
      <c r="D519" s="125"/>
      <c r="E519" s="123">
        <v>16150</v>
      </c>
      <c r="F519" s="124"/>
      <c r="G519" s="117">
        <v>0</v>
      </c>
      <c r="H519" s="283">
        <f>H520</f>
        <v>0</v>
      </c>
      <c r="I519" s="119">
        <f t="shared" si="97"/>
        <v>0</v>
      </c>
    </row>
    <row r="520" spans="1:9" ht="47.25" hidden="1" x14ac:dyDescent="0.25">
      <c r="A520" s="851" t="str">
        <f>IF(B520&gt;0,VLOOKUP(B520,КВСР!A150:B1315,2),IF(C520&gt;0,VLOOKUP(C520,КФСР!A150:B1662,2),IF(D520&gt;0,VLOOKUP(D520,Программа!A$1:B$5112,2),IF(F520&gt;0,VLOOKUP(F520,КВР!A$1:B$5001,2),IF(E520&gt;0,VLOOKUP(E520,Направление!A$1:B$4791,2))))))</f>
        <v>Предоставление субсидий бюджетным, автономным учреждениям и иным некоммерческим организациям</v>
      </c>
      <c r="B520" s="122"/>
      <c r="C520" s="123"/>
      <c r="D520" s="124"/>
      <c r="E520" s="123"/>
      <c r="F520" s="124">
        <v>600</v>
      </c>
      <c r="G520" s="294">
        <v>0</v>
      </c>
      <c r="H520" s="283"/>
      <c r="I520" s="119">
        <f t="shared" si="97"/>
        <v>0</v>
      </c>
    </row>
    <row r="521" spans="1:9" x14ac:dyDescent="0.25">
      <c r="A521" s="851" t="str">
        <f>IF(B521&gt;0,VLOOKUP(B521,КВСР!A151:B1316,2),IF(C521&gt;0,VLOOKUP(C521,КФСР!A151:B1663,2),IF(D521&gt;0,VLOOKUP(D521,Программа!A$1:B$5112,2),IF(F521&gt;0,VLOOKUP(F521,КВР!A$1:B$5001,2),IF(E521&gt;0,VLOOKUP(E521,Направление!A$1:B$4791,2))))))</f>
        <v>Дополнительное образование детей</v>
      </c>
      <c r="B521" s="122"/>
      <c r="C521" s="123">
        <v>703</v>
      </c>
      <c r="D521" s="124"/>
      <c r="E521" s="123"/>
      <c r="F521" s="124"/>
      <c r="G521" s="283">
        <v>61912011</v>
      </c>
      <c r="H521" s="283">
        <f>H523</f>
        <v>186515</v>
      </c>
      <c r="I521" s="294">
        <f>I523</f>
        <v>62098526</v>
      </c>
    </row>
    <row r="522" spans="1:9" ht="63" x14ac:dyDescent="0.25">
      <c r="A522" s="851" t="str">
        <f>IF(B522&gt;0,VLOOKUP(B522,КВСР!A152:B1317,2),IF(C522&gt;0,VLOOKUP(C522,КФСР!A152:B1664,2),IF(D522&gt;0,VLOOKUP(D522,Программа!A$1:B$5112,2),IF(F522&gt;0,VLOOKUP(F522,КВР!A$1:B$5001,2),IF(E522&gt;0,VLOOKUP(E522,Направление!A$1:B$4791,2))))))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22" s="122"/>
      <c r="C522" s="123"/>
      <c r="D522" s="112" t="s">
        <v>441</v>
      </c>
      <c r="E522" s="123"/>
      <c r="F522" s="124"/>
      <c r="G522" s="294">
        <v>61912011</v>
      </c>
      <c r="H522" s="283">
        <f>H523</f>
        <v>186515</v>
      </c>
      <c r="I522" s="294">
        <f>I523</f>
        <v>62098526</v>
      </c>
    </row>
    <row r="523" spans="1:9" ht="63" x14ac:dyDescent="0.25">
      <c r="A523" s="851" t="str">
        <f>IF(B523&gt;0,VLOOKUP(B523,КВСР!A152:B1317,2),IF(C523&gt;0,VLOOKUP(C523,КФСР!A152:B1664,2),IF(D523&gt;0,VLOOKUP(D523,Программа!A$1:B$5112,2),IF(F523&gt;0,VLOOKUP(F523,КВР!A$1:B$5001,2),IF(E523&gt;0,VLOOKUP(E523,Направление!A$1:B$4791,2))))))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23" s="122"/>
      <c r="C523" s="123"/>
      <c r="D523" s="112" t="s">
        <v>443</v>
      </c>
      <c r="E523" s="123"/>
      <c r="F523" s="124"/>
      <c r="G523" s="294">
        <v>61912011</v>
      </c>
      <c r="H523" s="283">
        <f t="shared" ref="H523:I528" si="117">H524</f>
        <v>186515</v>
      </c>
      <c r="I523" s="294">
        <f t="shared" si="117"/>
        <v>62098526</v>
      </c>
    </row>
    <row r="524" spans="1:9" ht="47.25" x14ac:dyDescent="0.25">
      <c r="A524" s="851" t="str">
        <f>IF(B524&gt;0,VLOOKUP(B524,КВСР!A153:B1318,2),IF(C524&gt;0,VLOOKUP(C524,КФСР!A153:B1665,2),IF(D524&gt;0,VLOOKUP(D524,Программа!A$1:B$5112,2),IF(F524&gt;0,VLOOKUP(F524,КВР!A$1:B$5001,2),IF(E524&gt;0,VLOOKUP(E524,Направление!A$1:B$4791,2))))))</f>
        <v>Обеспечение качества и доступности образовательных услуг в сфере дополнительного образования</v>
      </c>
      <c r="B524" s="122"/>
      <c r="C524" s="123"/>
      <c r="D524" s="125" t="s">
        <v>505</v>
      </c>
      <c r="E524" s="123"/>
      <c r="F524" s="124"/>
      <c r="G524" s="294">
        <v>61912011</v>
      </c>
      <c r="H524" s="283">
        <f>H528+H530+H532+H536+H525</f>
        <v>186515</v>
      </c>
      <c r="I524" s="294">
        <f>I528+I530+I532+I536+I525</f>
        <v>62098526</v>
      </c>
    </row>
    <row r="525" spans="1:9" ht="31.5" x14ac:dyDescent="0.25">
      <c r="A525" s="851" t="str">
        <f>IF(B525&gt;0,VLOOKUP(B525,КВСР!A154:B1319,2),IF(C525&gt;0,VLOOKUP(C525,КФСР!A154:B1666,2),IF(D525&gt;0,VLOOKUP(D525,Программа!A$1:B$5112,2),IF(F525&gt;0,VLOOKUP(F525,КВР!A$1:B$5001,2),IF(E525&gt;0,VLOOKUP(E525,Направление!A$1:B$4791,2))))))</f>
        <v>Обеспечение деятельности дошкольных учреждений</v>
      </c>
      <c r="B525" s="122"/>
      <c r="C525" s="123"/>
      <c r="D525" s="125"/>
      <c r="E525" s="123">
        <v>13010</v>
      </c>
      <c r="F525" s="124"/>
      <c r="G525" s="294">
        <v>1700000</v>
      </c>
      <c r="H525" s="283">
        <f>H527+H526</f>
        <v>0</v>
      </c>
      <c r="I525" s="294">
        <f>I527+I526</f>
        <v>1700000</v>
      </c>
    </row>
    <row r="526" spans="1:9" ht="110.25" x14ac:dyDescent="0.25">
      <c r="A526" s="851" t="str">
        <f>IF(B526&gt;0,VLOOKUP(B526,КВСР!A155:B1320,2),IF(C526&gt;0,VLOOKUP(C526,КФСР!A155:B1667,2),IF(D526&gt;0,VLOOKUP(D526,Программа!A$1:B$5112,2),IF(F526&gt;0,VLOOKUP(F526,КВР!A$1:B$5001,2),IF(E526&gt;0,VLOOKUP(E526,Направление!A$1:B$4791,2))))))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22"/>
      <c r="C526" s="123"/>
      <c r="D526" s="125"/>
      <c r="E526" s="123"/>
      <c r="F526" s="124">
        <v>100</v>
      </c>
      <c r="G526" s="294">
        <v>94760</v>
      </c>
      <c r="H526" s="283"/>
      <c r="I526" s="294">
        <f>G526+H526</f>
        <v>94760</v>
      </c>
    </row>
    <row r="527" spans="1:9" ht="63" x14ac:dyDescent="0.25">
      <c r="A527" s="851" t="str">
        <f>IF(B527&gt;0,VLOOKUP(B527,КВСР!A155:B1320,2),IF(C527&gt;0,VLOOKUP(C527,КФСР!A155:B1667,2),IF(D527&gt;0,VLOOKUP(D527,Программа!A$1:B$5112,2),IF(F527&gt;0,VLOOKUP(F527,КВР!A$1:B$5001,2),IF(E527&gt;0,VLOOKUP(E527,Направление!A$1:B$4791,2))))))</f>
        <v xml:space="preserve">Закупка товаров, работ и услуг для обеспечения государственных (муниципальных) нужд
</v>
      </c>
      <c r="B527" s="122"/>
      <c r="C527" s="123"/>
      <c r="D527" s="125"/>
      <c r="E527" s="123"/>
      <c r="F527" s="124">
        <v>200</v>
      </c>
      <c r="G527" s="294">
        <v>1605240</v>
      </c>
      <c r="H527" s="283"/>
      <c r="I527" s="119">
        <f>G527+H527</f>
        <v>1605240</v>
      </c>
    </row>
    <row r="528" spans="1:9" ht="31.5" x14ac:dyDescent="0.25">
      <c r="A528" s="851" t="str">
        <f>IF(B528&gt;0,VLOOKUP(B528,КВСР!A154:B1319,2),IF(C528&gt;0,VLOOKUP(C528,КФСР!A154:B1666,2),IF(D528&gt;0,VLOOKUP(D528,Программа!A$1:B$5112,2),IF(F528&gt;0,VLOOKUP(F528,КВР!A$1:B$5001,2),IF(E528&gt;0,VLOOKUP(E528,Направление!A$1:B$4791,2))))))</f>
        <v>Обеспечение деятельности учреждений дополнительного образования</v>
      </c>
      <c r="B528" s="122"/>
      <c r="C528" s="123"/>
      <c r="D528" s="124"/>
      <c r="E528" s="123">
        <v>13210</v>
      </c>
      <c r="F528" s="124"/>
      <c r="G528" s="294">
        <v>59530411</v>
      </c>
      <c r="H528" s="283">
        <f t="shared" si="117"/>
        <v>186515</v>
      </c>
      <c r="I528" s="119">
        <f t="shared" ref="I528:I623" si="118">SUM(G528:H528)</f>
        <v>59716926</v>
      </c>
    </row>
    <row r="529" spans="1:9" ht="47.25" x14ac:dyDescent="0.25">
      <c r="A529" s="851" t="str">
        <f>IF(B529&gt;0,VLOOKUP(B529,КВСР!A155:B1320,2),IF(C529&gt;0,VLOOKUP(C529,КФСР!A155:B1667,2),IF(D529&gt;0,VLOOKUP(D529,Программа!A$1:B$5112,2),IF(F529&gt;0,VLOOKUP(F529,КВР!A$1:B$5001,2),IF(E529&gt;0,VLOOKUP(E529,Направление!A$1:B$4791,2))))))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24">
        <v>600</v>
      </c>
      <c r="G529" s="294">
        <v>59530411</v>
      </c>
      <c r="H529" s="283">
        <v>186515</v>
      </c>
      <c r="I529" s="119">
        <f t="shared" si="118"/>
        <v>59716926</v>
      </c>
    </row>
    <row r="530" spans="1:9" ht="31.5" x14ac:dyDescent="0.25">
      <c r="A530" s="851" t="str">
        <f>IF(B530&gt;0,VLOOKUP(B530,КВСР!A156:B1321,2),IF(C530&gt;0,VLOOKUP(C530,КФСР!A156:B1668,2),IF(D530&gt;0,VLOOKUP(D530,Программа!A$1:B$5112,2),IF(F530&gt;0,VLOOKUP(F530,КВР!A$1:B$5001,2),IF(E530&gt;0,VLOOKUP(E530,Направление!A$1:B$4791,2))))))</f>
        <v>Обеспечение деятельности прочих учреждений в сфере образования</v>
      </c>
      <c r="B530" s="122"/>
      <c r="C530" s="123"/>
      <c r="D530" s="124"/>
      <c r="E530" s="123">
        <v>13310</v>
      </c>
      <c r="F530" s="124"/>
      <c r="G530" s="294">
        <v>681600</v>
      </c>
      <c r="H530" s="283">
        <f>H531</f>
        <v>0</v>
      </c>
      <c r="I530" s="294">
        <f t="shared" ref="I530" si="119">I531</f>
        <v>681600</v>
      </c>
    </row>
    <row r="531" spans="1:9" ht="47.25" x14ac:dyDescent="0.25">
      <c r="A531" s="851" t="str">
        <f>IF(B531&gt;0,VLOOKUP(B531,КВСР!A157:B1322,2),IF(C531&gt;0,VLOOKUP(C531,КФСР!A157:B1669,2),IF(D531&gt;0,VLOOKUP(D531,Программа!A$1:B$5112,2),IF(F531&gt;0,VLOOKUP(F531,КВР!A$1:B$5001,2),IF(E531&gt;0,VLOOKUP(E531,Направление!A$1:B$4791,2))))))</f>
        <v>Предоставление субсидий бюджетным, автономным учреждениям и иным некоммерческим организациям</v>
      </c>
      <c r="B531" s="122"/>
      <c r="C531" s="123"/>
      <c r="D531" s="124"/>
      <c r="E531" s="123"/>
      <c r="F531" s="124">
        <v>600</v>
      </c>
      <c r="G531" s="294">
        <v>681600</v>
      </c>
      <c r="H531" s="283"/>
      <c r="I531" s="119">
        <f>G531+H531</f>
        <v>681600</v>
      </c>
    </row>
    <row r="532" spans="1:9" ht="47.25" hidden="1" x14ac:dyDescent="0.25">
      <c r="A532" s="851" t="str">
        <f>IF(B532&gt;0,VLOOKUP(B532,КВСР!A158:B1323,2),IF(C532&gt;0,VLOOKUP(C532,КФСР!A158:B1670,2),IF(D532&gt;0,VLOOKUP(D532,Программа!A$1:B$5112,2),IF(F532&gt;0,VLOOKUP(F532,КВР!A$1:B$5001,2),IF(E532&gt;0,VLOOKUP(E532,Направление!A$1:B$4791,2))))))</f>
        <v>Расходы на реализацию мероприятий инициативного бюджетирования на территории Ярославской области</v>
      </c>
      <c r="B532" s="122"/>
      <c r="C532" s="123"/>
      <c r="D532" s="124"/>
      <c r="E532" s="123">
        <v>15350</v>
      </c>
      <c r="F532" s="124"/>
      <c r="G532" s="294">
        <v>0</v>
      </c>
      <c r="H532" s="283">
        <f t="shared" ref="H532" si="120">H533</f>
        <v>0</v>
      </c>
      <c r="I532" s="119">
        <f t="shared" ref="I532:I537" si="121">G532+H532</f>
        <v>0</v>
      </c>
    </row>
    <row r="533" spans="1:9" ht="47.25" hidden="1" x14ac:dyDescent="0.25">
      <c r="A533" s="851" t="str">
        <f>IF(B533&gt;0,VLOOKUP(B533,КВСР!A159:B1324,2),IF(C533&gt;0,VLOOKUP(C533,КФСР!A159:B1671,2),IF(D533&gt;0,VLOOKUP(D533,Программа!A$1:B$5112,2),IF(F533&gt;0,VLOOKUP(F533,КВР!A$1:B$5001,2),IF(E533&gt;0,VLOOKUP(E533,Направление!A$1:B$4791,2))))))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121"/>
        <v>0</v>
      </c>
    </row>
    <row r="534" spans="1:9" hidden="1" x14ac:dyDescent="0.25">
      <c r="A534" s="851" t="str">
        <f>IF(B534&gt;0,VLOOKUP(B534,КВСР!A160:B1325,2),IF(C534&gt;0,VLOOKUP(C534,КФСР!A160:B1672,2),IF(D534&gt;0,VLOOKUP(D534,Программа!A$1:B$5112,2),IF(F534&gt;0,VLOOKUP(F534,КВР!A$1:B$5001,2),IF(E534&gt;0,VLOOKUP(E534,Направление!A$1:B$4791,2))))))</f>
        <v xml:space="preserve">Иная дотация </v>
      </c>
      <c r="B534" s="122"/>
      <c r="C534" s="123"/>
      <c r="D534" s="124"/>
      <c r="E534" s="123">
        <v>73260</v>
      </c>
      <c r="F534" s="124"/>
      <c r="G534" s="294">
        <v>0</v>
      </c>
      <c r="H534" s="283">
        <f t="shared" ref="H534:I534" si="122">H535</f>
        <v>0</v>
      </c>
      <c r="I534" s="294">
        <f t="shared" si="122"/>
        <v>0</v>
      </c>
    </row>
    <row r="535" spans="1:9" ht="47.25" hidden="1" x14ac:dyDescent="0.25">
      <c r="A535" s="851" t="str">
        <f>IF(B535&gt;0,VLOOKUP(B535,КВСР!A161:B1326,2),IF(C535&gt;0,VLOOKUP(C535,КФСР!A161:B1673,2),IF(D535&gt;0,VLOOKUP(D535,Программа!A$1:B$5112,2),IF(F535&gt;0,VLOOKUP(F535,КВР!A$1:B$5001,2),IF(E535&gt;0,VLOOKUP(E535,Направление!A$1:B$4791,2))))))</f>
        <v>Предоставление субсидий бюджетным, автономным учреждениям и иным некоммерческим организациям</v>
      </c>
      <c r="B535" s="122"/>
      <c r="C535" s="123"/>
      <c r="D535" s="124"/>
      <c r="E535" s="123"/>
      <c r="F535" s="124">
        <v>600</v>
      </c>
      <c r="G535" s="294">
        <v>0</v>
      </c>
      <c r="H535" s="283"/>
      <c r="I535" s="119">
        <f>G535+H535</f>
        <v>0</v>
      </c>
    </row>
    <row r="536" spans="1:9" ht="47.25" hidden="1" x14ac:dyDescent="0.25">
      <c r="A536" s="851" t="str">
        <f>IF(B536&gt;0,VLOOKUP(B536,КВСР!A160:B1325,2),IF(C536&gt;0,VLOOKUP(C536,КФСР!A160:B1672,2),IF(D536&gt;0,VLOOKUP(D536,Программа!A$1:B$5112,2),IF(F536&gt;0,VLOOKUP(F536,КВР!A$1:B$5001,2),IF(E536&gt;0,VLOOKUP(E536,Направление!A$1:B$4791,2))))))</f>
        <v>Расходы на реализацию мероприятий инициативного бюджетирования на территории Ярославской области</v>
      </c>
      <c r="B536" s="122"/>
      <c r="C536" s="123"/>
      <c r="D536" s="124"/>
      <c r="E536" s="123">
        <v>75350</v>
      </c>
      <c r="F536" s="124"/>
      <c r="G536" s="294">
        <v>0</v>
      </c>
      <c r="H536" s="283">
        <f t="shared" ref="H536:I536" si="123">H537</f>
        <v>0</v>
      </c>
      <c r="I536" s="294">
        <f t="shared" si="123"/>
        <v>0</v>
      </c>
    </row>
    <row r="537" spans="1:9" ht="47.25" hidden="1" x14ac:dyDescent="0.25">
      <c r="A537" s="851" t="str">
        <f>IF(B537&gt;0,VLOOKUP(B537,КВСР!A161:B1326,2),IF(C537&gt;0,VLOOKUP(C537,КФСР!A161:B1673,2),IF(D537&gt;0,VLOOKUP(D537,Программа!A$1:B$5112,2),IF(F537&gt;0,VLOOKUP(F537,КВР!A$1:B$5001,2),IF(E537&gt;0,VLOOKUP(E537,Направление!A$1:B$4791,2))))))</f>
        <v>Предоставление субсидий бюджетным, автономным учреждениям и иным некоммерческим организациям</v>
      </c>
      <c r="B537" s="122"/>
      <c r="C537" s="123"/>
      <c r="D537" s="124"/>
      <c r="E537" s="123"/>
      <c r="F537" s="124">
        <v>600</v>
      </c>
      <c r="G537" s="294">
        <v>0</v>
      </c>
      <c r="H537" s="283"/>
      <c r="I537" s="119">
        <f t="shared" si="121"/>
        <v>0</v>
      </c>
    </row>
    <row r="538" spans="1:9" ht="47.25" hidden="1" x14ac:dyDescent="0.25">
      <c r="A538" s="851" t="str">
        <f>IF(B538&gt;0,VLOOKUP(B538,КВСР!A156:B1321,2),IF(C538&gt;0,VLOOKUP(C538,КФСР!A156:B1668,2),IF(D538&gt;0,VLOOKUP(D538,Программа!A$1:B$5112,2),IF(F538&gt;0,VLOOKUP(F538,КВР!A$1:B$5001,2),IF(E538&gt;0,VLOOKUP(E538,Направление!A$1:B$4791,2))))))</f>
        <v>Муниципальная программа "Социальная поддержка населения Тутаевского муниципального района"</v>
      </c>
      <c r="B538" s="122"/>
      <c r="C538" s="123"/>
      <c r="D538" s="124" t="s">
        <v>450</v>
      </c>
      <c r="E538" s="123"/>
      <c r="F538" s="124"/>
      <c r="G538" s="282">
        <v>0</v>
      </c>
      <c r="H538" s="283">
        <f>H539</f>
        <v>0</v>
      </c>
      <c r="I538" s="282">
        <f>I539</f>
        <v>0</v>
      </c>
    </row>
    <row r="539" spans="1:9" ht="47.25" hidden="1" x14ac:dyDescent="0.25">
      <c r="A539" s="851" t="str">
        <f>IF(B539&gt;0,VLOOKUP(B539,КВСР!A157:B1322,2),IF(C539&gt;0,VLOOKUP(C539,КФСР!A157:B1669,2),IF(D539&gt;0,VLOOKUP(D539,Программа!A$1:B$5112,2),IF(F539&gt;0,VLOOKUP(F539,КВР!A$1:B$5001,2),IF(E539&gt;0,VLOOKUP(E539,Направление!A$1:B$4791,2))))))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39" s="122"/>
      <c r="C539" s="123"/>
      <c r="D539" s="125" t="s">
        <v>452</v>
      </c>
      <c r="E539" s="123"/>
      <c r="F539" s="124"/>
      <c r="G539" s="282">
        <v>0</v>
      </c>
      <c r="H539" s="283">
        <f t="shared" ref="H539:I541" si="124">H540</f>
        <v>0</v>
      </c>
      <c r="I539" s="282">
        <f t="shared" si="124"/>
        <v>0</v>
      </c>
    </row>
    <row r="540" spans="1:9" ht="63" hidden="1" x14ac:dyDescent="0.25">
      <c r="A540" s="851" t="str">
        <f>IF(B540&gt;0,VLOOKUP(B540,КВСР!A158:B1323,2),IF(C540&gt;0,VLOOKUP(C540,КФСР!A158:B1670,2),IF(D540&gt;0,VLOOKUP(D540,Программа!A$1:B$5112,2),IF(F540&gt;0,VLOOKUP(F540,КВР!A$1:B$5001,2),IF(E540&gt;0,VLOOKUP(E540,Направление!A$1:B$4791,2))))))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0" s="122"/>
      <c r="C540" s="123"/>
      <c r="D540" s="125" t="s">
        <v>453</v>
      </c>
      <c r="E540" s="123"/>
      <c r="F540" s="124"/>
      <c r="G540" s="282">
        <v>0</v>
      </c>
      <c r="H540" s="283">
        <f t="shared" si="124"/>
        <v>0</v>
      </c>
      <c r="I540" s="282">
        <f t="shared" si="124"/>
        <v>0</v>
      </c>
    </row>
    <row r="541" spans="1:9" ht="31.5" hidden="1" x14ac:dyDescent="0.25">
      <c r="A541" s="851" t="str">
        <f>IF(B541&gt;0,VLOOKUP(B541,КВСР!A159:B1324,2),IF(C541&gt;0,VLOOKUP(C541,КФСР!A159:B1671,2),IF(D541&gt;0,VLOOKUP(D541,Программа!A$1:B$5112,2),IF(F541&gt;0,VLOOKUP(F541,КВР!A$1:B$5001,2),IF(E541&gt;0,VLOOKUP(E541,Направление!A$1:B$4791,2))))))</f>
        <v>Расходы на реализацию мероприятий по улучшению условий и охраны труда</v>
      </c>
      <c r="B541" s="122"/>
      <c r="C541" s="123"/>
      <c r="D541" s="124"/>
      <c r="E541" s="123">
        <v>16150</v>
      </c>
      <c r="F541" s="124"/>
      <c r="G541" s="282">
        <v>0</v>
      </c>
      <c r="H541" s="283">
        <f t="shared" si="124"/>
        <v>0</v>
      </c>
      <c r="I541" s="282">
        <f t="shared" si="124"/>
        <v>0</v>
      </c>
    </row>
    <row r="542" spans="1:9" ht="47.25" hidden="1" x14ac:dyDescent="0.25">
      <c r="A542" s="851" t="str">
        <f>IF(B542&gt;0,VLOOKUP(B542,КВСР!A160:B1325,2),IF(C542&gt;0,VLOOKUP(C542,КФСР!A160:B1672,2),IF(D542&gt;0,VLOOKUP(D542,Программа!A$1:B$5112,2),IF(F542&gt;0,VLOOKUP(F542,КВР!A$1:B$5001,2),IF(E542&gt;0,VLOOKUP(E542,Направление!A$1:B$4791,2))))))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22"/>
      <c r="C542" s="123"/>
      <c r="D542" s="124"/>
      <c r="E542" s="123"/>
      <c r="F542" s="124">
        <v>600</v>
      </c>
      <c r="G542" s="294">
        <v>0</v>
      </c>
      <c r="H542" s="283"/>
      <c r="I542" s="119">
        <f>G542+H542</f>
        <v>0</v>
      </c>
    </row>
    <row r="543" spans="1:9" ht="47.25" x14ac:dyDescent="0.25">
      <c r="A543" s="851" t="str">
        <f>IF(B543&gt;0,VLOOKUP(B543,КВСР!A161:B1326,2),IF(C543&gt;0,VLOOKUP(C543,КФСР!A161:B1673,2),IF(D543&gt;0,VLOOKUP(D543,Программа!A$1:B$5112,2),IF(F543&gt;0,VLOOKUP(F543,КВР!A$1:B$5001,2),IF(E543&gt;0,VLOOKUP(E543,Направление!A$1:B$4791,2))))))</f>
        <v>Профессиональная подготовка, переподготовка и повышение квалификации</v>
      </c>
      <c r="B543" s="122"/>
      <c r="C543" s="123">
        <v>705</v>
      </c>
      <c r="D543" s="124"/>
      <c r="E543" s="123"/>
      <c r="F543" s="124"/>
      <c r="G543" s="282">
        <v>1247000</v>
      </c>
      <c r="H543" s="283">
        <f t="shared" ref="H543:I547" si="125">H544</f>
        <v>0</v>
      </c>
      <c r="I543" s="282">
        <f t="shared" si="125"/>
        <v>1247000</v>
      </c>
    </row>
    <row r="544" spans="1:9" ht="63" x14ac:dyDescent="0.25">
      <c r="A544" s="851" t="str">
        <f>IF(B544&gt;0,VLOOKUP(B544,КВСР!A162:B1327,2),IF(C544&gt;0,VLOOKUP(C544,КФСР!A162:B1674,2),IF(D544&gt;0,VLOOKUP(D544,Программа!A$1:B$5112,2),IF(F544&gt;0,VLOOKUP(F544,КВР!A$1:B$5001,2),IF(E544&gt;0,VLOOKUP(E544,Направление!A$1:B$4791,2))))))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4" s="122"/>
      <c r="C544" s="123"/>
      <c r="D544" s="125" t="s">
        <v>441</v>
      </c>
      <c r="E544" s="123"/>
      <c r="F544" s="124"/>
      <c r="G544" s="282">
        <v>1247000</v>
      </c>
      <c r="H544" s="283">
        <f t="shared" si="125"/>
        <v>0</v>
      </c>
      <c r="I544" s="282">
        <f t="shared" si="125"/>
        <v>1247000</v>
      </c>
    </row>
    <row r="545" spans="1:9" ht="63" x14ac:dyDescent="0.25">
      <c r="A545" s="851" t="str">
        <f>IF(B545&gt;0,VLOOKUP(B545,КВСР!A163:B1328,2),IF(C545&gt;0,VLOOKUP(C545,КФСР!A163:B1675,2),IF(D545&gt;0,VLOOKUP(D545,Программа!A$1:B$5112,2),IF(F545&gt;0,VLOOKUP(F545,КВР!A$1:B$5001,2),IF(E545&gt;0,VLOOKUP(E545,Направление!A$1:B$4791,2))))))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5" s="122"/>
      <c r="C545" s="123"/>
      <c r="D545" s="125" t="s">
        <v>443</v>
      </c>
      <c r="E545" s="123"/>
      <c r="F545" s="124"/>
      <c r="G545" s="282">
        <v>1247000</v>
      </c>
      <c r="H545" s="283">
        <f t="shared" si="125"/>
        <v>0</v>
      </c>
      <c r="I545" s="282">
        <f t="shared" si="125"/>
        <v>1247000</v>
      </c>
    </row>
    <row r="546" spans="1:9" ht="78.75" x14ac:dyDescent="0.25">
      <c r="A546" s="851" t="str">
        <f>IF(B546&gt;0,VLOOKUP(B546,КВСР!A164:B1329,2),IF(C546&gt;0,VLOOKUP(C546,КФСР!A164:B1676,2),IF(D546&gt;0,VLOOKUP(D546,Программа!A$1:B$5112,2),IF(F546&gt;0,VLOOKUP(F546,КВР!A$1:B$5001,2),IF(E546&gt;0,VLOOKUP(E546,Направление!A$1:B$4791,2))))))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6" s="122"/>
      <c r="C546" s="123"/>
      <c r="D546" s="125" t="s">
        <v>462</v>
      </c>
      <c r="E546" s="123"/>
      <c r="F546" s="124"/>
      <c r="G546" s="282">
        <v>1247000</v>
      </c>
      <c r="H546" s="283">
        <f t="shared" si="125"/>
        <v>0</v>
      </c>
      <c r="I546" s="282">
        <f t="shared" si="125"/>
        <v>1247000</v>
      </c>
    </row>
    <row r="547" spans="1:9" ht="31.5" x14ac:dyDescent="0.25">
      <c r="A547" s="851" t="str">
        <f>IF(B547&gt;0,VLOOKUP(B547,КВСР!A165:B1330,2),IF(C547&gt;0,VLOOKUP(C547,КФСР!A165:B1677,2),IF(D547&gt;0,VLOOKUP(D547,Программа!A$1:B$5112,2),IF(F547&gt;0,VLOOKUP(F547,КВР!A$1:B$5001,2),IF(E547&gt;0,VLOOKUP(E547,Направление!A$1:B$4791,2))))))</f>
        <v>Обеспечение деятельности прочих учреждений в сфере образования</v>
      </c>
      <c r="B547" s="122"/>
      <c r="C547" s="123"/>
      <c r="D547" s="125"/>
      <c r="E547" s="123">
        <v>13310</v>
      </c>
      <c r="F547" s="124"/>
      <c r="G547" s="282">
        <v>1247000</v>
      </c>
      <c r="H547" s="283">
        <f t="shared" si="125"/>
        <v>0</v>
      </c>
      <c r="I547" s="282">
        <f t="shared" si="125"/>
        <v>1247000</v>
      </c>
    </row>
    <row r="548" spans="1:9" ht="47.25" x14ac:dyDescent="0.25">
      <c r="A548" s="851" t="str">
        <f>IF(B548&gt;0,VLOOKUP(B548,КВСР!A166:B1331,2),IF(C548&gt;0,VLOOKUP(C548,КФСР!A166:B1678,2),IF(D548&gt;0,VLOOKUP(D548,Программа!A$1:B$5112,2),IF(F548&gt;0,VLOOKUP(F548,КВР!A$1:B$5001,2),IF(E548&gt;0,VLOOKUP(E548,Направление!A$1:B$4791,2))))))</f>
        <v>Предоставление субсидий бюджетным, автономным учреждениям и иным некоммерческим организациям</v>
      </c>
      <c r="B548" s="122"/>
      <c r="C548" s="123"/>
      <c r="D548" s="125"/>
      <c r="E548" s="123"/>
      <c r="F548" s="124">
        <v>600</v>
      </c>
      <c r="G548" s="294">
        <v>1247000</v>
      </c>
      <c r="H548" s="283"/>
      <c r="I548" s="119">
        <f>G548+H548</f>
        <v>1247000</v>
      </c>
    </row>
    <row r="549" spans="1:9" x14ac:dyDescent="0.25">
      <c r="A549" s="851" t="str">
        <f>IF(B549&gt;0,VLOOKUP(B549,КВСР!A146:B1311,2),IF(C549&gt;0,VLOOKUP(C549,КФСР!A146:B1658,2),IF(D549&gt;0,VLOOKUP(D549,Программа!A$1:B$5112,2),IF(F549&gt;0,VLOOKUP(F549,КВР!A$1:B$5001,2),IF(E549&gt;0,VLOOKUP(E549,Направление!A$1:B$4791,2))))))</f>
        <v>Молодежная политика</v>
      </c>
      <c r="B549" s="122"/>
      <c r="C549" s="123">
        <v>707</v>
      </c>
      <c r="D549" s="125"/>
      <c r="E549" s="123"/>
      <c r="F549" s="124"/>
      <c r="G549" s="119">
        <v>5874438</v>
      </c>
      <c r="H549" s="338">
        <f t="shared" ref="H549:I549" si="126">H555+H550</f>
        <v>21450</v>
      </c>
      <c r="I549" s="119">
        <f t="shared" si="126"/>
        <v>5895888</v>
      </c>
    </row>
    <row r="550" spans="1:9" ht="63" hidden="1" x14ac:dyDescent="0.25">
      <c r="A550" s="851" t="str">
        <f>IF(B550&gt;0,VLOOKUP(B550,КВСР!A147:B1312,2),IF(C550&gt;0,VLOOKUP(C550,КФСР!A147:B1659,2),IF(D550&gt;0,VLOOKUP(D550,Программа!A$1:B$5112,2),IF(F550&gt;0,VLOOKUP(F550,КВР!A$1:B$5001,2),IF(E550&gt;0,VLOOKUP(E550,Направление!A$1:B$4791,2))))))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50" s="122"/>
      <c r="C550" s="123"/>
      <c r="D550" s="125" t="s">
        <v>470</v>
      </c>
      <c r="E550" s="123"/>
      <c r="F550" s="124"/>
      <c r="G550" s="119">
        <v>0</v>
      </c>
      <c r="H550" s="338">
        <f t="shared" ref="H550:I553" si="127">H551</f>
        <v>0</v>
      </c>
      <c r="I550" s="119">
        <f t="shared" si="127"/>
        <v>0</v>
      </c>
    </row>
    <row r="551" spans="1:9" ht="31.5" hidden="1" x14ac:dyDescent="0.25">
      <c r="A551" s="851" t="str">
        <f>IF(B551&gt;0,VLOOKUP(B551,КВСР!A148:B1313,2),IF(C551&gt;0,VLOOKUP(C551,КФСР!A148:B1660,2),IF(D551&gt;0,VLOOKUP(D551,Программа!A$1:B$5112,2),IF(F551&gt;0,VLOOKUP(F551,КВР!A$1:B$5001,2),IF(E551&gt;0,VLOOKUP(E551,Направление!A$1:B$4791,2))))))</f>
        <v>Ведомственная целевая программа «Молодежь»</v>
      </c>
      <c r="B551" s="122"/>
      <c r="C551" s="123"/>
      <c r="D551" s="125" t="s">
        <v>573</v>
      </c>
      <c r="E551" s="123"/>
      <c r="F551" s="124"/>
      <c r="G551" s="119">
        <v>0</v>
      </c>
      <c r="H551" s="338">
        <f t="shared" si="127"/>
        <v>0</v>
      </c>
      <c r="I551" s="119">
        <f t="shared" si="127"/>
        <v>0</v>
      </c>
    </row>
    <row r="552" spans="1:9" ht="63" hidden="1" x14ac:dyDescent="0.25">
      <c r="A552" s="851" t="str">
        <f>IF(B552&gt;0,VLOOKUP(B552,КВСР!A149:B1314,2),IF(C552&gt;0,VLOOKUP(C552,КФСР!A149:B1661,2),IF(D552&gt;0,VLOOKUP(D552,Программа!A$1:B$5112,2),IF(F552&gt;0,VLOOKUP(F552,КВР!A$1:B$5001,2),IF(E552&gt;0,VLOOKUP(E552,Направление!A$1:B$4791,2))))))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52" s="122"/>
      <c r="C552" s="123"/>
      <c r="D552" s="125" t="s">
        <v>575</v>
      </c>
      <c r="E552" s="123"/>
      <c r="F552" s="124"/>
      <c r="G552" s="119">
        <v>0</v>
      </c>
      <c r="H552" s="338">
        <f t="shared" si="127"/>
        <v>0</v>
      </c>
      <c r="I552" s="119">
        <f t="shared" si="127"/>
        <v>0</v>
      </c>
    </row>
    <row r="553" spans="1:9" ht="47.25" hidden="1" x14ac:dyDescent="0.25">
      <c r="A553" s="851" t="str">
        <f>IF(B553&gt;0,VLOOKUP(B553,КВСР!A150:B1315,2),IF(C553&gt;0,VLOOKUP(C553,КФСР!A150:B1662,2),IF(D553&gt;0,VLOOKUP(D553,Программа!A$1:B$5112,2),IF(F553&gt;0,VLOOKUP(F553,КВР!A$1:B$5001,2),IF(E553&gt;0,VLOOKUP(E553,Направление!A$1:B$4791,2))))))</f>
        <v>Расходы на обеспечение трудоустройства несовершеннолетних граждан на временные рабочие места</v>
      </c>
      <c r="B553" s="122"/>
      <c r="C553" s="123"/>
      <c r="D553" s="125"/>
      <c r="E553" s="123">
        <v>76150</v>
      </c>
      <c r="F553" s="124"/>
      <c r="G553" s="119">
        <v>0</v>
      </c>
      <c r="H553" s="338">
        <f t="shared" si="127"/>
        <v>0</v>
      </c>
      <c r="I553" s="119">
        <f t="shared" si="127"/>
        <v>0</v>
      </c>
    </row>
    <row r="554" spans="1:9" ht="47.25" hidden="1" x14ac:dyDescent="0.25">
      <c r="A554" s="851" t="str">
        <f>IF(B554&gt;0,VLOOKUP(B554,КВСР!A151:B1316,2),IF(C554&gt;0,VLOOKUP(C554,КФСР!A151:B1663,2),IF(D554&gt;0,VLOOKUP(D554,Программа!A$1:B$5112,2),IF(F554&gt;0,VLOOKUP(F554,КВР!A$1:B$5001,2),IF(E554&gt;0,VLOOKUP(E554,Направление!A$1:B$4791,2))))))</f>
        <v>Предоставление субсидий бюджетным, автономным учреждениям и иным некоммерческим организациям</v>
      </c>
      <c r="B554" s="122"/>
      <c r="C554" s="123"/>
      <c r="D554" s="125"/>
      <c r="E554" s="123"/>
      <c r="F554" s="124">
        <v>600</v>
      </c>
      <c r="G554" s="119">
        <v>0</v>
      </c>
      <c r="H554" s="338"/>
      <c r="I554" s="119">
        <f>G554+H554</f>
        <v>0</v>
      </c>
    </row>
    <row r="555" spans="1:9" ht="63" x14ac:dyDescent="0.25">
      <c r="A555" s="851" t="str">
        <f>IF(B555&gt;0,VLOOKUP(B555,КВСР!A147:B1312,2),IF(C555&gt;0,VLOOKUP(C555,КФСР!A147:B1659,2),IF(D555&gt;0,VLOOKUP(D555,Программа!A$1:B$5112,2),IF(F555&gt;0,VLOOKUP(F555,КВР!A$1:B$5001,2),IF(E555&gt;0,VLOOKUP(E555,Направление!A$1:B$4791,2))))))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5" s="122"/>
      <c r="C555" s="123"/>
      <c r="D555" s="125" t="s">
        <v>441</v>
      </c>
      <c r="E555" s="123"/>
      <c r="F555" s="124"/>
      <c r="G555" s="119">
        <v>5874438</v>
      </c>
      <c r="H555" s="338">
        <f>H556</f>
        <v>21450</v>
      </c>
      <c r="I555" s="119">
        <f t="shared" si="118"/>
        <v>5895888</v>
      </c>
    </row>
    <row r="556" spans="1:9" ht="63" x14ac:dyDescent="0.25">
      <c r="A556" s="851" t="str">
        <f>IF(B556&gt;0,VLOOKUP(B556,КВСР!A148:B1313,2),IF(C556&gt;0,VLOOKUP(C556,КФСР!A148:B1660,2),IF(D556&gt;0,VLOOKUP(D556,Программа!A$1:B$5112,2),IF(F556&gt;0,VLOOKUP(F556,КВР!A$1:B$5001,2),IF(E556&gt;0,VLOOKUP(E556,Направление!A$1:B$4791,2))))))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6" s="122"/>
      <c r="C556" s="123"/>
      <c r="D556" s="125" t="s">
        <v>443</v>
      </c>
      <c r="E556" s="123"/>
      <c r="F556" s="124"/>
      <c r="G556" s="119">
        <v>5874438</v>
      </c>
      <c r="H556" s="338">
        <f>H557+H572</f>
        <v>21450</v>
      </c>
      <c r="I556" s="119">
        <f t="shared" si="118"/>
        <v>5895888</v>
      </c>
    </row>
    <row r="557" spans="1:9" ht="31.5" x14ac:dyDescent="0.25">
      <c r="A557" s="851" t="str">
        <f>IF(B557&gt;0,VLOOKUP(B557,КВСР!A149:B1314,2),IF(C557&gt;0,VLOOKUP(C557,КФСР!A149:B1661,2),IF(D557&gt;0,VLOOKUP(D557,Программа!A$1:B$5112,2),IF(F557&gt;0,VLOOKUP(F557,КВР!A$1:B$5001,2),IF(E557&gt;0,VLOOKUP(E557,Направление!A$1:B$4791,2))))))</f>
        <v>Обеспечение детей организованными формами отдыха и оздоровления</v>
      </c>
      <c r="B557" s="122"/>
      <c r="C557" s="123"/>
      <c r="D557" s="125" t="s">
        <v>1136</v>
      </c>
      <c r="E557" s="123"/>
      <c r="F557" s="124"/>
      <c r="G557" s="276">
        <v>5874438</v>
      </c>
      <c r="H557" s="338">
        <f t="shared" ref="H557:I557" si="128">H558+H560+H565+H567+H570+H562</f>
        <v>21450</v>
      </c>
      <c r="I557" s="276">
        <f t="shared" si="128"/>
        <v>5895888</v>
      </c>
    </row>
    <row r="558" spans="1:9" ht="47.25" x14ac:dyDescent="0.25">
      <c r="A558" s="852" t="str">
        <f>IF(B558&gt;0,VLOOKUP(B558,КВСР!A150:B1315,2),IF(C558&gt;0,VLOOKUP(C558,КФСР!A150:B1662,2),IF(D558&gt;0,VLOOKUP(D558,Программа!A$1:B$5112,2),IF(F558&gt;0,VLOOKUP(F558,КВР!A$1:B$5001,2),IF(E558&gt;0,VLOOKUP(E558,Направление!A$1:B$4791,2))))))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8" s="379"/>
      <c r="C558" s="380"/>
      <c r="D558" s="381"/>
      <c r="E558" s="380">
        <v>11000</v>
      </c>
      <c r="F558" s="370"/>
      <c r="G558" s="119">
        <v>82188</v>
      </c>
      <c r="H558" s="338">
        <f>H559</f>
        <v>0</v>
      </c>
      <c r="I558" s="119">
        <f t="shared" si="118"/>
        <v>82188</v>
      </c>
    </row>
    <row r="559" spans="1:9" ht="47.25" x14ac:dyDescent="0.25">
      <c r="A559" s="852" t="str">
        <f>IF(B559&gt;0,VLOOKUP(B559,КВСР!A155:B1320,2),IF(C559&gt;0,VLOOKUP(C559,КФСР!A155:B1667,2),IF(D559&gt;0,VLOOKUP(D559,Программа!A$1:B$5112,2),IF(F559&gt;0,VLOOKUP(F559,КВР!A$1:B$5001,2),IF(E559&gt;0,VLOOKUP(E559,Направление!A$1:B$4791,2))))))</f>
        <v>Предоставление субсидий бюджетным, автономным учреждениям и иным некоммерческим организациям</v>
      </c>
      <c r="B559" s="379"/>
      <c r="C559" s="380"/>
      <c r="D559" s="370"/>
      <c r="E559" s="380"/>
      <c r="F559" s="370">
        <v>600</v>
      </c>
      <c r="G559" s="384">
        <v>82188</v>
      </c>
      <c r="H559" s="338"/>
      <c r="I559" s="119">
        <f t="shared" si="118"/>
        <v>82188</v>
      </c>
    </row>
    <row r="560" spans="1:9" ht="110.25" hidden="1" x14ac:dyDescent="0.25">
      <c r="A560" s="852" t="str">
        <f>IF(B560&gt;0,VLOOKUP(B560,КВСР!A156:B1321,2),IF(C560&gt;0,VLOOKUP(C560,КФСР!A156:B1668,2),IF(D560&gt;0,VLOOKUP(D560,Программа!A$1:B$5112,2),IF(F560&gt;0,VLOOKUP(F560,КВР!A$1:B$5001,2),IF(E560&gt;0,VLOOKUP(E560,Направление!A$1:B$4791,2))))))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60" s="122"/>
      <c r="C560" s="123"/>
      <c r="D560" s="125"/>
      <c r="E560" s="123">
        <v>50650</v>
      </c>
      <c r="F560" s="124"/>
      <c r="G560" s="119">
        <v>0</v>
      </c>
      <c r="H560" s="338">
        <f>H561</f>
        <v>0</v>
      </c>
      <c r="I560" s="119">
        <f t="shared" si="118"/>
        <v>0</v>
      </c>
    </row>
    <row r="561" spans="1:9" ht="31.5" hidden="1" x14ac:dyDescent="0.25">
      <c r="A561" s="852" t="str">
        <f>IF(B561&gt;0,VLOOKUP(B561,КВСР!A157:B1322,2),IF(C561&gt;0,VLOOKUP(C561,КФСР!A157:B1669,2),IF(D561&gt;0,VLOOKUP(D561,Программа!A$1:B$5112,2),IF(F561&gt;0,VLOOKUP(F561,КВР!A$1:B$5001,2),IF(E561&gt;0,VLOOKUP(E561,Направление!A$1:B$4791,2))))))</f>
        <v>Социальное обеспечение и иные выплаты населению</v>
      </c>
      <c r="B561" s="122"/>
      <c r="C561" s="123"/>
      <c r="D561" s="124"/>
      <c r="E561" s="123"/>
      <c r="F561" s="124">
        <v>300</v>
      </c>
      <c r="G561" s="276">
        <v>0</v>
      </c>
      <c r="H561" s="338"/>
      <c r="I561" s="119">
        <f t="shared" si="118"/>
        <v>0</v>
      </c>
    </row>
    <row r="562" spans="1:9" ht="31.5" x14ac:dyDescent="0.25">
      <c r="A562" s="852" t="str">
        <f>IF(B562&gt;0,VLOOKUP(B562,КВСР!A158:B1323,2),IF(C562&gt;0,VLOOKUP(C562,КФСР!A158:B1670,2),IF(D562&gt;0,VLOOKUP(D562,Программа!A$1:B$5112,2),IF(F562&gt;0,VLOOKUP(F562,КВР!A$1:B$5001,2),IF(E562&gt;0,VLOOKUP(E562,Направление!A$1:B$4791,2))))))</f>
        <v>Расходы на обеспечение оздоровления и отдыха детей</v>
      </c>
      <c r="B562" s="122"/>
      <c r="C562" s="123"/>
      <c r="D562" s="124"/>
      <c r="E562" s="123">
        <v>13330</v>
      </c>
      <c r="F562" s="124"/>
      <c r="G562" s="276">
        <v>78800</v>
      </c>
      <c r="H562" s="338">
        <f>H563+H564</f>
        <v>21450</v>
      </c>
      <c r="I562" s="338">
        <f>I563+I564</f>
        <v>100250</v>
      </c>
    </row>
    <row r="563" spans="1:9" ht="63" x14ac:dyDescent="0.25">
      <c r="A563" s="852" t="str">
        <f>IF(B563&gt;0,VLOOKUP(B563,КВСР!A159:B1324,2),IF(C563&gt;0,VLOOKUP(C563,КФСР!A159:B1671,2),IF(D563&gt;0,VLOOKUP(D563,Программа!A$1:B$5112,2),IF(F563&gt;0,VLOOKUP(F563,КВР!A$1:B$5001,2),IF(E563&gt;0,VLOOKUP(E563,Направление!A$1:B$4791,2))))))</f>
        <v xml:space="preserve">Закупка товаров, работ и услуг для обеспечения государственных (муниципальных) нужд
</v>
      </c>
      <c r="B563" s="122"/>
      <c r="C563" s="123"/>
      <c r="D563" s="124"/>
      <c r="E563" s="123"/>
      <c r="F563" s="124">
        <v>200</v>
      </c>
      <c r="G563" s="276">
        <v>22000</v>
      </c>
      <c r="H563" s="338">
        <v>22000</v>
      </c>
      <c r="I563" s="119">
        <f>G563+H563</f>
        <v>44000</v>
      </c>
    </row>
    <row r="564" spans="1:9" ht="47.25" x14ac:dyDescent="0.25">
      <c r="A564" s="852" t="str">
        <f>IF(B564&gt;0,VLOOKUP(B564,КВСР!A159:B1324,2),IF(C564&gt;0,VLOOKUP(C564,КФСР!A159:B1671,2),IF(D564&gt;0,VLOOKUP(D564,Программа!A$1:B$5112,2),IF(F564&gt;0,VLOOKUP(F564,КВР!A$1:B$5001,2),IF(E564&gt;0,VLOOKUP(E564,Направление!A$1:B$4791,2))))))</f>
        <v>Предоставление субсидий бюджетным, автономным учреждениям и иным некоммерческим организациям</v>
      </c>
      <c r="B564" s="122"/>
      <c r="C564" s="123"/>
      <c r="D564" s="124"/>
      <c r="E564" s="123"/>
      <c r="F564" s="124">
        <v>600</v>
      </c>
      <c r="G564" s="276">
        <v>56800</v>
      </c>
      <c r="H564" s="338">
        <v>-550</v>
      </c>
      <c r="I564" s="119">
        <f>G564+H564</f>
        <v>56250</v>
      </c>
    </row>
    <row r="565" spans="1:9" ht="94.5" x14ac:dyDescent="0.25">
      <c r="A565" s="851" t="str">
        <f>IF(B565&gt;0,VLOOKUP(B565,КВСР!A159:B1324,2),IF(C565&gt;0,VLOOKUP(C565,КФСР!A159:B1671,2),IF(D565&gt;0,VLOOKUP(D565,Программа!A$1:B$5112,2),IF(F565&gt;0,VLOOKUP(F565,КВР!A$1:B$5001,2),IF(E565&gt;0,VLOOKUP(E565,Направление!A$1:B$4791,2))))))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5" s="122"/>
      <c r="C565" s="123"/>
      <c r="D565" s="125"/>
      <c r="E565" s="123">
        <v>71000</v>
      </c>
      <c r="F565" s="124"/>
      <c r="G565" s="117">
        <v>739692</v>
      </c>
      <c r="H565" s="283">
        <f>H566</f>
        <v>0</v>
      </c>
      <c r="I565" s="119">
        <f t="shared" si="118"/>
        <v>739692</v>
      </c>
    </row>
    <row r="566" spans="1:9" ht="47.25" x14ac:dyDescent="0.25">
      <c r="A566" s="851" t="str">
        <f>IF(B566&gt;0,VLOOKUP(B566,КВСР!A160:B1325,2),IF(C566&gt;0,VLOOKUP(C566,КФСР!A160:B1672,2),IF(D566&gt;0,VLOOKUP(D566,Программа!A$1:B$5112,2),IF(F566&gt;0,VLOOKUP(F566,КВР!A$1:B$5001,2),IF(E566&gt;0,VLOOKUP(E566,Направление!A$1:B$4791,2))))))</f>
        <v>Предоставление субсидий бюджетным, автономным учреждениям и иным некоммерческим организациям</v>
      </c>
      <c r="B566" s="122"/>
      <c r="C566" s="123"/>
      <c r="D566" s="124"/>
      <c r="E566" s="123"/>
      <c r="F566" s="124">
        <v>600</v>
      </c>
      <c r="G566" s="294">
        <v>739692</v>
      </c>
      <c r="H566" s="283"/>
      <c r="I566" s="119">
        <f t="shared" si="118"/>
        <v>739692</v>
      </c>
    </row>
    <row r="567" spans="1:9" ht="110.25" x14ac:dyDescent="0.25">
      <c r="A567" s="851" t="str">
        <f>IF(B567&gt;0,VLOOKUP(B567,КВСР!A161:B1326,2),IF(C567&gt;0,VLOOKUP(C567,КФСР!A161:B1673,2),IF(D567&gt;0,VLOOKUP(D567,Программа!A$1:B$5112,2),IF(F567&gt;0,VLOOKUP(F567,КВР!A$1:B$5001,2),IF(E567&gt;0,VLOOKUP(E567,Направление!A$1:B$4791,2))))))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7" s="122"/>
      <c r="C567" s="123"/>
      <c r="D567" s="125"/>
      <c r="E567" s="123">
        <v>71060</v>
      </c>
      <c r="F567" s="124"/>
      <c r="G567" s="117">
        <v>4936950</v>
      </c>
      <c r="H567" s="283">
        <f>H568+H569</f>
        <v>0</v>
      </c>
      <c r="I567" s="119">
        <f t="shared" si="118"/>
        <v>4936950</v>
      </c>
    </row>
    <row r="568" spans="1:9" ht="31.5" x14ac:dyDescent="0.25">
      <c r="A568" s="851" t="str">
        <f>IF(B568&gt;0,VLOOKUP(B568,КВСР!A162:B1327,2),IF(C568&gt;0,VLOOKUP(C568,КФСР!A162:B1674,2),IF(D568&gt;0,VLOOKUP(D568,Программа!A$1:B$5112,2),IF(F568&gt;0,VLOOKUP(F568,КВР!A$1:B$5001,2),IF(E568&gt;0,VLOOKUP(E568,Направление!A$1:B$4791,2))))))</f>
        <v>Социальное обеспечение и иные выплаты населению</v>
      </c>
      <c r="B568" s="122"/>
      <c r="C568" s="123"/>
      <c r="D568" s="124"/>
      <c r="E568" s="123"/>
      <c r="F568" s="124">
        <v>300</v>
      </c>
      <c r="G568" s="294">
        <v>3498140</v>
      </c>
      <c r="H568" s="283">
        <v>118490</v>
      </c>
      <c r="I568" s="119">
        <f t="shared" si="118"/>
        <v>3616630</v>
      </c>
    </row>
    <row r="569" spans="1:9" ht="47.25" x14ac:dyDescent="0.25">
      <c r="A569" s="851" t="str">
        <f>IF(B569&gt;0,VLOOKUP(B569,КВСР!A163:B1328,2),IF(C569&gt;0,VLOOKUP(C569,КФСР!A163:B1675,2),IF(D569&gt;0,VLOOKUP(D569,Программа!A$1:B$5112,2),IF(F569&gt;0,VLOOKUP(F569,КВР!A$1:B$5001,2),IF(E569&gt;0,VLOOKUP(E569,Направление!A$1:B$4791,2))))))</f>
        <v>Предоставление субсидий бюджетным, автономным учреждениям и иным некоммерческим организациям</v>
      </c>
      <c r="B569" s="122"/>
      <c r="C569" s="123"/>
      <c r="D569" s="124"/>
      <c r="E569" s="123"/>
      <c r="F569" s="124">
        <v>600</v>
      </c>
      <c r="G569" s="294">
        <v>1438810</v>
      </c>
      <c r="H569" s="283">
        <v>-118490</v>
      </c>
      <c r="I569" s="119">
        <f t="shared" si="118"/>
        <v>1320320</v>
      </c>
    </row>
    <row r="570" spans="1:9" ht="47.25" x14ac:dyDescent="0.25">
      <c r="A570" s="851" t="str">
        <f>IF(B570&gt;0,VLOOKUP(B570,КВСР!A164:B1329,2),IF(C570&gt;0,VLOOKUP(C570,КФСР!A164:B1676,2),IF(D570&gt;0,VLOOKUP(D570,Программа!A$1:B$5112,2),IF(F570&gt;0,VLOOKUP(F570,КВР!A$1:B$5001,2),IF(E570&gt;0,VLOOKUP(E570,Направление!A$1:B$4791,2))))))</f>
        <v>Субвенция на частичную оплату стоимости путевки в организации отдыха детей и их оздоровления</v>
      </c>
      <c r="B570" s="122"/>
      <c r="C570" s="123"/>
      <c r="D570" s="124"/>
      <c r="E570" s="123">
        <v>75160</v>
      </c>
      <c r="F570" s="124"/>
      <c r="G570" s="294">
        <v>36808</v>
      </c>
      <c r="H570" s="283">
        <f>H571</f>
        <v>0</v>
      </c>
      <c r="I570" s="119">
        <f t="shared" si="118"/>
        <v>36808</v>
      </c>
    </row>
    <row r="571" spans="1:9" ht="31.5" x14ac:dyDescent="0.25">
      <c r="A571" s="851" t="str">
        <f>IF(B571&gt;0,VLOOKUP(B571,КВСР!A165:B1330,2),IF(C571&gt;0,VLOOKUP(C571,КФСР!A165:B1677,2),IF(D571&gt;0,VLOOKUP(D571,Программа!A$1:B$5112,2),IF(F571&gt;0,VLOOKUP(F571,КВР!A$1:B$5001,2),IF(E571&gt;0,VLOOKUP(E571,Направление!A$1:B$4791,2))))))</f>
        <v>Социальное обеспечение и иные выплаты населению</v>
      </c>
      <c r="B571" s="122"/>
      <c r="C571" s="123"/>
      <c r="D571" s="124"/>
      <c r="E571" s="123"/>
      <c r="F571" s="124">
        <v>300</v>
      </c>
      <c r="G571" s="294">
        <v>36808</v>
      </c>
      <c r="H571" s="283"/>
      <c r="I571" s="119">
        <f t="shared" si="118"/>
        <v>36808</v>
      </c>
    </row>
    <row r="572" spans="1:9" s="302" customFormat="1" hidden="1" x14ac:dyDescent="0.25">
      <c r="A572" s="853" t="str">
        <f>IF(B572&gt;0,VLOOKUP(B572,КВСР!A167:B1332,2),IF(C572&gt;0,VLOOKUP(C572,КФСР!A167:B1679,2),IF(D572&gt;0,VLOOKUP(D572,Программа!A$1:B$5112,2),IF(F572&gt;0,VLOOKUP(F572,КВР!A$1:B$5001,2),IF(E572&gt;0,VLOOKUP(E572,Направление!A$1:B$4791,2))))))</f>
        <v>Обеспечение компенсационных выплат</v>
      </c>
      <c r="B572" s="299"/>
      <c r="C572" s="300"/>
      <c r="D572" s="125" t="s">
        <v>1141</v>
      </c>
      <c r="E572" s="300"/>
      <c r="F572" s="301"/>
      <c r="G572" s="294">
        <v>0</v>
      </c>
      <c r="H572" s="283">
        <f>H573</f>
        <v>0</v>
      </c>
      <c r="I572" s="119">
        <f t="shared" si="118"/>
        <v>0</v>
      </c>
    </row>
    <row r="573" spans="1:9" ht="47.25" hidden="1" x14ac:dyDescent="0.25">
      <c r="A573" s="851" t="str">
        <f>IF(B573&gt;0,VLOOKUP(B573,КВСР!A164:B1329,2),IF(C573&gt;0,VLOOKUP(C573,КФСР!A164:B1676,2),IF(D573&gt;0,VLOOKUP(D573,Программа!A$1:B$5112,2),IF(F573&gt;0,VLOOKUP(F573,КВР!A$1:B$5001,2),IF(E573&gt;0,VLOOKUP(E573,Направление!A$1:B$4791,2))))))</f>
        <v>Компенсация части расходов на приобретение путевки в организации отдыха детей и их оздоровления</v>
      </c>
      <c r="B573" s="122"/>
      <c r="C573" s="123"/>
      <c r="D573" s="124"/>
      <c r="E573" s="123">
        <v>74390</v>
      </c>
      <c r="F573" s="124"/>
      <c r="G573" s="117">
        <v>0</v>
      </c>
      <c r="H573" s="283">
        <f>H574</f>
        <v>0</v>
      </c>
      <c r="I573" s="119">
        <f t="shared" si="118"/>
        <v>0</v>
      </c>
    </row>
    <row r="574" spans="1:9" ht="31.5" hidden="1" x14ac:dyDescent="0.25">
      <c r="A574" s="851" t="str">
        <f>IF(B574&gt;0,VLOOKUP(B574,КВСР!A165:B1330,2),IF(C574&gt;0,VLOOKUP(C574,КФСР!A165:B1677,2),IF(D574&gt;0,VLOOKUP(D574,Программа!A$1:B$5112,2),IF(F574&gt;0,VLOOKUP(F574,КВР!A$1:B$5001,2),IF(E574&gt;0,VLOOKUP(E574,Направление!A$1:B$4791,2))))))</f>
        <v>Социальное обеспечение и иные выплаты населению</v>
      </c>
      <c r="B574" s="122"/>
      <c r="C574" s="123"/>
      <c r="D574" s="124"/>
      <c r="E574" s="123"/>
      <c r="F574" s="124">
        <v>300</v>
      </c>
      <c r="G574" s="294">
        <v>0</v>
      </c>
      <c r="H574" s="283"/>
      <c r="I574" s="119">
        <f t="shared" si="118"/>
        <v>0</v>
      </c>
    </row>
    <row r="575" spans="1:9" x14ac:dyDescent="0.25">
      <c r="A575" s="851" t="str">
        <f>IF(B575&gt;0,VLOOKUP(B575,КВСР!A160:B1325,2),IF(C575&gt;0,VLOOKUP(C575,КФСР!A160:B1672,2),IF(D575&gt;0,VLOOKUP(D575,Программа!A$1:B$5112,2),IF(F575&gt;0,VLOOKUP(F575,КВР!A$1:B$5001,2),IF(E575&gt;0,VLOOKUP(E575,Направление!A$1:B$4791,2))))))</f>
        <v>Другие вопросы в области образования</v>
      </c>
      <c r="B575" s="122"/>
      <c r="C575" s="123">
        <v>709</v>
      </c>
      <c r="D575" s="125"/>
      <c r="E575" s="123"/>
      <c r="F575" s="124"/>
      <c r="G575" s="338">
        <v>43073767</v>
      </c>
      <c r="H575" s="338">
        <f t="shared" ref="H575:I575" si="129">H576+H589+H651+H655+H646+H638</f>
        <v>69692</v>
      </c>
      <c r="I575" s="338">
        <f t="shared" si="129"/>
        <v>43143459</v>
      </c>
    </row>
    <row r="576" spans="1:9" ht="63" hidden="1" x14ac:dyDescent="0.25">
      <c r="A576" s="851" t="str">
        <f>IF(B576&gt;0,VLOOKUP(B576,КВСР!A161:B1326,2),IF(C576&gt;0,VLOOKUP(C576,КФСР!A161:B1673,2),IF(D576&gt;0,VLOOKUP(D576,Программа!A$1:B$5112,2),IF(F576&gt;0,VLOOKUP(F576,КВР!A$1:B$5001,2),IF(E576&gt;0,VLOOKUP(E576,Направление!A$1:B$4791,2))))))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6" s="122"/>
      <c r="C576" s="123"/>
      <c r="D576" s="125" t="s">
        <v>470</v>
      </c>
      <c r="E576" s="123"/>
      <c r="F576" s="124"/>
      <c r="G576" s="119">
        <v>0</v>
      </c>
      <c r="H576" s="338">
        <f>H577+H583</f>
        <v>0</v>
      </c>
      <c r="I576" s="119">
        <f t="shared" si="118"/>
        <v>0</v>
      </c>
    </row>
    <row r="577" spans="1:9" ht="94.5" hidden="1" x14ac:dyDescent="0.25">
      <c r="A577" s="851" t="str">
        <f>IF(B577&gt;0,VLOOKUP(B577,КВСР!A162:B1327,2),IF(C577&gt;0,VLOOKUP(C577,КФСР!A162:B1674,2),IF(D577&gt;0,VLOOKUP(D577,Программа!A$1:B$5112,2),IF(F577&gt;0,VLOOKUP(F577,КВР!A$1:B$5001,2),IF(E577&gt;0,VLOOKUP(E577,Направление!A$1:B$4791,2))))))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7" s="122"/>
      <c r="C577" s="123"/>
      <c r="D577" s="125" t="s">
        <v>472</v>
      </c>
      <c r="E577" s="123"/>
      <c r="F577" s="124"/>
      <c r="G577" s="119">
        <v>0</v>
      </c>
      <c r="H577" s="338">
        <f t="shared" ref="H577:H579" si="130">H578</f>
        <v>0</v>
      </c>
      <c r="I577" s="119">
        <f t="shared" si="118"/>
        <v>0</v>
      </c>
    </row>
    <row r="578" spans="1:9" ht="78.75" hidden="1" x14ac:dyDescent="0.25">
      <c r="A578" s="851" t="str">
        <f>IF(B578&gt;0,VLOOKUP(B578,КВСР!A163:B1328,2),IF(C578&gt;0,VLOOKUP(C578,КФСР!A163:B1675,2),IF(D578&gt;0,VLOOKUP(D578,Программа!A$1:B$5112,2),IF(F578&gt;0,VLOOKUP(F578,КВР!A$1:B$5001,2),IF(E578&gt;0,VLOOKUP(E578,Направление!A$1:B$4791,2))))))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8" s="122"/>
      <c r="C578" s="123"/>
      <c r="D578" s="125" t="s">
        <v>474</v>
      </c>
      <c r="E578" s="123"/>
      <c r="F578" s="124"/>
      <c r="G578" s="119">
        <v>0</v>
      </c>
      <c r="H578" s="338">
        <f t="shared" ref="H578:I578" si="131">H579+H581</f>
        <v>0</v>
      </c>
      <c r="I578" s="119">
        <f t="shared" si="131"/>
        <v>0</v>
      </c>
    </row>
    <row r="579" spans="1:9" ht="31.5" hidden="1" x14ac:dyDescent="0.25">
      <c r="A579" s="852" t="str">
        <f>IF(B579&gt;0,VLOOKUP(B579,КВСР!A164:B1329,2),IF(C579&gt;0,VLOOKUP(C579,КФСР!A164:B1676,2),IF(D579&gt;0,VLOOKUP(D579,Программа!A$1:B$5112,2),IF(F579&gt;0,VLOOKUP(F579,КВР!A$1:B$5001,2),IF(E579&gt;0,VLOOKUP(E579,Направление!A$1:B$4791,2))))))</f>
        <v>Мероприятия по патриотическому воспитанию граждан</v>
      </c>
      <c r="B579" s="379"/>
      <c r="C579" s="380"/>
      <c r="D579" s="381"/>
      <c r="E579" s="380">
        <v>14880</v>
      </c>
      <c r="F579" s="370"/>
      <c r="G579" s="119">
        <v>0</v>
      </c>
      <c r="H579" s="338">
        <f t="shared" si="130"/>
        <v>0</v>
      </c>
      <c r="I579" s="119">
        <f t="shared" si="118"/>
        <v>0</v>
      </c>
    </row>
    <row r="580" spans="1:9" ht="47.25" hidden="1" x14ac:dyDescent="0.25">
      <c r="A580" s="852" t="str">
        <f>IF(B580&gt;0,VLOOKUP(B580,КВСР!A165:B1330,2),IF(C580&gt;0,VLOOKUP(C580,КФСР!A165:B1677,2),IF(D580&gt;0,VLOOKUP(D580,Программа!A$1:B$5112,2),IF(F580&gt;0,VLOOKUP(F580,КВР!A$1:B$5001,2),IF(E580&gt;0,VLOOKUP(E580,Направление!A$1:B$4791,2))))))</f>
        <v>Предоставление субсидий бюджетным, автономным учреждениям и иным некоммерческим организациям</v>
      </c>
      <c r="B580" s="379"/>
      <c r="C580" s="380"/>
      <c r="D580" s="381"/>
      <c r="E580" s="380"/>
      <c r="F580" s="370">
        <v>600</v>
      </c>
      <c r="G580" s="384">
        <v>0</v>
      </c>
      <c r="H580" s="338"/>
      <c r="I580" s="119">
        <f t="shared" si="118"/>
        <v>0</v>
      </c>
    </row>
    <row r="581" spans="1:9" ht="31.5" hidden="1" x14ac:dyDescent="0.25">
      <c r="A581" s="852" t="str">
        <f>IF(B581&gt;0,VLOOKUP(B581,КВСР!A166:B1331,2),IF(C581&gt;0,VLOOKUP(C581,КФСР!A166:B1678,2),IF(D581&gt;0,VLOOKUP(D581,Программа!A$1:B$5112,2),IF(F581&gt;0,VLOOKUP(F581,КВР!A$1:B$5001,2),IF(E581&gt;0,VLOOKUP(E581,Направление!A$1:B$4791,2))))))</f>
        <v>Мероприятия по патриотическому воспитанию граждан</v>
      </c>
      <c r="B581" s="379"/>
      <c r="C581" s="380"/>
      <c r="D581" s="381"/>
      <c r="E581" s="380">
        <v>74880</v>
      </c>
      <c r="F581" s="370"/>
      <c r="G581" s="384">
        <v>0</v>
      </c>
      <c r="H581" s="389">
        <f t="shared" ref="H581:I581" si="132">H582</f>
        <v>0</v>
      </c>
      <c r="I581" s="384">
        <f t="shared" si="132"/>
        <v>0</v>
      </c>
    </row>
    <row r="582" spans="1:9" ht="47.25" hidden="1" x14ac:dyDescent="0.25">
      <c r="A582" s="852" t="str">
        <f>IF(B582&gt;0,VLOOKUP(B582,КВСР!A167:B1332,2),IF(C582&gt;0,VLOOKUP(C582,КФСР!A167:B1679,2),IF(D582&gt;0,VLOOKUP(D582,Программа!A$1:B$5112,2),IF(F582&gt;0,VLOOKUP(F582,КВР!A$1:B$5001,2),IF(E582&gt;0,VLOOKUP(E582,Направление!A$1:B$4791,2))))))</f>
        <v>Предоставление субсидий бюджетным, автономным учреждениям и иным некоммерческим организациям</v>
      </c>
      <c r="B582" s="379"/>
      <c r="C582" s="380"/>
      <c r="D582" s="381"/>
      <c r="E582" s="380"/>
      <c r="F582" s="370">
        <v>600</v>
      </c>
      <c r="G582" s="384">
        <v>0</v>
      </c>
      <c r="H582" s="338"/>
      <c r="I582" s="119">
        <f>G582+H582</f>
        <v>0</v>
      </c>
    </row>
    <row r="583" spans="1:9" ht="63" hidden="1" x14ac:dyDescent="0.25">
      <c r="A583" s="851" t="str">
        <f>IF(B583&gt;0,VLOOKUP(B583,КВСР!A166:B1331,2),IF(C583&gt;0,VLOOKUP(C583,КФСР!A166:B1678,2),IF(D583&gt;0,VLOOKUP(D583,Программа!A$1:B$5112,2),IF(F583&gt;0,VLOOKUP(F583,КВР!A$1:B$5001,2),IF(E583&gt;0,VLOOKUP(E583,Направление!A$1:B$4791,2))))))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3" s="122"/>
      <c r="C583" s="123"/>
      <c r="D583" s="125" t="s">
        <v>477</v>
      </c>
      <c r="E583" s="123"/>
      <c r="F583" s="124"/>
      <c r="G583" s="119">
        <v>0</v>
      </c>
      <c r="H583" s="338">
        <f>H584</f>
        <v>0</v>
      </c>
      <c r="I583" s="119">
        <f t="shared" si="118"/>
        <v>0</v>
      </c>
    </row>
    <row r="584" spans="1:9" ht="47.25" hidden="1" x14ac:dyDescent="0.25">
      <c r="A584" s="851" t="str">
        <f>IF(B584&gt;0,VLOOKUP(B584,КВСР!A167:B1332,2),IF(C584&gt;0,VLOOKUP(C584,КФСР!A167:B1679,2),IF(D584&gt;0,VLOOKUP(D584,Программа!A$1:B$5112,2),IF(F584&gt;0,VLOOKUP(F584,КВР!A$1:B$5001,2),IF(E584&gt;0,VLOOKUP(E584,Направление!A$1:B$4791,2))))))</f>
        <v>Развитие системы профилактики немедицинского потребления наркотиков</v>
      </c>
      <c r="B584" s="122"/>
      <c r="C584" s="123"/>
      <c r="D584" s="125" t="s">
        <v>479</v>
      </c>
      <c r="E584" s="123"/>
      <c r="F584" s="124"/>
      <c r="G584" s="119">
        <v>0</v>
      </c>
      <c r="H584" s="338">
        <f>H585+H587</f>
        <v>0</v>
      </c>
      <c r="I584" s="119">
        <f t="shared" si="118"/>
        <v>0</v>
      </c>
    </row>
    <row r="585" spans="1:9" ht="63" hidden="1" x14ac:dyDescent="0.25">
      <c r="A585" s="851" t="str">
        <f>IF(B585&gt;0,VLOOKUP(B585,КВСР!A168:B1333,2),IF(C585&gt;0,VLOOKUP(C585,КФСР!A168:B1680,2),IF(D585&gt;0,VLOOKUP(D585,Программа!A$1:B$5112,2),IF(F585&gt;0,VLOOKUP(F585,КВР!A$1:B$5001,2),IF(E585&gt;0,VLOOKUP(E585,Направление!A$1:B$4791,2))))))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5" s="122"/>
      <c r="C585" s="123"/>
      <c r="D585" s="125"/>
      <c r="E585" s="123" t="s">
        <v>481</v>
      </c>
      <c r="F585" s="124"/>
      <c r="G585" s="119">
        <v>0</v>
      </c>
      <c r="H585" s="338">
        <f>H586</f>
        <v>0</v>
      </c>
      <c r="I585" s="119">
        <f t="shared" si="118"/>
        <v>0</v>
      </c>
    </row>
    <row r="586" spans="1:9" ht="47.25" hidden="1" x14ac:dyDescent="0.25">
      <c r="A586" s="851" t="str">
        <f>IF(B586&gt;0,VLOOKUP(B586,КВСР!A169:B1334,2),IF(C586&gt;0,VLOOKUP(C586,КФСР!A169:B1681,2),IF(D586&gt;0,VLOOKUP(D586,Программа!A$1:B$5112,2),IF(F586&gt;0,VLOOKUP(F586,КВР!A$1:B$5001,2),IF(E586&gt;0,VLOOKUP(E586,Направление!A$1:B$4791,2))))))</f>
        <v>Предоставление субсидий бюджетным, автономным учреждениям и иным некоммерческим организациям</v>
      </c>
      <c r="B586" s="122"/>
      <c r="C586" s="123"/>
      <c r="D586" s="125"/>
      <c r="E586" s="123"/>
      <c r="F586" s="124">
        <v>600</v>
      </c>
      <c r="G586" s="276">
        <v>0</v>
      </c>
      <c r="H586" s="338"/>
      <c r="I586" s="119">
        <f t="shared" si="118"/>
        <v>0</v>
      </c>
    </row>
    <row r="587" spans="1:9" ht="78.75" hidden="1" x14ac:dyDescent="0.25">
      <c r="A587" s="851" t="str">
        <f>IF(B587&gt;0,VLOOKUP(B587,КВСР!A170:B1335,2),IF(C587&gt;0,VLOOKUP(C587,КФСР!A170:B1682,2),IF(D587&gt;0,VLOOKUP(D587,Программа!A$1:B$5112,2),IF(F587&gt;0,VLOOKUP(F587,КВР!A$1:B$5001,2),IF(E587&gt;0,VLOOKUP(E587,Направление!A$1:B$4791,2))))))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7" s="122"/>
      <c r="C587" s="123"/>
      <c r="D587" s="125"/>
      <c r="E587" s="123">
        <v>71430</v>
      </c>
      <c r="F587" s="124"/>
      <c r="G587" s="119">
        <v>0</v>
      </c>
      <c r="H587" s="338">
        <f>H588</f>
        <v>0</v>
      </c>
      <c r="I587" s="119">
        <f t="shared" si="118"/>
        <v>0</v>
      </c>
    </row>
    <row r="588" spans="1:9" ht="47.25" hidden="1" x14ac:dyDescent="0.25">
      <c r="A588" s="851" t="str">
        <f>IF(B588&gt;0,VLOOKUP(B588,КВСР!A171:B1336,2),IF(C588&gt;0,VLOOKUP(C588,КФСР!A171:B1683,2),IF(D588&gt;0,VLOOKUP(D588,Программа!A$1:B$5112,2),IF(F588&gt;0,VLOOKUP(F588,КВР!A$1:B$5001,2),IF(E588&gt;0,VLOOKUP(E588,Направление!A$1:B$4791,2))))))</f>
        <v>Предоставление субсидий бюджетным, автономным учреждениям и иным некоммерческим организациям</v>
      </c>
      <c r="B588" s="122"/>
      <c r="C588" s="123"/>
      <c r="D588" s="125"/>
      <c r="E588" s="123"/>
      <c r="F588" s="124">
        <v>600</v>
      </c>
      <c r="G588" s="276">
        <v>0</v>
      </c>
      <c r="H588" s="338"/>
      <c r="I588" s="119">
        <f t="shared" si="118"/>
        <v>0</v>
      </c>
    </row>
    <row r="589" spans="1:9" ht="63" x14ac:dyDescent="0.25">
      <c r="A589" s="851" t="str">
        <f>IF(B589&gt;0,VLOOKUP(B589,КВСР!A166:B1331,2),IF(C589&gt;0,VLOOKUP(C589,КФСР!A166:B1678,2),IF(D589&gt;0,VLOOKUP(D589,Программа!A$1:B$5112,2),IF(F589&gt;0,VLOOKUP(F589,КВР!A$1:B$5001,2),IF(E589&gt;0,VLOOKUP(E589,Направление!A$1:B$4791,2))))))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89" s="122"/>
      <c r="C589" s="123"/>
      <c r="D589" s="125" t="s">
        <v>441</v>
      </c>
      <c r="E589" s="123"/>
      <c r="F589" s="124"/>
      <c r="G589" s="338">
        <v>42082944</v>
      </c>
      <c r="H589" s="338">
        <f t="shared" ref="H589:I589" si="133">H590+H634</f>
        <v>69692</v>
      </c>
      <c r="I589" s="338">
        <f t="shared" si="133"/>
        <v>42152636</v>
      </c>
    </row>
    <row r="590" spans="1:9" ht="63" x14ac:dyDescent="0.25">
      <c r="A590" s="851" t="str">
        <f>IF(B590&gt;0,VLOOKUP(B590,КВСР!A167:B1332,2),IF(C590&gt;0,VLOOKUP(C590,КФСР!A167:B1679,2),IF(D590&gt;0,VLOOKUP(D590,Программа!A$1:B$5112,2),IF(F590&gt;0,VLOOKUP(F590,КВР!A$1:B$5001,2),IF(E590&gt;0,VLOOKUP(E590,Направление!A$1:B$4791,2))))))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90" s="122"/>
      <c r="C590" s="123"/>
      <c r="D590" s="125" t="s">
        <v>443</v>
      </c>
      <c r="E590" s="123"/>
      <c r="F590" s="124"/>
      <c r="G590" s="338">
        <v>42077944</v>
      </c>
      <c r="H590" s="338">
        <f t="shared" ref="H590:I590" si="134">H597+H602+H615+H591+H610</f>
        <v>69692</v>
      </c>
      <c r="I590" s="338">
        <f t="shared" si="134"/>
        <v>42147636</v>
      </c>
    </row>
    <row r="591" spans="1:9" ht="47.25" x14ac:dyDescent="0.25">
      <c r="A591" s="851" t="str">
        <f>IF(B591&gt;0,VLOOKUP(B591,КВСР!A168:B1333,2),IF(C591&gt;0,VLOOKUP(C591,КФСР!A168:B1680,2),IF(D591&gt;0,VLOOKUP(D591,Программа!A$1:B$5112,2),IF(F591&gt;0,VLOOKUP(F591,КВР!A$1:B$5001,2),IF(E591&gt;0,VLOOKUP(E591,Направление!A$1:B$4791,2))))))</f>
        <v>Обеспечение качества и доступности образовательных услуг в сфере дополнительного образования</v>
      </c>
      <c r="B591" s="122"/>
      <c r="C591" s="123"/>
      <c r="D591" s="125" t="s">
        <v>505</v>
      </c>
      <c r="E591" s="123"/>
      <c r="F591" s="124"/>
      <c r="G591" s="119">
        <v>95000</v>
      </c>
      <c r="H591" s="338">
        <f>H593+H594+H595+H596</f>
        <v>0</v>
      </c>
      <c r="I591" s="119">
        <f t="shared" si="118"/>
        <v>95000</v>
      </c>
    </row>
    <row r="592" spans="1:9" x14ac:dyDescent="0.25">
      <c r="A592" s="851" t="str">
        <f>IF(B592&gt;0,VLOOKUP(B592,КВСР!A169:B1334,2),IF(C592&gt;0,VLOOKUP(C592,КФСР!A169:B1681,2),IF(D592&gt;0,VLOOKUP(D592,Программа!A$1:B$5112,2),IF(F592&gt;0,VLOOKUP(F592,КВР!A$1:B$5001,2),IF(E592&gt;0,VLOOKUP(E592,Направление!A$1:B$4791,2))))))</f>
        <v>Мероприятия в сфере образования</v>
      </c>
      <c r="B592" s="122"/>
      <c r="C592" s="123"/>
      <c r="D592" s="125"/>
      <c r="E592" s="123">
        <v>13320</v>
      </c>
      <c r="F592" s="124"/>
      <c r="G592" s="119">
        <v>95000</v>
      </c>
      <c r="H592" s="338">
        <f>H593+H594+H595+H596</f>
        <v>0</v>
      </c>
      <c r="I592" s="119">
        <f t="shared" si="118"/>
        <v>95000</v>
      </c>
    </row>
    <row r="593" spans="1:9" ht="110.25" hidden="1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2"/>
      <c r="C593" s="123"/>
      <c r="D593" s="125"/>
      <c r="E593" s="123"/>
      <c r="F593" s="124">
        <v>100</v>
      </c>
      <c r="G593" s="276">
        <v>0</v>
      </c>
      <c r="H593" s="338"/>
      <c r="I593" s="119">
        <f t="shared" si="118"/>
        <v>0</v>
      </c>
    </row>
    <row r="594" spans="1:9" ht="63" x14ac:dyDescent="0.25">
      <c r="A594" s="851" t="str">
        <f>IF(B594&gt;0,VLOOKUP(B594,КВСР!A170:B1335,2),IF(C594&gt;0,VLOOKUP(C594,КФСР!A170:B1682,2),IF(D594&gt;0,VLOOKUP(D594,Программа!A$1:B$5112,2),IF(F594&gt;0,VLOOKUP(F594,КВР!A$1:B$5001,2),IF(E594&gt;0,VLOOKUP(E594,Направление!A$1:B$4791,2))))))</f>
        <v xml:space="preserve">Закупка товаров, работ и услуг для обеспечения государственных (муниципальных) нужд
</v>
      </c>
      <c r="B594" s="122"/>
      <c r="C594" s="123"/>
      <c r="D594" s="125"/>
      <c r="E594" s="123"/>
      <c r="F594" s="124">
        <v>200</v>
      </c>
      <c r="G594" s="276">
        <v>95000</v>
      </c>
      <c r="H594" s="338"/>
      <c r="I594" s="119">
        <f t="shared" si="118"/>
        <v>95000</v>
      </c>
    </row>
    <row r="595" spans="1:9" ht="47.25" hidden="1" x14ac:dyDescent="0.25">
      <c r="A595" s="851" t="str">
        <f>IF(B595&gt;0,VLOOKUP(B595,КВСР!A171:B1336,2),IF(C595&gt;0,VLOOKUP(C595,КФСР!A171:B1683,2),IF(D595&gt;0,VLOOKUP(D595,Программа!A$1:B$5112,2),IF(F595&gt;0,VLOOKUP(F595,КВР!A$1:B$5001,2),IF(E595&gt;0,VLOOKUP(E595,Направление!A$1:B$4791,2))))))</f>
        <v>Предоставление субсидий бюджетным, автономным учреждениям и иным некоммерческим организациям</v>
      </c>
      <c r="B595" s="122"/>
      <c r="C595" s="123"/>
      <c r="D595" s="125"/>
      <c r="E595" s="123"/>
      <c r="F595" s="124">
        <v>600</v>
      </c>
      <c r="G595" s="276">
        <v>0</v>
      </c>
      <c r="H595" s="338">
        <v>0</v>
      </c>
      <c r="I595" s="119">
        <f t="shared" si="118"/>
        <v>0</v>
      </c>
    </row>
    <row r="596" spans="1:9" hidden="1" x14ac:dyDescent="0.25">
      <c r="A596" s="851" t="str">
        <f>IF(B596&gt;0,VLOOKUP(B596,КВСР!A172:B1337,2),IF(C596&gt;0,VLOOKUP(C596,КФСР!A172:B1684,2),IF(D596&gt;0,VLOOKUP(D596,Программа!A$1:B$5112,2),IF(F596&gt;0,VLOOKUP(F596,КВР!A$1:B$5001,2),IF(E596&gt;0,VLOOKUP(E596,Направление!A$1:B$4791,2))))))</f>
        <v>Иные бюджетные ассигнования</v>
      </c>
      <c r="B596" s="122"/>
      <c r="C596" s="123"/>
      <c r="D596" s="125"/>
      <c r="E596" s="123"/>
      <c r="F596" s="124">
        <v>800</v>
      </c>
      <c r="G596" s="276">
        <v>0</v>
      </c>
      <c r="H596" s="338"/>
      <c r="I596" s="119">
        <f t="shared" si="118"/>
        <v>0</v>
      </c>
    </row>
    <row r="597" spans="1:9" ht="31.5" x14ac:dyDescent="0.25">
      <c r="A597" s="851" t="str">
        <f>IF(B597&gt;0,VLOOKUP(B597,КВСР!A168:B1333,2),IF(C597&gt;0,VLOOKUP(C597,КФСР!A168:B1680,2),IF(D597&gt;0,VLOOKUP(D597,Программа!A$1:B$5112,2),IF(F597&gt;0,VLOOKUP(F597,КВР!A$1:B$5001,2),IF(E597&gt;0,VLOOKUP(E597,Направление!A$1:B$4791,2))))))</f>
        <v>Повышение мотивации участников образовательного процесса</v>
      </c>
      <c r="B597" s="122"/>
      <c r="C597" s="123"/>
      <c r="D597" s="125" t="s">
        <v>485</v>
      </c>
      <c r="E597" s="123"/>
      <c r="F597" s="124"/>
      <c r="G597" s="119">
        <v>382000</v>
      </c>
      <c r="H597" s="338">
        <f>H598+H600</f>
        <v>0</v>
      </c>
      <c r="I597" s="119">
        <f t="shared" si="118"/>
        <v>382000</v>
      </c>
    </row>
    <row r="598" spans="1:9" ht="31.5" x14ac:dyDescent="0.25">
      <c r="A598" s="851" t="str">
        <f>IF(B598&gt;0,VLOOKUP(B598,КВСР!A169:B1334,2),IF(C598&gt;0,VLOOKUP(C598,КФСР!A169:B1681,2),IF(D598&gt;0,VLOOKUP(D598,Программа!A$1:B$5112,2),IF(F598&gt;0,VLOOKUP(F598,КВР!A$1:B$5001,2),IF(E598&gt;0,VLOOKUP(E598,Направление!A$1:B$4791,2))))))</f>
        <v xml:space="preserve">Выплата ежемесячных разовых стипендий главы </v>
      </c>
      <c r="B598" s="122"/>
      <c r="C598" s="123"/>
      <c r="D598" s="125"/>
      <c r="E598" s="123">
        <v>12700</v>
      </c>
      <c r="F598" s="124"/>
      <c r="G598" s="119">
        <v>232000</v>
      </c>
      <c r="H598" s="338">
        <f>H599</f>
        <v>0</v>
      </c>
      <c r="I598" s="119">
        <f t="shared" si="118"/>
        <v>232000</v>
      </c>
    </row>
    <row r="599" spans="1:9" ht="31.5" x14ac:dyDescent="0.25">
      <c r="A599" s="851" t="str">
        <f>IF(B599&gt;0,VLOOKUP(B599,КВСР!A170:B1335,2),IF(C599&gt;0,VLOOKUP(C599,КФСР!A170:B1682,2),IF(D599&gt;0,VLOOKUP(D599,Программа!A$1:B$5112,2),IF(F599&gt;0,VLOOKUP(F599,КВР!A$1:B$5001,2),IF(E599&gt;0,VLOOKUP(E599,Направление!A$1:B$4791,2))))))</f>
        <v>Социальное обеспечение и иные выплаты населению</v>
      </c>
      <c r="B599" s="122"/>
      <c r="C599" s="123"/>
      <c r="D599" s="125"/>
      <c r="E599" s="123"/>
      <c r="F599" s="124">
        <v>300</v>
      </c>
      <c r="G599" s="276">
        <v>232000</v>
      </c>
      <c r="H599" s="338"/>
      <c r="I599" s="119">
        <f t="shared" si="118"/>
        <v>232000</v>
      </c>
    </row>
    <row r="600" spans="1:9" ht="63" x14ac:dyDescent="0.25">
      <c r="A600" s="851" t="str">
        <f>IF(B600&gt;0,VLOOKUP(B600,КВСР!A171:B1336,2),IF(C600&gt;0,VLOOKUP(C600,КФСР!A171:B1683,2),IF(D600&gt;0,VLOOKUP(D600,Программа!A$1:B$5112,2),IF(F600&gt;0,VLOOKUP(F600,КВР!A$1:B$5001,2),IF(E600&gt;0,VLOOKUP(E600,Направление!A$1:B$4791,2))))))</f>
        <v>Денежное поощрение лучших руководящих и педагогических работников за заслуги в сфере образования</v>
      </c>
      <c r="B600" s="122"/>
      <c r="C600" s="123"/>
      <c r="D600" s="125"/>
      <c r="E600" s="123">
        <v>12710</v>
      </c>
      <c r="F600" s="124"/>
      <c r="G600" s="119">
        <v>150000</v>
      </c>
      <c r="H600" s="338">
        <f>H601</f>
        <v>0</v>
      </c>
      <c r="I600" s="119">
        <f t="shared" si="118"/>
        <v>150000</v>
      </c>
    </row>
    <row r="601" spans="1:9" ht="31.5" x14ac:dyDescent="0.25">
      <c r="A601" s="851" t="str">
        <f>IF(B601&gt;0,VLOOKUP(B601,КВСР!A172:B1337,2),IF(C601&gt;0,VLOOKUP(C601,КФСР!A172:B1684,2),IF(D601&gt;0,VLOOKUP(D601,Программа!A$1:B$5112,2),IF(F601&gt;0,VLOOKUP(F601,КВР!A$1:B$5001,2),IF(E601&gt;0,VLOOKUP(E601,Направление!A$1:B$4791,2))))))</f>
        <v>Социальное обеспечение и иные выплаты населению</v>
      </c>
      <c r="B601" s="122"/>
      <c r="C601" s="123"/>
      <c r="D601" s="125"/>
      <c r="E601" s="123"/>
      <c r="F601" s="124">
        <v>300</v>
      </c>
      <c r="G601" s="276">
        <v>150000</v>
      </c>
      <c r="H601" s="338"/>
      <c r="I601" s="119">
        <f t="shared" si="118"/>
        <v>150000</v>
      </c>
    </row>
    <row r="602" spans="1:9" ht="78.75" x14ac:dyDescent="0.25">
      <c r="A602" s="851" t="str">
        <f>IF(B602&gt;0,VLOOKUP(B602,КВСР!A173:B1338,2),IF(C602&gt;0,VLOOKUP(C602,КФСР!A173:B1685,2),IF(D602&gt;0,VLOOKUP(D602,Программа!A$1:B$5112,2),IF(F602&gt;0,VLOOKUP(F602,КВР!A$1:B$5001,2),IF(E602&gt;0,VLOOKUP(E602,Направление!A$1:B$4791,2))))))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02" s="122"/>
      <c r="C602" s="123"/>
      <c r="D602" s="125" t="s">
        <v>462</v>
      </c>
      <c r="E602" s="123"/>
      <c r="F602" s="124"/>
      <c r="G602" s="119">
        <v>10949523</v>
      </c>
      <c r="H602" s="338">
        <f t="shared" ref="H602:I602" si="135">H603+H606+H608</f>
        <v>13000</v>
      </c>
      <c r="I602" s="119">
        <f t="shared" si="135"/>
        <v>10962523</v>
      </c>
    </row>
    <row r="603" spans="1:9" ht="31.5" x14ac:dyDescent="0.25">
      <c r="A603" s="851" t="str">
        <f>IF(B603&gt;0,VLOOKUP(B603,КВСР!A174:B1339,2),IF(C603&gt;0,VLOOKUP(C603,КФСР!A174:B1686,2),IF(D603&gt;0,VLOOKUP(D603,Программа!A$1:B$5112,2),IF(F603&gt;0,VLOOKUP(F603,КВР!A$1:B$5001,2),IF(E603&gt;0,VLOOKUP(E603,Направление!A$1:B$4791,2))))))</f>
        <v>Обеспечение деятельности прочих учреждений в сфере образования</v>
      </c>
      <c r="B603" s="122"/>
      <c r="C603" s="123"/>
      <c r="D603" s="125"/>
      <c r="E603" s="123">
        <v>13310</v>
      </c>
      <c r="F603" s="124"/>
      <c r="G603" s="119">
        <v>10949523</v>
      </c>
      <c r="H603" s="338">
        <f>H604+H605</f>
        <v>13000</v>
      </c>
      <c r="I603" s="119">
        <f t="shared" si="118"/>
        <v>10962523</v>
      </c>
    </row>
    <row r="604" spans="1:9" ht="63" hidden="1" x14ac:dyDescent="0.25">
      <c r="A604" s="851" t="str">
        <f>IF(B604&gt;0,VLOOKUP(B604,КВСР!A175:B1340,2),IF(C604&gt;0,VLOOKUP(C604,КФСР!A175:B1687,2),IF(D604&gt;0,VLOOKUP(D604,Программа!A$1:B$5112,2),IF(F604&gt;0,VLOOKUP(F604,КВР!A$1:B$5001,2),IF(E604&gt;0,VLOOKUP(E604,Направление!A$1:B$4791,2))))))</f>
        <v xml:space="preserve">Закупка товаров, работ и услуг для обеспечения государственных (муниципальных) нужд
</v>
      </c>
      <c r="B604" s="122"/>
      <c r="C604" s="123"/>
      <c r="D604" s="125"/>
      <c r="E604" s="123"/>
      <c r="F604" s="124">
        <v>200</v>
      </c>
      <c r="G604" s="276">
        <v>0</v>
      </c>
      <c r="H604" s="338"/>
      <c r="I604" s="119">
        <f t="shared" si="118"/>
        <v>0</v>
      </c>
    </row>
    <row r="605" spans="1:9" ht="47.25" x14ac:dyDescent="0.25">
      <c r="A605" s="851" t="str">
        <f>IF(B605&gt;0,VLOOKUP(B605,КВСР!A176:B1341,2),IF(C605&gt;0,VLOOKUP(C605,КФСР!A176:B1688,2),IF(D605&gt;0,VLOOKUP(D605,Программа!A$1:B$5112,2),IF(F605&gt;0,VLOOKUP(F605,КВР!A$1:B$5001,2),IF(E605&gt;0,VLOOKUP(E605,Направление!A$1:B$4791,2))))))</f>
        <v>Предоставление субсидий бюджетным, автономным учреждениям и иным некоммерческим организациям</v>
      </c>
      <c r="B605" s="122"/>
      <c r="C605" s="123"/>
      <c r="D605" s="125"/>
      <c r="E605" s="123"/>
      <c r="F605" s="124">
        <v>600</v>
      </c>
      <c r="G605" s="276">
        <v>10949523</v>
      </c>
      <c r="H605" s="338">
        <v>13000</v>
      </c>
      <c r="I605" s="119">
        <f t="shared" si="118"/>
        <v>10962523</v>
      </c>
    </row>
    <row r="606" spans="1:9" ht="47.25" hidden="1" x14ac:dyDescent="0.25">
      <c r="A606" s="851" t="str">
        <f>IF(B606&gt;0,VLOOKUP(B606,КВСР!A177:B1342,2),IF(C606&gt;0,VLOOKUP(C606,КФСР!A177:B1689,2),IF(D606&gt;0,VLOOKUP(D606,Программа!A$1:B$5112,2),IF(F606&gt;0,VLOOKUP(F606,КВР!A$1:B$5001,2),IF(E606&gt;0,VLOOKUP(E606,Направление!A$1:B$4791,2))))))</f>
        <v>Расходы на реализацию мероприятий инициативного бюджетирования на территории Ярославской области</v>
      </c>
      <c r="B606" s="122"/>
      <c r="C606" s="123"/>
      <c r="D606" s="125"/>
      <c r="E606" s="123">
        <v>15350</v>
      </c>
      <c r="F606" s="124"/>
      <c r="G606" s="276">
        <v>0</v>
      </c>
      <c r="H606" s="338">
        <f t="shared" ref="H606:I606" si="136">H607</f>
        <v>0</v>
      </c>
      <c r="I606" s="276">
        <f t="shared" si="136"/>
        <v>0</v>
      </c>
    </row>
    <row r="607" spans="1:9" ht="47.25" hidden="1" x14ac:dyDescent="0.25">
      <c r="A607" s="851" t="str">
        <f>IF(B607&gt;0,VLOOKUP(B607,КВСР!A178:B1343,2),IF(C607&gt;0,VLOOKUP(C607,КФСР!A178:B1690,2),IF(D607&gt;0,VLOOKUP(D607,Программа!A$1:B$5112,2),IF(F607&gt;0,VLOOKUP(F607,КВР!A$1:B$5001,2),IF(E607&gt;0,VLOOKUP(E607,Направление!A$1:B$4791,2))))))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18"/>
        <v>0</v>
      </c>
    </row>
    <row r="608" spans="1:9" ht="47.25" hidden="1" x14ac:dyDescent="0.25">
      <c r="A608" s="851" t="str">
        <f>IF(B608&gt;0,VLOOKUP(B608,КВСР!A179:B1344,2),IF(C608&gt;0,VLOOKUP(C608,КФСР!A179:B1691,2),IF(D608&gt;0,VLOOKUP(D608,Программа!A$1:B$5112,2),IF(F608&gt;0,VLOOKUP(F608,КВР!A$1:B$5001,2),IF(E608&gt;0,VLOOKUP(E608,Направление!A$1:B$4791,2))))))</f>
        <v>Расходы на реализацию мероприятий инициативного бюджетирования на территории Ярославской области</v>
      </c>
      <c r="B608" s="122"/>
      <c r="C608" s="123"/>
      <c r="D608" s="125"/>
      <c r="E608" s="123">
        <v>75350</v>
      </c>
      <c r="F608" s="124"/>
      <c r="G608" s="276">
        <v>0</v>
      </c>
      <c r="H608" s="338">
        <f t="shared" ref="H608:I608" si="137">H609</f>
        <v>0</v>
      </c>
      <c r="I608" s="276">
        <f t="shared" si="137"/>
        <v>0</v>
      </c>
    </row>
    <row r="609" spans="1:9" ht="47.25" hidden="1" x14ac:dyDescent="0.25">
      <c r="A609" s="851" t="str">
        <f>IF(B609&gt;0,VLOOKUP(B609,КВСР!A180:B1345,2),IF(C609&gt;0,VLOOKUP(C609,КФСР!A180:B1692,2),IF(D609&gt;0,VLOOKUP(D609,Программа!A$1:B$5112,2),IF(F609&gt;0,VLOOKUP(F609,КВР!A$1:B$5001,2),IF(E609&gt;0,VLOOKUP(E609,Направление!A$1:B$4791,2))))))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18"/>
        <v>0</v>
      </c>
    </row>
    <row r="610" spans="1:9" ht="31.5" hidden="1" x14ac:dyDescent="0.25">
      <c r="A610" s="851" t="str">
        <f>IF(B610&gt;0,VLOOKUP(B610,КВСР!A177:B1342,2),IF(C610&gt;0,VLOOKUP(C610,КФСР!A177:B1689,2),IF(D610&gt;0,VLOOKUP(D610,Программа!A$1:B$5112,2),IF(F610&gt;0,VLOOKUP(F610,КВР!A$1:B$5001,2),IF(E610&gt;0,VLOOKUP(E610,Направление!A$1:B$4791,2))))))</f>
        <v>Обеспечение детей организованными формами отдыха и оздоровления</v>
      </c>
      <c r="B610" s="122"/>
      <c r="C610" s="123"/>
      <c r="D610" s="125" t="s">
        <v>1136</v>
      </c>
      <c r="E610" s="123"/>
      <c r="F610" s="124"/>
      <c r="G610" s="276">
        <v>0</v>
      </c>
      <c r="H610" s="338">
        <f>H611</f>
        <v>0</v>
      </c>
      <c r="I610" s="119">
        <f t="shared" si="118"/>
        <v>0</v>
      </c>
    </row>
    <row r="611" spans="1:9" ht="78.75" hidden="1" x14ac:dyDescent="0.25">
      <c r="A611" s="851" t="str">
        <f>IF(B611&gt;0,VLOOKUP(B611,КВСР!A177:B1342,2),IF(C611&gt;0,VLOOKUP(C611,КФСР!A177:B1689,2),IF(D611&gt;0,VLOOKUP(D611,Программа!A$1:B$5112,2),IF(F611&gt;0,VLOOKUP(F611,КВР!A$1:B$5001,2),IF(E611&gt;0,VLOOKUP(E611,Направление!A$1:B$4791,2))))))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1" s="122"/>
      <c r="C611" s="123"/>
      <c r="D611" s="125"/>
      <c r="E611" s="123" t="s">
        <v>488</v>
      </c>
      <c r="F611" s="124"/>
      <c r="G611" s="119">
        <v>0</v>
      </c>
      <c r="H611" s="338">
        <f>H612</f>
        <v>0</v>
      </c>
      <c r="I611" s="119">
        <f t="shared" si="118"/>
        <v>0</v>
      </c>
    </row>
    <row r="612" spans="1:9" ht="47.25" hidden="1" x14ac:dyDescent="0.25">
      <c r="A612" s="851" t="str">
        <f>IF(B612&gt;0,VLOOKUP(B612,КВСР!A178:B1343,2),IF(C612&gt;0,VLOOKUP(C612,КФСР!A178:B1690,2),IF(D612&gt;0,VLOOKUP(D612,Программа!A$1:B$5112,2),IF(F612&gt;0,VLOOKUP(F612,КВР!A$1:B$5001,2),IF(E612&gt;0,VLOOKUP(E612,Направление!A$1:B$4791,2))))))</f>
        <v>Предоставление субсидий бюджетным, автономным учреждениям и иным некоммерческим организациям</v>
      </c>
      <c r="B612" s="122"/>
      <c r="C612" s="123"/>
      <c r="D612" s="125"/>
      <c r="E612" s="123"/>
      <c r="F612" s="124">
        <v>600</v>
      </c>
      <c r="G612" s="276">
        <v>0</v>
      </c>
      <c r="H612" s="338"/>
      <c r="I612" s="119">
        <f t="shared" si="118"/>
        <v>0</v>
      </c>
    </row>
    <row r="613" spans="1:9" ht="78.75" hidden="1" x14ac:dyDescent="0.25">
      <c r="A613" s="851" t="str">
        <f>IF(B613&gt;0,VLOOKUP(B613,КВСР!A179:B1344,2),IF(C613&gt;0,VLOOKUP(C613,КФСР!A179:B1691,2),IF(D613&gt;0,VLOOKUP(D613,Программа!A$1:B$5112,2),IF(F613&gt;0,VLOOKUP(F613,КВР!A$1:B$5001,2),IF(E613&gt;0,VLOOKUP(E613,Направление!A$1:B$4791,2))))))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3" s="122"/>
      <c r="C613" s="123"/>
      <c r="D613" s="125"/>
      <c r="E613" s="123">
        <v>70470</v>
      </c>
      <c r="F613" s="124"/>
      <c r="G613" s="119">
        <v>0</v>
      </c>
      <c r="H613" s="338">
        <f>H614</f>
        <v>0</v>
      </c>
      <c r="I613" s="119">
        <f t="shared" si="118"/>
        <v>0</v>
      </c>
    </row>
    <row r="614" spans="1:9" ht="47.25" hidden="1" x14ac:dyDescent="0.25">
      <c r="A614" s="851" t="str">
        <f>IF(B614&gt;0,VLOOKUP(B614,КВСР!A180:B1345,2),IF(C614&gt;0,VLOOKUP(C614,КФСР!A180:B1692,2),IF(D614&gt;0,VLOOKUP(D614,Программа!A$1:B$5112,2),IF(F614&gt;0,VLOOKUP(F614,КВР!A$1:B$5001,2),IF(E614&gt;0,VLOOKUP(E614,Направление!A$1:B$4791,2))))))</f>
        <v>Предоставление субсидий бюджетным, автономным учреждениям и иным некоммерческим организациям</v>
      </c>
      <c r="B614" s="122"/>
      <c r="C614" s="123"/>
      <c r="D614" s="125"/>
      <c r="E614" s="123"/>
      <c r="F614" s="124">
        <v>600</v>
      </c>
      <c r="G614" s="276">
        <v>0</v>
      </c>
      <c r="H614" s="338"/>
      <c r="I614" s="119">
        <f t="shared" si="118"/>
        <v>0</v>
      </c>
    </row>
    <row r="615" spans="1:9" ht="31.5" x14ac:dyDescent="0.25">
      <c r="A615" s="851" t="str">
        <f>IF(B615&gt;0,VLOOKUP(B615,КВСР!A168:B1333,2),IF(C615&gt;0,VLOOKUP(C615,КФСР!A168:B1680,2),IF(D615&gt;0,VLOOKUP(D615,Программа!A$1:B$5112,2),IF(F615&gt;0,VLOOKUP(F615,КВР!A$1:B$5001,2),IF(E615&gt;0,VLOOKUP(E615,Направление!A$1:B$4791,2))))))</f>
        <v>Обеспечение эффективности управления системой образования</v>
      </c>
      <c r="B615" s="122"/>
      <c r="C615" s="123"/>
      <c r="D615" s="125" t="s">
        <v>1138</v>
      </c>
      <c r="E615" s="123"/>
      <c r="F615" s="124"/>
      <c r="G615" s="119">
        <v>30651421</v>
      </c>
      <c r="H615" s="338">
        <f>H616+H620+H622+H627+H630</f>
        <v>56692</v>
      </c>
      <c r="I615" s="119">
        <f t="shared" si="118"/>
        <v>30708113</v>
      </c>
    </row>
    <row r="616" spans="1:9" x14ac:dyDescent="0.25">
      <c r="A616" s="851" t="str">
        <f>IF(B616&gt;0,VLOOKUP(B616,КВСР!A169:B1334,2),IF(C616&gt;0,VLOOKUP(C616,КФСР!A169:B1681,2),IF(D616&gt;0,VLOOKUP(D616,Программа!A$1:B$5112,2),IF(F616&gt;0,VLOOKUP(F616,КВР!A$1:B$5001,2),IF(E616&gt;0,VLOOKUP(E616,Направление!A$1:B$4791,2))))))</f>
        <v>Содержание центрального аппарата</v>
      </c>
      <c r="B616" s="122"/>
      <c r="C616" s="123"/>
      <c r="D616" s="125"/>
      <c r="E616" s="123">
        <v>12010</v>
      </c>
      <c r="F616" s="113"/>
      <c r="G616" s="117">
        <v>6076016</v>
      </c>
      <c r="H616" s="283">
        <f>H617+H618+H619</f>
        <v>0</v>
      </c>
      <c r="I616" s="119">
        <f t="shared" si="118"/>
        <v>6076016</v>
      </c>
    </row>
    <row r="617" spans="1:9" ht="110.25" x14ac:dyDescent="0.25">
      <c r="A617" s="851" t="str">
        <f>IF(B617&gt;0,VLOOKUP(B617,КВСР!A164:B1329,2),IF(C617&gt;0,VLOOKUP(C617,КФСР!A164:B1676,2),IF(D617&gt;0,VLOOKUP(D617,Программа!A$1:B$5112,2),IF(F617&gt;0,VLOOKUP(F617,КВР!A$1:B$5001,2),IF(E617&gt;0,VLOOKUP(E617,Направление!A$1:B$4791,2))))))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7" s="122"/>
      <c r="C617" s="123"/>
      <c r="D617" s="124"/>
      <c r="E617" s="123"/>
      <c r="F617" s="113">
        <v>100</v>
      </c>
      <c r="G617" s="294">
        <v>5177792</v>
      </c>
      <c r="H617" s="283">
        <v>30000</v>
      </c>
      <c r="I617" s="119">
        <f t="shared" si="118"/>
        <v>5207792</v>
      </c>
    </row>
    <row r="618" spans="1:9" ht="63" x14ac:dyDescent="0.25">
      <c r="A618" s="851" t="str">
        <f>IF(B618&gt;0,VLOOKUP(B618,КВСР!A165:B1330,2),IF(C618&gt;0,VLOOKUP(C618,КФСР!A165:B1677,2),IF(D618&gt;0,VLOOKUP(D618,Программа!A$1:B$5112,2),IF(F618&gt;0,VLOOKUP(F618,КВР!A$1:B$5001,2),IF(E618&gt;0,VLOOKUP(E618,Направление!A$1:B$4791,2))))))</f>
        <v xml:space="preserve">Закупка товаров, работ и услуг для обеспечения государственных (муниципальных) нужд
</v>
      </c>
      <c r="B618" s="122"/>
      <c r="C618" s="123"/>
      <c r="D618" s="124"/>
      <c r="E618" s="123"/>
      <c r="F618" s="113">
        <v>200</v>
      </c>
      <c r="G618" s="294">
        <v>878224</v>
      </c>
      <c r="H618" s="283">
        <v>-30000</v>
      </c>
      <c r="I618" s="119">
        <f t="shared" si="118"/>
        <v>848224</v>
      </c>
    </row>
    <row r="619" spans="1:9" x14ac:dyDescent="0.25">
      <c r="A619" s="851" t="str">
        <f>IF(B619&gt;0,VLOOKUP(B619,КВСР!A166:B1331,2),IF(C619&gt;0,VLOOKUP(C619,КФСР!A166:B1678,2),IF(D619&gt;0,VLOOKUP(D619,Программа!A$1:B$5112,2),IF(F619&gt;0,VLOOKUP(F619,КВР!A$1:B$5001,2),IF(E619&gt;0,VLOOKUP(E619,Направление!A$1:B$4791,2))))))</f>
        <v>Иные бюджетные ассигнования</v>
      </c>
      <c r="B619" s="122"/>
      <c r="C619" s="123"/>
      <c r="D619" s="124"/>
      <c r="E619" s="123"/>
      <c r="F619" s="113">
        <v>800</v>
      </c>
      <c r="G619" s="294">
        <v>20000</v>
      </c>
      <c r="H619" s="283"/>
      <c r="I619" s="119">
        <f t="shared" si="118"/>
        <v>20000</v>
      </c>
    </row>
    <row r="620" spans="1:9" ht="31.5" hidden="1" x14ac:dyDescent="0.25">
      <c r="A620" s="851" t="str">
        <f>IF(B620&gt;0,VLOOKUP(B620,КВСР!A166:B1331,2),IF(C620&gt;0,VLOOKUP(C620,КФСР!A166:B1678,2),IF(D620&gt;0,VLOOKUP(D620,Программа!A$1:B$5112,2),IF(F620&gt;0,VLOOKUP(F620,КВР!A$1:B$5001,2),IF(E620&gt;0,VLOOKUP(E620,Направление!A$1:B$4791,2))))))</f>
        <v>Выполнение других обязательств органов местного самоуправления</v>
      </c>
      <c r="B620" s="122"/>
      <c r="C620" s="123"/>
      <c r="D620" s="125"/>
      <c r="E620" s="123">
        <v>12080</v>
      </c>
      <c r="F620" s="113"/>
      <c r="G620" s="117">
        <v>0</v>
      </c>
      <c r="H620" s="283">
        <f>H621</f>
        <v>0</v>
      </c>
      <c r="I620" s="119">
        <f t="shared" si="118"/>
        <v>0</v>
      </c>
    </row>
    <row r="621" spans="1:9" ht="63" hidden="1" x14ac:dyDescent="0.25">
      <c r="A621" s="851" t="str">
        <f>IF(B621&gt;0,VLOOKUP(B621,КВСР!A167:B1332,2),IF(C621&gt;0,VLOOKUP(C621,КФСР!A167:B1679,2),IF(D621&gt;0,VLOOKUP(D621,Программа!A$1:B$5112,2),IF(F621&gt;0,VLOOKUP(F621,КВР!A$1:B$5001,2),IF(E621&gt;0,VLOOKUP(E621,Направление!A$1:B$4791,2))))))</f>
        <v xml:space="preserve">Закупка товаров, работ и услуг для обеспечения государственных (муниципальных) нужд
</v>
      </c>
      <c r="B621" s="122"/>
      <c r="C621" s="123"/>
      <c r="D621" s="124"/>
      <c r="E621" s="123"/>
      <c r="F621" s="113">
        <v>200</v>
      </c>
      <c r="G621" s="294">
        <v>0</v>
      </c>
      <c r="H621" s="283"/>
      <c r="I621" s="119">
        <f t="shared" si="118"/>
        <v>0</v>
      </c>
    </row>
    <row r="622" spans="1:9" ht="31.5" x14ac:dyDescent="0.25">
      <c r="A622" s="851" t="str">
        <f>IF(B622&gt;0,VLOOKUP(B622,КВСР!A168:B1333,2),IF(C622&gt;0,VLOOKUP(C622,КФСР!A168:B1680,2),IF(D622&gt;0,VLOOKUP(D622,Программа!A$1:B$5112,2),IF(F622&gt;0,VLOOKUP(F622,КВР!A$1:B$5001,2),IF(E622&gt;0,VLOOKUP(E622,Направление!A$1:B$4791,2))))))</f>
        <v>Обеспечение деятельности прочих учреждений в сфере образования</v>
      </c>
      <c r="B622" s="122"/>
      <c r="C622" s="123"/>
      <c r="D622" s="125"/>
      <c r="E622" s="123">
        <v>13310</v>
      </c>
      <c r="F622" s="124"/>
      <c r="G622" s="119">
        <v>20448713</v>
      </c>
      <c r="H622" s="338">
        <f>H623+H624+H625+H626</f>
        <v>56692</v>
      </c>
      <c r="I622" s="119">
        <f t="shared" si="118"/>
        <v>20505405</v>
      </c>
    </row>
    <row r="623" spans="1:9" ht="110.25" x14ac:dyDescent="0.25">
      <c r="A623" s="851" t="str">
        <f>IF(B623&gt;0,VLOOKUP(B623,КВСР!A169:B1334,2),IF(C623&gt;0,VLOOKUP(C623,КФСР!A169:B1681,2),IF(D623&gt;0,VLOOKUP(D623,Программа!A$1:B$5112,2),IF(F623&gt;0,VLOOKUP(F623,КВР!A$1:B$5001,2),IF(E623&gt;0,VLOOKUP(E623,Направление!A$1:B$4791,2))))))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22"/>
      <c r="C623" s="123"/>
      <c r="D623" s="124"/>
      <c r="E623" s="123"/>
      <c r="F623" s="124">
        <v>100</v>
      </c>
      <c r="G623" s="276">
        <v>18573045</v>
      </c>
      <c r="H623" s="338"/>
      <c r="I623" s="119">
        <f t="shared" si="118"/>
        <v>18573045</v>
      </c>
    </row>
    <row r="624" spans="1:9" ht="63" x14ac:dyDescent="0.25">
      <c r="A624" s="851" t="str">
        <f>IF(B624&gt;0,VLOOKUP(B624,КВСР!A170:B1335,2),IF(C624&gt;0,VLOOKUP(C624,КФСР!A170:B1682,2),IF(D624&gt;0,VLOOKUP(D624,Программа!A$1:B$5112,2),IF(F624&gt;0,VLOOKUP(F624,КВР!A$1:B$5001,2),IF(E624&gt;0,VLOOKUP(E624,Направление!A$1:B$4791,2))))))</f>
        <v xml:space="preserve">Закупка товаров, работ и услуг для обеспечения государственных (муниципальных) нужд
</v>
      </c>
      <c r="B624" s="122"/>
      <c r="C624" s="123"/>
      <c r="D624" s="124"/>
      <c r="E624" s="123"/>
      <c r="F624" s="124">
        <v>200</v>
      </c>
      <c r="G624" s="276">
        <v>1849604</v>
      </c>
      <c r="H624" s="338">
        <v>56692</v>
      </c>
      <c r="I624" s="119">
        <f t="shared" ref="I624:I710" si="138">SUM(G624:H624)</f>
        <v>1906296</v>
      </c>
    </row>
    <row r="625" spans="1:9" ht="47.25" hidden="1" x14ac:dyDescent="0.25">
      <c r="A625" s="851" t="str">
        <f>IF(B625&gt;0,VLOOKUP(B625,КВСР!A171:B1336,2),IF(C625&gt;0,VLOOKUP(C625,КФСР!A171:B1683,2),IF(D625&gt;0,VLOOKUP(D625,Программа!A$1:B$5112,2),IF(F625&gt;0,VLOOKUP(F625,КВР!A$1:B$5001,2),IF(E625&gt;0,VLOOKUP(E625,Направление!A$1:B$4791,2))))))</f>
        <v>Предоставление субсидий бюджетным, автономным учреждениям и иным некоммерческим организациям</v>
      </c>
      <c r="B625" s="122"/>
      <c r="C625" s="123"/>
      <c r="D625" s="124"/>
      <c r="E625" s="123"/>
      <c r="F625" s="124">
        <v>600</v>
      </c>
      <c r="G625" s="276">
        <v>0</v>
      </c>
      <c r="H625" s="338"/>
      <c r="I625" s="119">
        <f t="shared" si="138"/>
        <v>0</v>
      </c>
    </row>
    <row r="626" spans="1:9" x14ac:dyDescent="0.25">
      <c r="A626" s="851" t="str">
        <f>IF(B626&gt;0,VLOOKUP(B626,КВСР!A172:B1337,2),IF(C626&gt;0,VLOOKUP(C626,КФСР!A172:B1684,2),IF(D626&gt;0,VLOOKUP(D626,Программа!A$1:B$5112,2),IF(F626&gt;0,VLOOKUP(F626,КВР!A$1:B$5001,2),IF(E626&gt;0,VLOOKUP(E626,Направление!A$1:B$4791,2))))))</f>
        <v>Иные бюджетные ассигнования</v>
      </c>
      <c r="B626" s="122"/>
      <c r="C626" s="123"/>
      <c r="D626" s="124"/>
      <c r="E626" s="123"/>
      <c r="F626" s="124">
        <v>800</v>
      </c>
      <c r="G626" s="276">
        <v>26064</v>
      </c>
      <c r="H626" s="338"/>
      <c r="I626" s="119">
        <f t="shared" si="138"/>
        <v>26064</v>
      </c>
    </row>
    <row r="627" spans="1:9" ht="47.25" hidden="1" x14ac:dyDescent="0.25">
      <c r="A627" s="851" t="str">
        <f>IF(B627&gt;0,VLOOKUP(B627,КВСР!A168:B1333,2),IF(C627&gt;0,VLOOKUP(C627,КФСР!A168:B1680,2),IF(D627&gt;0,VLOOKUP(D627,Программа!A$1:B$5112,2),IF(F627&gt;0,VLOOKUP(F627,КВР!A$1:B$5001,2),IF(E627&gt;0,VLOOKUP(E627,Направление!A$1:B$4791,2))))))</f>
        <v>Содержание органов местного самоуправления за счет средств поселений</v>
      </c>
      <c r="B627" s="122"/>
      <c r="C627" s="123"/>
      <c r="D627" s="125"/>
      <c r="E627" s="123">
        <v>29016</v>
      </c>
      <c r="F627" s="113"/>
      <c r="G627" s="294">
        <v>0</v>
      </c>
      <c r="H627" s="283">
        <f>H629+H628</f>
        <v>0</v>
      </c>
      <c r="I627" s="119">
        <f t="shared" si="138"/>
        <v>0</v>
      </c>
    </row>
    <row r="628" spans="1:9" ht="110.25" hidden="1" x14ac:dyDescent="0.25">
      <c r="A628" s="851" t="str">
        <f>IF(B628&gt;0,VLOOKUP(B628,КВСР!A169:B1334,2),IF(C628&gt;0,VLOOKUP(C628,КФСР!A169:B1681,2),IF(D628&gt;0,VLOOKUP(D628,Программа!A$1:B$5112,2),IF(F628&gt;0,VLOOKUP(F628,КВР!A$1:B$5001,2),IF(E628&gt;0,VLOOKUP(E628,Направление!A$1:B$4791,2))))))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8" s="122"/>
      <c r="C628" s="123"/>
      <c r="D628" s="125"/>
      <c r="E628" s="123"/>
      <c r="F628" s="113">
        <v>100</v>
      </c>
      <c r="G628" s="294">
        <v>0</v>
      </c>
      <c r="H628" s="283"/>
      <c r="I628" s="119">
        <f t="shared" si="138"/>
        <v>0</v>
      </c>
    </row>
    <row r="629" spans="1:9" ht="63" hidden="1" x14ac:dyDescent="0.25">
      <c r="A629" s="851" t="str">
        <f>IF(B629&gt;0,VLOOKUP(B629,КВСР!A170:B1335,2),IF(C629&gt;0,VLOOKUP(C629,КФСР!A170:B1682,2),IF(D629&gt;0,VLOOKUP(D629,Программа!A$1:B$5112,2),IF(F629&gt;0,VLOOKUP(F629,КВР!A$1:B$5001,2),IF(E629&gt;0,VLOOKUP(E629,Направление!A$1:B$4791,2))))))</f>
        <v xml:space="preserve">Закупка товаров, работ и услуг для обеспечения государственных (муниципальных) нужд
</v>
      </c>
      <c r="B629" s="122"/>
      <c r="C629" s="123"/>
      <c r="D629" s="124"/>
      <c r="E629" s="123"/>
      <c r="F629" s="113">
        <v>200</v>
      </c>
      <c r="G629" s="294">
        <v>0</v>
      </c>
      <c r="H629" s="283"/>
      <c r="I629" s="119">
        <f t="shared" si="138"/>
        <v>0</v>
      </c>
    </row>
    <row r="630" spans="1:9" ht="47.25" x14ac:dyDescent="0.25">
      <c r="A630" s="851" t="str">
        <f>IF(B630&gt;0,VLOOKUP(B630,КВСР!A168:B1333,2),IF(C630&gt;0,VLOOKUP(C630,КФСР!A168:B1680,2),IF(D630&gt;0,VLOOKUP(D630,Программа!A$1:B$5112,2),IF(F630&gt;0,VLOOKUP(F630,КВР!A$1:B$5001,2),IF(E630&gt;0,VLOOKUP(E630,Направление!A$1:B$4791,2))))))</f>
        <v>Расходы на обеспечение деятельности органов опеки и попечительства за счет средств областного бюджета</v>
      </c>
      <c r="B630" s="122"/>
      <c r="C630" s="123"/>
      <c r="D630" s="125"/>
      <c r="E630" s="123">
        <v>70550</v>
      </c>
      <c r="F630" s="113"/>
      <c r="G630" s="276">
        <v>4126692</v>
      </c>
      <c r="H630" s="338">
        <f>H631+H632+H633</f>
        <v>0</v>
      </c>
      <c r="I630" s="119">
        <f t="shared" si="138"/>
        <v>4126692</v>
      </c>
    </row>
    <row r="631" spans="1:9" ht="110.25" x14ac:dyDescent="0.25">
      <c r="A631" s="851" t="str">
        <f>IF(B631&gt;0,VLOOKUP(B631,КВСР!A169:B1334,2),IF(C631&gt;0,VLOOKUP(C631,КФСР!A169:B1681,2),IF(D631&gt;0,VLOOKUP(D631,Программа!A$1:B$5112,2),IF(F631&gt;0,VLOOKUP(F631,КВР!A$1:B$5001,2),IF(E631&gt;0,VLOOKUP(E631,Направление!A$1:B$4791,2))))))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22"/>
      <c r="C631" s="123"/>
      <c r="D631" s="124"/>
      <c r="E631" s="123"/>
      <c r="F631" s="113">
        <v>100</v>
      </c>
      <c r="G631" s="276">
        <v>3233885</v>
      </c>
      <c r="H631" s="338"/>
      <c r="I631" s="119">
        <f t="shared" si="138"/>
        <v>3233885</v>
      </c>
    </row>
    <row r="632" spans="1:9" ht="63" x14ac:dyDescent="0.25">
      <c r="A632" s="851" t="str">
        <f>IF(B632&gt;0,VLOOKUP(B632,КВСР!A170:B1335,2),IF(C632&gt;0,VLOOKUP(C632,КФСР!A170:B1682,2),IF(D632&gt;0,VLOOKUP(D632,Программа!A$1:B$5112,2),IF(F632&gt;0,VLOOKUP(F632,КВР!A$1:B$5001,2),IF(E632&gt;0,VLOOKUP(E632,Направление!A$1:B$4791,2))))))</f>
        <v xml:space="preserve">Закупка товаров, работ и услуг для обеспечения государственных (муниципальных) нужд
</v>
      </c>
      <c r="B632" s="122"/>
      <c r="C632" s="123"/>
      <c r="D632" s="124"/>
      <c r="E632" s="123"/>
      <c r="F632" s="113">
        <v>200</v>
      </c>
      <c r="G632" s="294">
        <v>889507</v>
      </c>
      <c r="H632" s="283"/>
      <c r="I632" s="119">
        <f t="shared" si="138"/>
        <v>889507</v>
      </c>
    </row>
    <row r="633" spans="1:9" x14ac:dyDescent="0.25">
      <c r="A633" s="851" t="str">
        <f>IF(B633&gt;0,VLOOKUP(B633,КВСР!A171:B1336,2),IF(C633&gt;0,VLOOKUP(C633,КФСР!A171:B1683,2),IF(D633&gt;0,VLOOKUP(D633,Программа!A$1:B$5112,2),IF(F633&gt;0,VLOOKUP(F633,КВР!A$1:B$5001,2),IF(E633&gt;0,VLOOKUP(E633,Направление!A$1:B$4791,2))))))</f>
        <v>Иные бюджетные ассигнования</v>
      </c>
      <c r="B633" s="122"/>
      <c r="C633" s="123"/>
      <c r="D633" s="124"/>
      <c r="E633" s="123"/>
      <c r="F633" s="113">
        <v>800</v>
      </c>
      <c r="G633" s="294">
        <v>3300</v>
      </c>
      <c r="H633" s="283"/>
      <c r="I633" s="119">
        <f t="shared" si="138"/>
        <v>3300</v>
      </c>
    </row>
    <row r="634" spans="1:9" ht="63" x14ac:dyDescent="0.25">
      <c r="A634" s="851" t="str">
        <f>IF(B634&gt;0,VLOOKUP(B634,КВСР!A176:B1341,2),IF(C634&gt;0,VLOOKUP(C634,КФСР!A176:B1688,2),IF(D634&gt;0,VLOOKUP(D634,Программа!A$1:B$5112,2),IF(F634&gt;0,VLOOKUP(F634,КВР!A$1:B$5001,2),IF(E634&gt;0,VLOOKUP(E634,Направление!A$1:B$4791,2))))))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4" s="122"/>
      <c r="C634" s="123"/>
      <c r="D634" s="125" t="s">
        <v>492</v>
      </c>
      <c r="E634" s="123"/>
      <c r="F634" s="124"/>
      <c r="G634" s="276">
        <v>5000</v>
      </c>
      <c r="H634" s="338">
        <f>H636</f>
        <v>0</v>
      </c>
      <c r="I634" s="119">
        <f t="shared" si="138"/>
        <v>5000</v>
      </c>
    </row>
    <row r="635" spans="1:9" ht="47.25" x14ac:dyDescent="0.25">
      <c r="A635" s="851" t="str">
        <f>IF(B635&gt;0,VLOOKUP(B635,КВСР!A177:B1342,2),IF(C635&gt;0,VLOOKUP(C635,КФСР!A177:B1689,2),IF(D635&gt;0,VLOOKUP(D635,Программа!A$1:B$5112,2),IF(F635&gt;0,VLOOKUP(F635,КВР!A$1:B$5001,2),IF(E635&gt;0,VLOOKUP(E635,Направление!A$1:B$4791,2))))))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5" s="122"/>
      <c r="C635" s="123"/>
      <c r="D635" s="125" t="s">
        <v>494</v>
      </c>
      <c r="E635" s="123"/>
      <c r="F635" s="124"/>
      <c r="G635" s="276">
        <v>5000</v>
      </c>
      <c r="H635" s="338">
        <f>H636</f>
        <v>0</v>
      </c>
      <c r="I635" s="119">
        <f t="shared" si="138"/>
        <v>5000</v>
      </c>
    </row>
    <row r="636" spans="1:9" ht="47.25" x14ac:dyDescent="0.25">
      <c r="A636" s="851" t="str">
        <f>IF(B636&gt;0,VLOOKUP(B636,КВСР!A177:B1342,2),IF(C636&gt;0,VLOOKUP(C636,КФСР!A177:B1689,2),IF(D636&gt;0,VLOOKUP(D636,Программа!A$1:B$5112,2),IF(F636&gt;0,VLOOKUP(F636,КВР!A$1:B$5001,2),IF(E636&gt;0,VLOOKUP(E636,Направление!A$1:B$4791,2))))))</f>
        <v>Расходы на реализацию МЦП "Духовно - нравственное воспитание и просвещение населения ТМР"</v>
      </c>
      <c r="B636" s="122"/>
      <c r="C636" s="123"/>
      <c r="D636" s="125"/>
      <c r="E636" s="123">
        <v>13810</v>
      </c>
      <c r="F636" s="124"/>
      <c r="G636" s="276">
        <v>5000</v>
      </c>
      <c r="H636" s="338">
        <f>H637</f>
        <v>0</v>
      </c>
      <c r="I636" s="119">
        <f t="shared" si="138"/>
        <v>5000</v>
      </c>
    </row>
    <row r="637" spans="1:9" ht="47.25" x14ac:dyDescent="0.25">
      <c r="A637" s="851" t="str">
        <f>IF(B637&gt;0,VLOOKUP(B637,КВСР!A178:B1343,2),IF(C637&gt;0,VLOOKUP(C637,КФСР!A178:B1690,2),IF(D637&gt;0,VLOOKUP(D637,Программа!A$1:B$5112,2),IF(F637&gt;0,VLOOKUP(F637,КВР!A$1:B$5001,2),IF(E637&gt;0,VLOOKUP(E637,Направление!A$1:B$4791,2))))))</f>
        <v>Предоставление субсидий бюджетным, автономным учреждениям и иным некоммерческим организациям</v>
      </c>
      <c r="B637" s="122"/>
      <c r="C637" s="123"/>
      <c r="D637" s="125"/>
      <c r="E637" s="123"/>
      <c r="F637" s="124">
        <v>600</v>
      </c>
      <c r="G637" s="276">
        <v>5000</v>
      </c>
      <c r="H637" s="338"/>
      <c r="I637" s="119">
        <f t="shared" si="138"/>
        <v>5000</v>
      </c>
    </row>
    <row r="638" spans="1:9" ht="47.25" hidden="1" x14ac:dyDescent="0.25">
      <c r="A638" s="851" t="str">
        <f>IF(B638&gt;0,VLOOKUP(B638,КВСР!A179:B1344,2),IF(C638&gt;0,VLOOKUP(C638,КФСР!A179:B1691,2),IF(D638&gt;0,VLOOKUP(D638,Программа!A$1:B$5112,2),IF(F638&gt;0,VLOOKUP(F638,КВР!A$1:B$5001,2),IF(E638&gt;0,VLOOKUP(E638,Направление!A$1:B$4791,2))))))</f>
        <v>Муниципальная программа "Социальная поддержка населения Тутаевского муниципального района"</v>
      </c>
      <c r="B638" s="122"/>
      <c r="C638" s="123"/>
      <c r="D638" s="125" t="s">
        <v>450</v>
      </c>
      <c r="E638" s="123"/>
      <c r="F638" s="124"/>
      <c r="G638" s="276">
        <v>0</v>
      </c>
      <c r="H638" s="338">
        <f t="shared" ref="H638:H641" si="139">H639</f>
        <v>0</v>
      </c>
      <c r="I638" s="119">
        <f t="shared" si="138"/>
        <v>0</v>
      </c>
    </row>
    <row r="639" spans="1:9" ht="47.25" hidden="1" x14ac:dyDescent="0.25">
      <c r="A639" s="851" t="str">
        <f>IF(B639&gt;0,VLOOKUP(B639,КВСР!A182:B1347,2),IF(C639&gt;0,VLOOKUP(C639,КФСР!A182:B1694,2),IF(D639&gt;0,VLOOKUP(D639,Программа!A$1:B$5112,2),IF(F639&gt;0,VLOOKUP(F639,КВР!A$1:B$5001,2),IF(E639&gt;0,VLOOKUP(E639,Направление!A$1:B$4791,2))))))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39" s="122"/>
      <c r="C639" s="123"/>
      <c r="D639" s="125" t="s">
        <v>452</v>
      </c>
      <c r="E639" s="123"/>
      <c r="F639" s="124"/>
      <c r="G639" s="276">
        <v>0</v>
      </c>
      <c r="H639" s="338">
        <f>H641</f>
        <v>0</v>
      </c>
      <c r="I639" s="119">
        <f t="shared" si="138"/>
        <v>0</v>
      </c>
    </row>
    <row r="640" spans="1:9" ht="63" hidden="1" x14ac:dyDescent="0.25">
      <c r="A640" s="851" t="str">
        <f>IF(B640&gt;0,VLOOKUP(B640,КВСР!A183:B1348,2),IF(C640&gt;0,VLOOKUP(C640,КФСР!A183:B1695,2),IF(D640&gt;0,VLOOKUP(D640,Программа!A$1:B$5112,2),IF(F640&gt;0,VLOOKUP(F640,КВР!A$1:B$5001,2),IF(E640&gt;0,VLOOKUP(E640,Направление!A$1:B$4791,2))))))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40" s="122"/>
      <c r="C640" s="123"/>
      <c r="D640" s="125" t="s">
        <v>453</v>
      </c>
      <c r="E640" s="123"/>
      <c r="F640" s="124"/>
      <c r="G640" s="276">
        <v>0</v>
      </c>
      <c r="H640" s="338">
        <f t="shared" ref="H640:I640" si="140">H641</f>
        <v>0</v>
      </c>
      <c r="I640" s="338">
        <f t="shared" si="140"/>
        <v>0</v>
      </c>
    </row>
    <row r="641" spans="1:9" ht="31.5" hidden="1" x14ac:dyDescent="0.25">
      <c r="A641" s="851" t="str">
        <f>IF(B641&gt;0,VLOOKUP(B641,КВСР!A183:B1348,2),IF(C641&gt;0,VLOOKUP(C641,КФСР!A183:B1695,2),IF(D641&gt;0,VLOOKUP(D641,Программа!A$1:B$5112,2),IF(F641&gt;0,VLOOKUP(F641,КВР!A$1:B$5001,2),IF(E641&gt;0,VLOOKUP(E641,Направление!A$1:B$4791,2))))))</f>
        <v>Расходы на реализацию мероприятий по улучшению условий и охраны труда</v>
      </c>
      <c r="B641" s="122"/>
      <c r="C641" s="123"/>
      <c r="D641" s="125"/>
      <c r="E641" s="123">
        <v>16150</v>
      </c>
      <c r="F641" s="124"/>
      <c r="G641" s="276">
        <v>0</v>
      </c>
      <c r="H641" s="338">
        <f t="shared" si="139"/>
        <v>0</v>
      </c>
      <c r="I641" s="119">
        <f t="shared" si="138"/>
        <v>0</v>
      </c>
    </row>
    <row r="642" spans="1:9" ht="47.25" hidden="1" x14ac:dyDescent="0.25">
      <c r="A642" s="851" t="str">
        <f>IF(B642&gt;0,VLOOKUP(B642,КВСР!A184:B1349,2),IF(C642&gt;0,VLOOKUP(C642,КФСР!A184:B1696,2),IF(D642&gt;0,VLOOKUP(D642,Программа!A$1:B$5112,2),IF(F642&gt;0,VLOOKUP(F642,КВР!A$1:B$5001,2),IF(E642&gt;0,VLOOKUP(E642,Направление!A$1:B$4791,2))))))</f>
        <v>Предоставление субсидий бюджетным, автономным учреждениям и иным некоммерческим организациям</v>
      </c>
      <c r="B642" s="122"/>
      <c r="C642" s="123"/>
      <c r="D642" s="125"/>
      <c r="E642" s="123"/>
      <c r="F642" s="124">
        <v>600</v>
      </c>
      <c r="G642" s="276">
        <v>0</v>
      </c>
      <c r="H642" s="338"/>
      <c r="I642" s="119">
        <f t="shared" si="138"/>
        <v>0</v>
      </c>
    </row>
    <row r="643" spans="1:9" ht="47.25" hidden="1" x14ac:dyDescent="0.25">
      <c r="A643" s="851" t="str">
        <f>IF(B643&gt;0,VLOOKUP(B643,КВСР!A185:B1350,2),IF(C643&gt;0,VLOOKUP(C643,КФСР!A185:B1697,2),IF(D643&gt;0,VLOOKUP(D643,Программа!A$1:B$5112,2),IF(F643&gt;0,VLOOKUP(F643,КВР!A$1:B$5001,2),IF(E643&gt;0,VLOOKUP(E643,Направление!A$1:B$4791,2))))))</f>
        <v>Обучение по охране труда работников организаций Тутаевского муниципального района</v>
      </c>
      <c r="B643" s="122"/>
      <c r="C643" s="123"/>
      <c r="D643" s="125" t="s">
        <v>1116</v>
      </c>
      <c r="E643" s="123"/>
      <c r="F643" s="124"/>
      <c r="G643" s="276">
        <v>0</v>
      </c>
      <c r="H643" s="338">
        <f t="shared" ref="H643:H644" si="141">H644</f>
        <v>0</v>
      </c>
      <c r="I643" s="119">
        <f t="shared" si="138"/>
        <v>0</v>
      </c>
    </row>
    <row r="644" spans="1:9" ht="31.5" hidden="1" x14ac:dyDescent="0.25">
      <c r="A644" s="851" t="str">
        <f>IF(B644&gt;0,VLOOKUP(B644,КВСР!A186:B1351,2),IF(C644&gt;0,VLOOKUP(C644,КФСР!A186:B1698,2),IF(D644&gt;0,VLOOKUP(D644,Программа!A$1:B$5112,2),IF(F644&gt;0,VLOOKUP(F644,КВР!A$1:B$5001,2),IF(E644&gt;0,VLOOKUP(E644,Направление!A$1:B$4791,2))))))</f>
        <v>Расходы на реализацию мероприятий по улучшению условий и охраны труда</v>
      </c>
      <c r="B644" s="122"/>
      <c r="C644" s="123"/>
      <c r="D644" s="125"/>
      <c r="E644" s="123">
        <v>16150</v>
      </c>
      <c r="F644" s="124"/>
      <c r="G644" s="276">
        <v>0</v>
      </c>
      <c r="H644" s="338">
        <f t="shared" si="141"/>
        <v>0</v>
      </c>
      <c r="I644" s="119">
        <f t="shared" si="138"/>
        <v>0</v>
      </c>
    </row>
    <row r="645" spans="1:9" ht="47.25" hidden="1" x14ac:dyDescent="0.25">
      <c r="A645" s="851" t="str">
        <f>IF(B645&gt;0,VLOOKUP(B645,КВСР!A187:B1352,2),IF(C645&gt;0,VLOOKUP(C645,КФСР!A187:B1699,2),IF(D645&gt;0,VLOOKUP(D645,Программа!A$1:B$5112,2),IF(F645&gt;0,VLOOKUP(F645,КВР!A$1:B$5001,2),IF(E645&gt;0,VLOOKUP(E645,Направление!A$1:B$4791,2))))))</f>
        <v>Предоставление субсидий бюджетным, автономным учреждениям и иным некоммерческим организациям</v>
      </c>
      <c r="B645" s="122"/>
      <c r="C645" s="123"/>
      <c r="D645" s="125"/>
      <c r="E645" s="123"/>
      <c r="F645" s="124">
        <v>600</v>
      </c>
      <c r="G645" s="276">
        <v>0</v>
      </c>
      <c r="H645" s="338"/>
      <c r="I645" s="119">
        <f t="shared" si="138"/>
        <v>0</v>
      </c>
    </row>
    <row r="646" spans="1:9" ht="94.5" x14ac:dyDescent="0.25">
      <c r="A646" s="851" t="str">
        <f>IF(B646&gt;0,VLOOKUP(B646,КВСР!A185:B1350,2),IF(C646&gt;0,VLOOKUP(C646,КФСР!A185:B1697,2),IF(D646&gt;0,VLOOKUP(D646,Программа!A$1:B$5112,2),IF(F646&gt;0,VLOOKUP(F646,КВР!A$1:B$5001,2),IF(E646&gt;0,VLOOKUP(E646,Направление!A$1:B$4791,2))))))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6" s="122"/>
      <c r="C646" s="123"/>
      <c r="D646" s="125" t="s">
        <v>394</v>
      </c>
      <c r="E646" s="123"/>
      <c r="F646" s="124"/>
      <c r="G646" s="276">
        <v>290823</v>
      </c>
      <c r="H646" s="338">
        <f>H647</f>
        <v>0</v>
      </c>
      <c r="I646" s="119">
        <f t="shared" si="138"/>
        <v>290823</v>
      </c>
    </row>
    <row r="647" spans="1:9" ht="78.75" x14ac:dyDescent="0.25">
      <c r="A647" s="851" t="str">
        <f>IF(B647&gt;0,VLOOKUP(B647,КВСР!A186:B1351,2),IF(C647&gt;0,VLOOKUP(C647,КФСР!A186:B1698,2),IF(D647&gt;0,VLOOKUP(D647,Программа!A$1:B$5112,2),IF(F647&gt;0,VLOOKUP(F647,КВР!A$1:B$5001,2),IF(E647&gt;0,VLOOKUP(E647,Направление!A$1:B$4791,2))))))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7" s="122"/>
      <c r="C647" s="123"/>
      <c r="D647" s="125" t="s">
        <v>1792</v>
      </c>
      <c r="E647" s="123"/>
      <c r="F647" s="124"/>
      <c r="G647" s="276">
        <v>290823</v>
      </c>
      <c r="H647" s="338">
        <f>H648</f>
        <v>0</v>
      </c>
      <c r="I647" s="119">
        <f t="shared" si="138"/>
        <v>290823</v>
      </c>
    </row>
    <row r="648" spans="1:9" ht="31.5" x14ac:dyDescent="0.25">
      <c r="A648" s="851" t="str">
        <f>IF(B648&gt;0,VLOOKUP(B648,КВСР!A187:B1352,2),IF(C648&gt;0,VLOOKUP(C648,КФСР!A187:B1699,2),IF(D648&gt;0,VLOOKUP(D648,Программа!A$1:B$5112,2),IF(F648&gt;0,VLOOKUP(F648,КВР!A$1:B$5001,2),IF(E648&gt;0,VLOOKUP(E648,Направление!A$1:B$4791,2))))))</f>
        <v>Внедрение проектной деятельности и бережливых технологий</v>
      </c>
      <c r="B648" s="122"/>
      <c r="C648" s="123"/>
      <c r="D648" s="125"/>
      <c r="E648" s="123">
        <v>12300</v>
      </c>
      <c r="F648" s="124"/>
      <c r="G648" s="276">
        <v>290823</v>
      </c>
      <c r="H648" s="338">
        <f>H649+H650</f>
        <v>0</v>
      </c>
      <c r="I648" s="276">
        <f>I649+I650</f>
        <v>290823</v>
      </c>
    </row>
    <row r="649" spans="1:9" ht="110.25" x14ac:dyDescent="0.25">
      <c r="A649" s="851" t="str">
        <f>IF(B649&gt;0,VLOOKUP(B649,КВСР!A188:B1353,2),IF(C649&gt;0,VLOOKUP(C649,КФСР!A188:B1700,2),IF(D649&gt;0,VLOOKUP(D649,Программа!A$1:B$5112,2),IF(F649&gt;0,VLOOKUP(F649,КВР!A$1:B$5001,2),IF(E649&gt;0,VLOOKUP(E649,Направление!A$1:B$4791,2))))))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22"/>
      <c r="C649" s="123"/>
      <c r="D649" s="125"/>
      <c r="E649" s="123"/>
      <c r="F649" s="124">
        <v>100</v>
      </c>
      <c r="G649" s="276">
        <v>290823</v>
      </c>
      <c r="H649" s="338"/>
      <c r="I649" s="119">
        <f t="shared" si="138"/>
        <v>290823</v>
      </c>
    </row>
    <row r="650" spans="1:9" ht="47.25" hidden="1" x14ac:dyDescent="0.25">
      <c r="A650" s="851" t="str">
        <f>IF(B650&gt;0,VLOOKUP(B650,КВСР!A189:B1354,2),IF(C650&gt;0,VLOOKUP(C650,КФСР!A189:B1701,2),IF(D650&gt;0,VLOOKUP(D650,Программа!A$1:B$5112,2),IF(F650&gt;0,VLOOKUP(F650,КВР!A$1:B$5001,2),IF(E650&gt;0,VLOOKUP(E650,Направление!A$1:B$4791,2))))))</f>
        <v>Предоставление субсидий бюджетным, автономным учреждениям и иным некоммерческим организациям</v>
      </c>
      <c r="B650" s="122"/>
      <c r="C650" s="123"/>
      <c r="D650" s="125"/>
      <c r="E650" s="123"/>
      <c r="F650" s="124">
        <v>600</v>
      </c>
      <c r="G650" s="276">
        <v>0</v>
      </c>
      <c r="H650" s="338"/>
      <c r="I650" s="119">
        <f t="shared" si="138"/>
        <v>0</v>
      </c>
    </row>
    <row r="651" spans="1:9" ht="63" hidden="1" x14ac:dyDescent="0.25">
      <c r="A651" s="851" t="str">
        <f>IF(B651&gt;0,VLOOKUP(B651,КВСР!A185:B1350,2),IF(C651&gt;0,VLOOKUP(C651,КФСР!A185:B1697,2),IF(D651&gt;0,VLOOKUP(D651,Программа!A$1:B$5112,2),IF(F651&gt;0,VLOOKUP(F651,КВР!A$1:B$5001,2),IF(E651&gt;0,VLOOKUP(E651,Направление!A$1:B$4791,2))))))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1" s="122"/>
      <c r="C651" s="123"/>
      <c r="D651" s="125" t="s">
        <v>500</v>
      </c>
      <c r="E651" s="123"/>
      <c r="F651" s="124"/>
      <c r="G651" s="276">
        <v>0</v>
      </c>
      <c r="H651" s="338">
        <f>H652</f>
        <v>0</v>
      </c>
      <c r="I651" s="119">
        <f t="shared" si="138"/>
        <v>0</v>
      </c>
    </row>
    <row r="652" spans="1:9" ht="31.5" hidden="1" x14ac:dyDescent="0.25">
      <c r="A652" s="851" t="str">
        <f>IF(B652&gt;0,VLOOKUP(B652,КВСР!A186:B1351,2),IF(C652&gt;0,VLOOKUP(C652,КФСР!A186:B1698,2),IF(D652&gt;0,VLOOKUP(D652,Программа!A$1:B$5112,2),IF(F652&gt;0,VLOOKUP(F652,КВР!A$1:B$5001,2),IF(E652&gt;0,VLOOKUP(E652,Направление!A$1:B$4791,2))))))</f>
        <v>Реализация мероприятий по профилактике правонарушений</v>
      </c>
      <c r="B652" s="122"/>
      <c r="C652" s="123"/>
      <c r="D652" s="125" t="s">
        <v>502</v>
      </c>
      <c r="E652" s="123"/>
      <c r="F652" s="124"/>
      <c r="G652" s="276">
        <v>0</v>
      </c>
      <c r="H652" s="338">
        <f>H653</f>
        <v>0</v>
      </c>
      <c r="I652" s="119">
        <f t="shared" si="138"/>
        <v>0</v>
      </c>
    </row>
    <row r="653" spans="1:9" ht="47.25" hidden="1" x14ac:dyDescent="0.25">
      <c r="A653" s="851" t="str">
        <f>IF(B653&gt;0,VLOOKUP(B653,КВСР!A187:B1352,2),IF(C653&gt;0,VLOOKUP(C653,КФСР!A187:B1699,2),IF(D653&gt;0,VLOOKUP(D653,Программа!A$1:B$5112,2),IF(F653&gt;0,VLOOKUP(F653,КВР!A$1:B$5001,2),IF(E653&gt;0,VLOOKUP(E653,Направление!A$1:B$4791,2))))))</f>
        <v>Расходы на профилактику правонарушений и усиления борьбы с преступностью</v>
      </c>
      <c r="B653" s="122"/>
      <c r="C653" s="123"/>
      <c r="D653" s="125"/>
      <c r="E653" s="123">
        <v>12250</v>
      </c>
      <c r="F653" s="124"/>
      <c r="G653" s="276">
        <v>0</v>
      </c>
      <c r="H653" s="338">
        <f t="shared" ref="H653" si="142">H654</f>
        <v>0</v>
      </c>
      <c r="I653" s="119">
        <f t="shared" si="138"/>
        <v>0</v>
      </c>
    </row>
    <row r="654" spans="1:9" ht="47.25" hidden="1" x14ac:dyDescent="0.25">
      <c r="A654" s="851" t="str">
        <f>IF(B654&gt;0,VLOOKUP(B654,КВСР!A188:B1353,2),IF(C654&gt;0,VLOOKUP(C654,КФСР!A188:B1700,2),IF(D654&gt;0,VLOOKUP(D654,Программа!A$1:B$5112,2),IF(F654&gt;0,VLOOKUP(F654,КВР!A$1:B$5001,2),IF(E654&gt;0,VLOOKUP(E654,Направление!A$1:B$4791,2))))))</f>
        <v>Предоставление субсидий бюджетным, автономным учреждениям и иным некоммерческим организациям</v>
      </c>
      <c r="B654" s="122"/>
      <c r="C654" s="123"/>
      <c r="D654" s="125"/>
      <c r="E654" s="123"/>
      <c r="F654" s="124">
        <v>600</v>
      </c>
      <c r="G654" s="276">
        <v>0</v>
      </c>
      <c r="H654" s="338"/>
      <c r="I654" s="119">
        <f t="shared" si="138"/>
        <v>0</v>
      </c>
    </row>
    <row r="655" spans="1:9" x14ac:dyDescent="0.25">
      <c r="A655" s="851" t="str">
        <f>IF(B655&gt;0,VLOOKUP(B655,КВСР!A194:B1359,2),IF(C655&gt;0,VLOOKUP(C655,КФСР!A194:B1706,2),IF(D655&gt;0,VLOOKUP(D655,Программа!A$1:B$5112,2),IF(F655&gt;0,VLOOKUP(F655,КВР!A$1:B$5001,2),IF(E655&gt;0,VLOOKUP(E655,Направление!A$1:B$4791,2))))))</f>
        <v>Непрограммные расходы бюджета</v>
      </c>
      <c r="B655" s="116"/>
      <c r="C655" s="111"/>
      <c r="D655" s="112" t="s">
        <v>383</v>
      </c>
      <c r="E655" s="111"/>
      <c r="F655" s="113"/>
      <c r="G655" s="294">
        <v>700000</v>
      </c>
      <c r="H655" s="283">
        <f>H656</f>
        <v>0</v>
      </c>
      <c r="I655" s="119">
        <f t="shared" si="138"/>
        <v>700000</v>
      </c>
    </row>
    <row r="656" spans="1:9" ht="31.5" x14ac:dyDescent="0.25">
      <c r="A656" s="851" t="str">
        <f>IF(B656&gt;0,VLOOKUP(B656,КВСР!A195:B1360,2),IF(C656&gt;0,VLOOKUP(C656,КФСР!A195:B1707,2),IF(D656&gt;0,VLOOKUP(D656,Программа!A$1:B$5112,2),IF(F656&gt;0,VLOOKUP(F656,КВР!A$1:B$5001,2),IF(E656&gt;0,VLOOKUP(E656,Направление!A$1:B$4791,2))))))</f>
        <v>Государственная поддержка в сфере образования</v>
      </c>
      <c r="B656" s="116"/>
      <c r="C656" s="111"/>
      <c r="D656" s="112"/>
      <c r="E656" s="111">
        <v>13710</v>
      </c>
      <c r="F656" s="113"/>
      <c r="G656" s="276">
        <v>700000</v>
      </c>
      <c r="H656" s="338">
        <f>H657</f>
        <v>0</v>
      </c>
      <c r="I656" s="119">
        <f t="shared" si="138"/>
        <v>700000</v>
      </c>
    </row>
    <row r="657" spans="1:9" ht="47.25" x14ac:dyDescent="0.25">
      <c r="A657" s="851" t="str">
        <f>IF(B657&gt;0,VLOOKUP(B657,КВСР!A196:B1361,2),IF(C657&gt;0,VLOOKUP(C657,КФСР!A196:B1708,2),IF(D657&gt;0,VLOOKUP(D657,Программа!A$1:B$5112,2),IF(F657&gt;0,VLOOKUP(F657,КВР!A$1:B$5001,2),IF(E657&gt;0,VLOOKUP(E657,Направление!A$1:B$4791,2))))))</f>
        <v>Предоставление субсидий бюджетным, автономным учреждениям и иным некоммерческим организациям</v>
      </c>
      <c r="B657" s="116"/>
      <c r="C657" s="111"/>
      <c r="D657" s="113"/>
      <c r="E657" s="111"/>
      <c r="F657" s="113">
        <v>600</v>
      </c>
      <c r="G657" s="294">
        <v>700000</v>
      </c>
      <c r="H657" s="283"/>
      <c r="I657" s="119">
        <f t="shared" si="138"/>
        <v>700000</v>
      </c>
    </row>
    <row r="658" spans="1:9" x14ac:dyDescent="0.25">
      <c r="A658" s="851" t="str">
        <f>IF(B658&gt;0,VLOOKUP(B658,КВСР!A197:B1362,2),IF(C658&gt;0,VLOOKUP(C658,КФСР!A197:B1709,2),IF(D658&gt;0,VLOOKUP(D658,Программа!A$1:B$5112,2),IF(F658&gt;0,VLOOKUP(F658,КВР!A$1:B$5001,2),IF(E658&gt;0,VLOOKUP(E658,Направление!A$1:B$4791,2))))))</f>
        <v>Социальное обеспечение населения</v>
      </c>
      <c r="B658" s="116"/>
      <c r="C658" s="111">
        <v>1003</v>
      </c>
      <c r="D658" s="113"/>
      <c r="E658" s="111"/>
      <c r="F658" s="113"/>
      <c r="G658" s="294">
        <v>133429</v>
      </c>
      <c r="H658" s="283">
        <f t="shared" ref="H658:I662" si="143">H659</f>
        <v>0</v>
      </c>
      <c r="I658" s="282">
        <f t="shared" si="143"/>
        <v>133429</v>
      </c>
    </row>
    <row r="659" spans="1:9" ht="63" x14ac:dyDescent="0.25">
      <c r="A659" s="851" t="str">
        <f>IF(B659&gt;0,VLOOKUP(B659,КВСР!A198:B1363,2),IF(C659&gt;0,VLOOKUP(C659,КФСР!A198:B1710,2),IF(D659&gt;0,VLOOKUP(D659,Программа!A$1:B$5112,2),IF(F659&gt;0,VLOOKUP(F659,КВР!A$1:B$5001,2),IF(E659&gt;0,VLOOKUP(E659,Направление!A$1:B$4791,2))))))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59" s="116"/>
      <c r="C659" s="111"/>
      <c r="D659" s="112" t="s">
        <v>441</v>
      </c>
      <c r="E659" s="111"/>
      <c r="F659" s="113"/>
      <c r="G659" s="294">
        <v>133429</v>
      </c>
      <c r="H659" s="283">
        <f t="shared" si="143"/>
        <v>0</v>
      </c>
      <c r="I659" s="282">
        <f t="shared" si="143"/>
        <v>133429</v>
      </c>
    </row>
    <row r="660" spans="1:9" ht="63" x14ac:dyDescent="0.25">
      <c r="A660" s="851" t="str">
        <f>IF(B660&gt;0,VLOOKUP(B660,КВСР!A199:B1364,2),IF(C660&gt;0,VLOOKUP(C660,КФСР!A199:B1711,2),IF(D660&gt;0,VLOOKUP(D660,Программа!A$1:B$5112,2),IF(F660&gt;0,VLOOKUP(F660,КВР!A$1:B$5001,2),IF(E660&gt;0,VLOOKUP(E660,Направление!A$1:B$4791,2))))))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0" s="116"/>
      <c r="C660" s="111"/>
      <c r="D660" s="112" t="s">
        <v>443</v>
      </c>
      <c r="E660" s="111"/>
      <c r="F660" s="113"/>
      <c r="G660" s="294">
        <v>133429</v>
      </c>
      <c r="H660" s="283">
        <f t="shared" si="143"/>
        <v>0</v>
      </c>
      <c r="I660" s="282">
        <f t="shared" si="143"/>
        <v>133429</v>
      </c>
    </row>
    <row r="661" spans="1:9" x14ac:dyDescent="0.25">
      <c r="A661" s="851" t="str">
        <f>IF(B661&gt;0,VLOOKUP(B661,КВСР!A200:B1365,2),IF(C661&gt;0,VLOOKUP(C661,КФСР!A200:B1712,2),IF(D661&gt;0,VLOOKUP(D661,Программа!A$1:B$5112,2),IF(F661&gt;0,VLOOKUP(F661,КВР!A$1:B$5001,2),IF(E661&gt;0,VLOOKUP(E661,Направление!A$1:B$4791,2))))))</f>
        <v>Обеспечение компенсационных выплат</v>
      </c>
      <c r="B661" s="116"/>
      <c r="C661" s="111"/>
      <c r="D661" s="112" t="s">
        <v>1141</v>
      </c>
      <c r="E661" s="111"/>
      <c r="F661" s="113"/>
      <c r="G661" s="294">
        <v>133429</v>
      </c>
      <c r="H661" s="283">
        <f t="shared" si="143"/>
        <v>0</v>
      </c>
      <c r="I661" s="282">
        <f t="shared" si="143"/>
        <v>133429</v>
      </c>
    </row>
    <row r="662" spans="1:9" ht="47.25" x14ac:dyDescent="0.25">
      <c r="A662" s="851" t="str">
        <f>IF(B662&gt;0,VLOOKUP(B662,КВСР!A201:B1366,2),IF(C662&gt;0,VLOOKUP(C662,КФСР!A201:B1713,2),IF(D662&gt;0,VLOOKUP(D662,Программа!A$1:B$5112,2),IF(F662&gt;0,VLOOKUP(F662,КВР!A$1:B$5001,2),IF(E662&gt;0,VLOOKUP(E662,Направление!A$1:B$4791,2))))))</f>
        <v>Компенсация части расходов на приобретение путевки в организации отдыха детей и их оздоровления</v>
      </c>
      <c r="B662" s="116"/>
      <c r="C662" s="111"/>
      <c r="D662" s="112"/>
      <c r="E662" s="111">
        <v>74390</v>
      </c>
      <c r="F662" s="113"/>
      <c r="G662" s="294">
        <v>133429</v>
      </c>
      <c r="H662" s="283">
        <f t="shared" si="143"/>
        <v>0</v>
      </c>
      <c r="I662" s="282">
        <f t="shared" si="143"/>
        <v>133429</v>
      </c>
    </row>
    <row r="663" spans="1:9" ht="31.5" x14ac:dyDescent="0.25">
      <c r="A663" s="851" t="str">
        <f>IF(B663&gt;0,VLOOKUP(B663,КВСР!A202:B1367,2),IF(C663&gt;0,VLOOKUP(C663,КФСР!A202:B1714,2),IF(D663&gt;0,VLOOKUP(D663,Программа!A$1:B$5112,2),IF(F663&gt;0,VLOOKUP(F663,КВР!A$1:B$5001,2),IF(E663&gt;0,VLOOKUP(E663,Направление!A$1:B$4791,2))))))</f>
        <v>Социальное обеспечение и иные выплаты населению</v>
      </c>
      <c r="B663" s="116"/>
      <c r="C663" s="111"/>
      <c r="D663" s="112"/>
      <c r="E663" s="111"/>
      <c r="F663" s="113">
        <v>300</v>
      </c>
      <c r="G663" s="294">
        <v>133429</v>
      </c>
      <c r="H663" s="283"/>
      <c r="I663" s="119">
        <f>G663+H663</f>
        <v>133429</v>
      </c>
    </row>
    <row r="664" spans="1:9" x14ac:dyDescent="0.25">
      <c r="A664" s="851" t="str">
        <f>IF(B664&gt;0,VLOOKUP(B664,КВСР!A201:B1366,2),IF(C664&gt;0,VLOOKUP(C664,КФСР!A201:B1713,2),IF(D664&gt;0,VLOOKUP(D664,Программа!A$1:B$5112,2),IF(F664&gt;0,VLOOKUP(F664,КВР!A$1:B$5001,2),IF(E664&gt;0,VLOOKUP(E664,Направление!A$1:B$4791,2))))))</f>
        <v>Охрана семьи и детства</v>
      </c>
      <c r="B664" s="122"/>
      <c r="C664" s="111">
        <v>1004</v>
      </c>
      <c r="D664" s="126"/>
      <c r="E664" s="127"/>
      <c r="F664" s="124"/>
      <c r="G664" s="276">
        <v>47544535</v>
      </c>
      <c r="H664" s="338">
        <f>H665</f>
        <v>-114128</v>
      </c>
      <c r="I664" s="119">
        <f t="shared" si="138"/>
        <v>47430407</v>
      </c>
    </row>
    <row r="665" spans="1:9" ht="63" x14ac:dyDescent="0.25">
      <c r="A665" s="851" t="str">
        <f>IF(B665&gt;0,VLOOKUP(B665,КВСР!A202:B1367,2),IF(C665&gt;0,VLOOKUP(C665,КФСР!A202:B1714,2),IF(D665&gt;0,VLOOKUP(D665,Программа!A$1:B$5112,2),IF(F665&gt;0,VLOOKUP(F665,КВР!A$1:B$5001,2),IF(E665&gt;0,VLOOKUP(E665,Направление!A$1:B$4791,2))))))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5" s="116"/>
      <c r="C665" s="111"/>
      <c r="D665" s="128" t="s">
        <v>441</v>
      </c>
      <c r="E665" s="129"/>
      <c r="F665" s="124"/>
      <c r="G665" s="276">
        <v>47544535</v>
      </c>
      <c r="H665" s="338">
        <f>H666</f>
        <v>-114128</v>
      </c>
      <c r="I665" s="119">
        <f t="shared" si="138"/>
        <v>47430407</v>
      </c>
    </row>
    <row r="666" spans="1:9" ht="63" x14ac:dyDescent="0.25">
      <c r="A666" s="851" t="str">
        <f>IF(B666&gt;0,VLOOKUP(B666,КВСР!A203:B1368,2),IF(C666&gt;0,VLOOKUP(C666,КФСР!A203:B1715,2),IF(D666&gt;0,VLOOKUP(D666,Программа!A$1:B$5112,2),IF(F666&gt;0,VLOOKUP(F666,КВР!A$1:B$5001,2),IF(E666&gt;0,VLOOKUP(E666,Направление!A$1:B$4791,2))))))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6" s="116"/>
      <c r="C666" s="111"/>
      <c r="D666" s="128" t="s">
        <v>443</v>
      </c>
      <c r="E666" s="129"/>
      <c r="F666" s="124"/>
      <c r="G666" s="276">
        <v>47544535</v>
      </c>
      <c r="H666" s="338">
        <f t="shared" ref="H666:I666" si="144">H672+H690+H667+H694</f>
        <v>-114128</v>
      </c>
      <c r="I666" s="276">
        <f t="shared" si="144"/>
        <v>47430407</v>
      </c>
    </row>
    <row r="667" spans="1:9" ht="47.25" x14ac:dyDescent="0.25">
      <c r="A667" s="851" t="str">
        <f>IF(B667&gt;0,VLOOKUP(B667,КВСР!A204:B1369,2),IF(C667&gt;0,VLOOKUP(C667,КФСР!A204:B1716,2),IF(D667&gt;0,VLOOKUP(D667,Программа!A$1:B$5112,2),IF(F667&gt;0,VLOOKUP(F667,КВР!A$1:B$5001,2),IF(E667&gt;0,VLOOKUP(E667,Направление!A$1:B$4791,2))))))</f>
        <v>Обеспечение качества и доступности образовательных услуг в сфере дошкольного образования</v>
      </c>
      <c r="B667" s="116"/>
      <c r="C667" s="111"/>
      <c r="D667" s="112" t="s">
        <v>444</v>
      </c>
      <c r="E667" s="129"/>
      <c r="F667" s="124"/>
      <c r="G667" s="276">
        <v>51800</v>
      </c>
      <c r="H667" s="338">
        <f t="shared" ref="H667:I667" si="145">H668+H670</f>
        <v>0</v>
      </c>
      <c r="I667" s="276">
        <f t="shared" si="145"/>
        <v>51800</v>
      </c>
    </row>
    <row r="668" spans="1:9" ht="31.5" x14ac:dyDescent="0.25">
      <c r="A668" s="851" t="str">
        <f>IF(B668&gt;0,VLOOKUP(B668,КВСР!A205:B1370,2),IF(C668&gt;0,VLOOKUP(C668,КФСР!A205:B1717,2),IF(D668&gt;0,VLOOKUP(D668,Программа!A$1:B$5112,2),IF(F668&gt;0,VLOOKUP(F668,КВР!A$1:B$5001,2),IF(E668&gt;0,VLOOKUP(E668,Направление!A$1:B$4791,2))))))</f>
        <v>Обеспечение деятельности дошкольных учреждений</v>
      </c>
      <c r="B668" s="116"/>
      <c r="C668" s="111"/>
      <c r="D668" s="128"/>
      <c r="E668" s="129">
        <v>13010</v>
      </c>
      <c r="F668" s="124"/>
      <c r="G668" s="276">
        <v>1800</v>
      </c>
      <c r="H668" s="338">
        <f t="shared" ref="H668:I668" si="146">H669</f>
        <v>0</v>
      </c>
      <c r="I668" s="276">
        <f t="shared" si="146"/>
        <v>1800</v>
      </c>
    </row>
    <row r="669" spans="1:9" ht="110.25" x14ac:dyDescent="0.25">
      <c r="A669" s="851" t="str">
        <f>IF(B669&gt;0,VLOOKUP(B669,КВСР!A206:B1371,2),IF(C669&gt;0,VLOOKUP(C669,КФСР!A206:B1718,2),IF(D669&gt;0,VLOOKUP(D669,Программа!A$1:B$5112,2),IF(F669&gt;0,VLOOKUP(F669,КВР!A$1:B$5001,2),IF(E669&gt;0,VLOOKUP(E669,Направление!A$1:B$4791,2))))))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9" s="116"/>
      <c r="C669" s="111"/>
      <c r="D669" s="128"/>
      <c r="E669" s="129"/>
      <c r="F669" s="124">
        <v>100</v>
      </c>
      <c r="G669" s="276">
        <v>1800</v>
      </c>
      <c r="H669" s="338"/>
      <c r="I669" s="119">
        <f>G669+H669</f>
        <v>1800</v>
      </c>
    </row>
    <row r="670" spans="1:9" ht="63" x14ac:dyDescent="0.25">
      <c r="A670" s="851" t="str">
        <f>IF(B670&gt;0,VLOOKUP(B670,КВСР!A207:B1372,2),IF(C670&gt;0,VLOOKUP(C670,КФСР!A207:B1719,2),IF(D670&gt;0,VLOOKUP(D670,Программа!A$1:B$5112,2),IF(F670&gt;0,VLOOKUP(F670,КВР!A$1:B$5001,2),IF(E670&gt;0,VLOOKUP(E670,Направление!A$1:B$4791,2))))))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70" s="116"/>
      <c r="C670" s="111"/>
      <c r="D670" s="128"/>
      <c r="E670" s="129">
        <v>73110</v>
      </c>
      <c r="F670" s="124"/>
      <c r="G670" s="276">
        <v>50000</v>
      </c>
      <c r="H670" s="338">
        <f t="shared" ref="H670:I670" si="147">H671</f>
        <v>0</v>
      </c>
      <c r="I670" s="276">
        <f t="shared" si="147"/>
        <v>50000</v>
      </c>
    </row>
    <row r="671" spans="1:9" ht="110.25" x14ac:dyDescent="0.25">
      <c r="A671" s="851" t="str">
        <f>IF(B671&gt;0,VLOOKUP(B671,КВСР!A208:B1373,2),IF(C671&gt;0,VLOOKUP(C671,КФСР!A208:B1720,2),IF(D671&gt;0,VLOOKUP(D671,Программа!A$1:B$5112,2),IF(F671&gt;0,VLOOKUP(F671,КВР!A$1:B$5001,2),IF(E671&gt;0,VLOOKUP(E671,Направление!A$1:B$4791,2))))))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1" s="116"/>
      <c r="C671" s="111"/>
      <c r="D671" s="128"/>
      <c r="E671" s="129"/>
      <c r="F671" s="124">
        <v>100</v>
      </c>
      <c r="G671" s="276">
        <v>50000</v>
      </c>
      <c r="H671" s="338"/>
      <c r="I671" s="119">
        <f>G671+H671</f>
        <v>50000</v>
      </c>
    </row>
    <row r="672" spans="1:9" ht="63" x14ac:dyDescent="0.25">
      <c r="A672" s="851" t="str">
        <f>IF(B672&gt;0,VLOOKUP(B672,КВСР!A204:B1369,2),IF(C672&gt;0,VLOOKUP(C672,КФСР!A204:B1716,2),IF(D672&gt;0,VLOOKUP(D672,Программа!A$1:B$5112,2),IF(F672&gt;0,VLOOKUP(F672,КВР!A$1:B$5001,2),IF(E672&gt;0,VLOOKUP(E672,Направление!A$1:B$4791,2))))))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72" s="116"/>
      <c r="C672" s="111"/>
      <c r="D672" s="112" t="s">
        <v>490</v>
      </c>
      <c r="E672" s="129"/>
      <c r="F672" s="124"/>
      <c r="G672" s="276">
        <v>36123649</v>
      </c>
      <c r="H672" s="338">
        <f>H675+H677+H679+H682+H685+H673</f>
        <v>-114128</v>
      </c>
      <c r="I672" s="119">
        <f t="shared" si="138"/>
        <v>36009521</v>
      </c>
    </row>
    <row r="673" spans="1:9" ht="31.5" hidden="1" x14ac:dyDescent="0.25">
      <c r="A673" s="851" t="str">
        <f>IF(B673&gt;0,VLOOKUP(B673,КВСР!A205:B1370,2),IF(C673&gt;0,VLOOKUP(C673,КФСР!A205:B1717,2),IF(D673&gt;0,VLOOKUP(D673,Программа!A$1:B$5112,2),IF(F673&gt;0,VLOOKUP(F673,КВР!A$1:B$5001,2),IF(E673&gt;0,VLOOKUP(E673,Направление!A$1:B$4791,2))))))</f>
        <v xml:space="preserve">Государственная поддержка опеки и попечительства </v>
      </c>
      <c r="B673" s="116"/>
      <c r="C673" s="111"/>
      <c r="D673" s="128"/>
      <c r="E673" s="129">
        <v>13750</v>
      </c>
      <c r="F673" s="124"/>
      <c r="G673" s="276">
        <v>0</v>
      </c>
      <c r="H673" s="338">
        <f>H674</f>
        <v>0</v>
      </c>
      <c r="I673" s="119">
        <f t="shared" si="138"/>
        <v>0</v>
      </c>
    </row>
    <row r="674" spans="1:9" ht="31.5" hidden="1" x14ac:dyDescent="0.25">
      <c r="A674" s="851" t="str">
        <f>IF(B674&gt;0,VLOOKUP(B674,КВСР!A205:B1370,2),IF(C674&gt;0,VLOOKUP(C674,КФСР!A205:B1717,2),IF(D674&gt;0,VLOOKUP(D674,Программа!A$1:B$5112,2),IF(F674&gt;0,VLOOKUP(F674,КВР!A$1:B$5001,2),IF(E674&gt;0,VLOOKUP(E674,Направление!A$1:B$4791,2))))))</f>
        <v>Социальное обеспечение и иные выплаты населению</v>
      </c>
      <c r="B674" s="116"/>
      <c r="C674" s="111"/>
      <c r="D674" s="128"/>
      <c r="E674" s="129"/>
      <c r="F674" s="124">
        <v>300</v>
      </c>
      <c r="G674" s="276">
        <v>0</v>
      </c>
      <c r="H674" s="338"/>
      <c r="I674" s="119">
        <f t="shared" si="138"/>
        <v>0</v>
      </c>
    </row>
    <row r="675" spans="1:9" ht="47.25" hidden="1" x14ac:dyDescent="0.25">
      <c r="A675" s="851" t="str">
        <f>IF(B675&gt;0,VLOOKUP(B675,КВСР!A204:B1369,2),IF(C675&gt;0,VLOOKUP(C675,КФСР!A204:B1716,2),IF(D675&gt;0,VLOOKUP(D675,Программа!A$1:B$5112,2),IF(F675&gt;0,VLOOKUP(F675,КВР!A$1:B$5001,2),IF(E675&gt;0,VLOOKUP(E675,Направление!A$1:B$4791,2))))))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5" s="116"/>
      <c r="C675" s="111"/>
      <c r="D675" s="128"/>
      <c r="E675" s="129" t="s">
        <v>508</v>
      </c>
      <c r="F675" s="124"/>
      <c r="G675" s="276">
        <v>0</v>
      </c>
      <c r="H675" s="338">
        <f>H676</f>
        <v>0</v>
      </c>
      <c r="I675" s="119">
        <f t="shared" si="138"/>
        <v>0</v>
      </c>
    </row>
    <row r="676" spans="1:9" ht="63" hidden="1" x14ac:dyDescent="0.25">
      <c r="A676" s="851" t="str">
        <f>IF(B676&gt;0,VLOOKUP(B676,КВСР!A205:B1370,2),IF(C676&gt;0,VLOOKUP(C676,КФСР!A205:B1717,2),IF(D676&gt;0,VLOOKUP(D676,Программа!A$1:B$5112,2),IF(F676&gt;0,VLOOKUP(F676,КВР!A$1:B$5001,2),IF(E676&gt;0,VLOOKUP(E676,Направление!A$1:B$4791,2))))))</f>
        <v xml:space="preserve">Закупка товаров, работ и услуг для обеспечения государственных (муниципальных) нужд
</v>
      </c>
      <c r="B676" s="116"/>
      <c r="C676" s="111"/>
      <c r="D676" s="130"/>
      <c r="E676" s="127"/>
      <c r="F676" s="124">
        <v>200</v>
      </c>
      <c r="G676" s="294">
        <v>0</v>
      </c>
      <c r="H676" s="283"/>
      <c r="I676" s="119">
        <f t="shared" si="138"/>
        <v>0</v>
      </c>
    </row>
    <row r="677" spans="1:9" ht="78.75" x14ac:dyDescent="0.25">
      <c r="A677" s="851" t="str">
        <f>IF(B677&gt;0,VLOOKUP(B677,КВСР!A207:B1372,2),IF(C677&gt;0,VLOOKUP(C677,КФСР!A207:B1719,2),IF(D677&gt;0,VLOOKUP(D677,Программа!A$1:B$5112,2),IF(F677&gt;0,VLOOKUP(F677,КВР!A$1:B$5001,2),IF(E677&gt;0,VLOOKUP(E677,Направление!A$1:B$4791,2))))))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7" s="116"/>
      <c r="C677" s="111"/>
      <c r="D677" s="128"/>
      <c r="E677" s="129">
        <v>52600</v>
      </c>
      <c r="F677" s="124"/>
      <c r="G677" s="294">
        <v>629901</v>
      </c>
      <c r="H677" s="283">
        <f>H678</f>
        <v>-114128</v>
      </c>
      <c r="I677" s="119">
        <f t="shared" si="138"/>
        <v>515773</v>
      </c>
    </row>
    <row r="678" spans="1:9" ht="31.5" x14ac:dyDescent="0.25">
      <c r="A678" s="851" t="str">
        <f>IF(B678&gt;0,VLOOKUP(B678,КВСР!A208:B1373,2),IF(C678&gt;0,VLOOKUP(C678,КФСР!A208:B1720,2),IF(D678&gt;0,VLOOKUP(D678,Программа!A$1:B$5112,2),IF(F678&gt;0,VLOOKUP(F678,КВР!A$1:B$5001,2),IF(E678&gt;0,VLOOKUP(E678,Направление!A$1:B$4791,2))))))</f>
        <v>Социальное обеспечение и иные выплаты населению</v>
      </c>
      <c r="B678" s="116"/>
      <c r="C678" s="111"/>
      <c r="D678" s="131"/>
      <c r="E678" s="129"/>
      <c r="F678" s="124">
        <v>300</v>
      </c>
      <c r="G678" s="294">
        <v>629901</v>
      </c>
      <c r="H678" s="283">
        <v>-114128</v>
      </c>
      <c r="I678" s="119">
        <f t="shared" si="138"/>
        <v>515773</v>
      </c>
    </row>
    <row r="679" spans="1:9" ht="94.5" hidden="1" x14ac:dyDescent="0.25">
      <c r="A679" s="851" t="str">
        <f>IF(B679&gt;0,VLOOKUP(B679,КВСР!A209:B1374,2),IF(C679&gt;0,VLOOKUP(C679,КФСР!A209:B1721,2),IF(D679&gt;0,VLOOKUP(D679,Программа!A$1:B$5112,2),IF(F679&gt;0,VLOOKUP(F679,КВР!A$1:B$5001,2),IF(E679&gt;0,VLOOKUP(E679,Направление!A$1:B$4791,2))))))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79" s="116"/>
      <c r="C679" s="111"/>
      <c r="D679" s="128"/>
      <c r="E679" s="129">
        <v>70430</v>
      </c>
      <c r="F679" s="124"/>
      <c r="G679" s="294">
        <v>0</v>
      </c>
      <c r="H679" s="283">
        <f t="shared" ref="H679:I679" si="148">H681+H680</f>
        <v>0</v>
      </c>
      <c r="I679" s="283">
        <f t="shared" si="148"/>
        <v>0</v>
      </c>
    </row>
    <row r="680" spans="1:9" ht="63" hidden="1" x14ac:dyDescent="0.25">
      <c r="A680" s="851" t="str">
        <f>IF(B680&gt;0,VLOOKUP(B680,КВСР!A210:B1375,2),IF(C680&gt;0,VLOOKUP(C680,КФСР!A210:B1722,2),IF(D680&gt;0,VLOOKUP(D680,Программа!A$1:B$5112,2),IF(F680&gt;0,VLOOKUP(F680,КВР!A$1:B$5001,2),IF(E680&gt;0,VLOOKUP(E680,Направление!A$1:B$4791,2))))))</f>
        <v xml:space="preserve">Закупка товаров, работ и услуг для обеспечения государственных (муниципальных) нужд
</v>
      </c>
      <c r="B680" s="116"/>
      <c r="C680" s="111"/>
      <c r="D680" s="128"/>
      <c r="E680" s="129"/>
      <c r="F680" s="124">
        <v>200</v>
      </c>
      <c r="G680" s="294">
        <v>0</v>
      </c>
      <c r="H680" s="283"/>
      <c r="I680" s="119">
        <f t="shared" si="138"/>
        <v>0</v>
      </c>
    </row>
    <row r="681" spans="1:9" ht="31.5" hidden="1" x14ac:dyDescent="0.25">
      <c r="A681" s="851" t="str">
        <f>IF(B681&gt;0,VLOOKUP(B681,КВСР!A210:B1375,2),IF(C681&gt;0,VLOOKUP(C681,КФСР!A210:B1722,2),IF(D681&gt;0,VLOOKUP(D681,Программа!A$1:B$5112,2),IF(F681&gt;0,VLOOKUP(F681,КВР!A$1:B$5001,2),IF(E681&gt;0,VLOOKUP(E681,Направление!A$1:B$4791,2))))))</f>
        <v>Социальное обеспечение и иные выплаты населению</v>
      </c>
      <c r="B681" s="116"/>
      <c r="C681" s="111"/>
      <c r="D681" s="131"/>
      <c r="E681" s="129"/>
      <c r="F681" s="124">
        <v>300</v>
      </c>
      <c r="G681" s="294">
        <v>0</v>
      </c>
      <c r="H681" s="283"/>
      <c r="I681" s="119">
        <f t="shared" si="138"/>
        <v>0</v>
      </c>
    </row>
    <row r="682" spans="1:9" ht="78.75" x14ac:dyDescent="0.25">
      <c r="A682" s="851" t="str">
        <f>IF(B682&gt;0,VLOOKUP(B682,КВСР!A211:B1376,2),IF(C682&gt;0,VLOOKUP(C682,КФСР!A211:B1723,2),IF(D682&gt;0,VLOOKUP(D682,Программа!A$1:B$5112,2),IF(F682&gt;0,VLOOKUP(F682,КВР!A$1:B$5001,2),IF(E682&gt;0,VLOOKUP(E682,Направление!A$1:B$4791,2))))))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82" s="116"/>
      <c r="C682" s="111"/>
      <c r="D682" s="128"/>
      <c r="E682" s="129">
        <v>70460</v>
      </c>
      <c r="F682" s="124"/>
      <c r="G682" s="294">
        <v>31124721</v>
      </c>
      <c r="H682" s="283">
        <f>H683+H684</f>
        <v>0</v>
      </c>
      <c r="I682" s="119">
        <f t="shared" si="138"/>
        <v>31124721</v>
      </c>
    </row>
    <row r="683" spans="1:9" ht="63" x14ac:dyDescent="0.25">
      <c r="A683" s="851" t="str">
        <f>IF(B683&gt;0,VLOOKUP(B683,КВСР!A212:B1377,2),IF(C683&gt;0,VLOOKUP(C683,КФСР!A212:B1724,2),IF(D683&gt;0,VLOOKUP(D683,Программа!A$1:B$5112,2),IF(F683&gt;0,VLOOKUP(F683,КВР!A$1:B$5001,2),IF(E683&gt;0,VLOOKUP(E683,Направление!A$1:B$4791,2))))))</f>
        <v xml:space="preserve">Закупка товаров, работ и услуг для обеспечения государственных (муниципальных) нужд
</v>
      </c>
      <c r="B683" s="116"/>
      <c r="C683" s="111"/>
      <c r="D683" s="131"/>
      <c r="E683" s="129"/>
      <c r="F683" s="124">
        <v>200</v>
      </c>
      <c r="G683" s="294">
        <v>95860</v>
      </c>
      <c r="H683" s="283"/>
      <c r="I683" s="119">
        <f t="shared" si="138"/>
        <v>95860</v>
      </c>
    </row>
    <row r="684" spans="1:9" ht="31.5" x14ac:dyDescent="0.25">
      <c r="A684" s="851" t="str">
        <f>IF(B684&gt;0,VLOOKUP(B684,КВСР!A213:B1378,2),IF(C684&gt;0,VLOOKUP(C684,КФСР!A213:B1725,2),IF(D684&gt;0,VLOOKUP(D684,Программа!A$1:B$5112,2),IF(F684&gt;0,VLOOKUP(F684,КВР!A$1:B$5001,2),IF(E684&gt;0,VLOOKUP(E684,Направление!A$1:B$4791,2))))))</f>
        <v>Социальное обеспечение и иные выплаты населению</v>
      </c>
      <c r="B684" s="116"/>
      <c r="C684" s="111"/>
      <c r="D684" s="131"/>
      <c r="E684" s="129"/>
      <c r="F684" s="124">
        <v>300</v>
      </c>
      <c r="G684" s="294">
        <v>31028861</v>
      </c>
      <c r="H684" s="283"/>
      <c r="I684" s="119">
        <f t="shared" si="138"/>
        <v>31028861</v>
      </c>
    </row>
    <row r="685" spans="1:9" ht="47.25" x14ac:dyDescent="0.25">
      <c r="A685" s="851" t="str">
        <f>IF(B685&gt;0,VLOOKUP(B685,КВСР!A214:B1379,2),IF(C685&gt;0,VLOOKUP(C685,КФСР!A214:B1726,2),IF(D685&gt;0,VLOOKUP(D685,Программа!A$1:B$5112,2),IF(F685&gt;0,VLOOKUP(F685,КВР!A$1:B$5001,2),IF(E685&gt;0,VLOOKUP(E685,Направление!A$1:B$4791,2))))))</f>
        <v>Государственная поддержка опеки и попечительства за счет средств областного бюджета</v>
      </c>
      <c r="B685" s="116"/>
      <c r="C685" s="111"/>
      <c r="D685" s="128"/>
      <c r="E685" s="129">
        <v>70500</v>
      </c>
      <c r="F685" s="124"/>
      <c r="G685" s="294">
        <v>4369027</v>
      </c>
      <c r="H685" s="283">
        <f>H687+H688+H689+H686</f>
        <v>0</v>
      </c>
      <c r="I685" s="119">
        <f t="shared" si="138"/>
        <v>4369027</v>
      </c>
    </row>
    <row r="686" spans="1:9" ht="110.25" hidden="1" x14ac:dyDescent="0.25">
      <c r="A686" s="851" t="str">
        <f>IF(B686&gt;0,VLOOKUP(B686,КВСР!A215:B1380,2),IF(C686&gt;0,VLOOKUP(C686,КФСР!A215:B1727,2),IF(D686&gt;0,VLOOKUP(D686,Программа!A$1:B$5112,2),IF(F686&gt;0,VLOOKUP(F686,КВР!A$1:B$5001,2),IF(E686&gt;0,VLOOKUP(E686,Направление!A$1:B$4791,2))))))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6" s="116"/>
      <c r="C686" s="111"/>
      <c r="D686" s="128"/>
      <c r="E686" s="129"/>
      <c r="F686" s="124">
        <v>100</v>
      </c>
      <c r="G686" s="294">
        <v>0</v>
      </c>
      <c r="H686" s="283"/>
      <c r="I686" s="119">
        <f t="shared" si="138"/>
        <v>0</v>
      </c>
    </row>
    <row r="687" spans="1:9" ht="63" x14ac:dyDescent="0.25">
      <c r="A687" s="851" t="str">
        <f>IF(B687&gt;0,VLOOKUP(B687,КВСР!A215:B1380,2),IF(C687&gt;0,VLOOKUP(C687,КФСР!A215:B1727,2),IF(D687&gt;0,VLOOKUP(D687,Программа!A$1:B$5112,2),IF(F687&gt;0,VLOOKUP(F687,КВР!A$1:B$5001,2),IF(E687&gt;0,VLOOKUP(E687,Направление!A$1:B$4791,2))))))</f>
        <v xml:space="preserve">Закупка товаров, работ и услуг для обеспечения государственных (муниципальных) нужд
</v>
      </c>
      <c r="B687" s="116"/>
      <c r="C687" s="111"/>
      <c r="D687" s="131"/>
      <c r="E687" s="129"/>
      <c r="F687" s="124">
        <v>200</v>
      </c>
      <c r="G687" s="294">
        <v>5367</v>
      </c>
      <c r="H687" s="283">
        <v>-97</v>
      </c>
      <c r="I687" s="119">
        <f t="shared" si="138"/>
        <v>5270</v>
      </c>
    </row>
    <row r="688" spans="1:9" ht="31.5" x14ac:dyDescent="0.25">
      <c r="A688" s="851" t="str">
        <f>IF(B688&gt;0,VLOOKUP(B688,КВСР!A216:B1381,2),IF(C688&gt;0,VLOOKUP(C688,КФСР!A216:B1728,2),IF(D688&gt;0,VLOOKUP(D688,Программа!A$1:B$5112,2),IF(F688&gt;0,VLOOKUP(F688,КВР!A$1:B$5001,2),IF(E688&gt;0,VLOOKUP(E688,Направление!A$1:B$4791,2))))))</f>
        <v>Социальное обеспечение и иные выплаты населению</v>
      </c>
      <c r="B688" s="116"/>
      <c r="C688" s="111"/>
      <c r="D688" s="131"/>
      <c r="E688" s="129"/>
      <c r="F688" s="124">
        <v>300</v>
      </c>
      <c r="G688" s="294">
        <v>2380555</v>
      </c>
      <c r="H688" s="283">
        <f>3453-13239-1466</f>
        <v>-11252</v>
      </c>
      <c r="I688" s="119">
        <f t="shared" si="138"/>
        <v>2369303</v>
      </c>
    </row>
    <row r="689" spans="1:9" ht="47.25" x14ac:dyDescent="0.25">
      <c r="A689" s="851" t="str">
        <f>IF(B689&gt;0,VLOOKUP(B689,КВСР!A217:B1382,2),IF(C689&gt;0,VLOOKUP(C689,КФСР!A217:B1729,2),IF(D689&gt;0,VLOOKUP(D689,Программа!A$1:B$5112,2),IF(F689&gt;0,VLOOKUP(F689,КВР!A$1:B$5001,2),IF(E689&gt;0,VLOOKUP(E689,Направление!A$1:B$4791,2))))))</f>
        <v>Предоставление субсидий бюджетным, автономным учреждениям и иным некоммерческим организациям</v>
      </c>
      <c r="B689" s="116"/>
      <c r="C689" s="111"/>
      <c r="D689" s="131"/>
      <c r="E689" s="129"/>
      <c r="F689" s="124">
        <v>600</v>
      </c>
      <c r="G689" s="294">
        <v>1983105</v>
      </c>
      <c r="H689" s="283">
        <v>11349</v>
      </c>
      <c r="I689" s="119">
        <f t="shared" si="138"/>
        <v>1994454</v>
      </c>
    </row>
    <row r="690" spans="1:9" x14ac:dyDescent="0.25">
      <c r="A690" s="851" t="str">
        <f>IF(B690&gt;0,VLOOKUP(B690,КВСР!A218:B1383,2),IF(C690&gt;0,VLOOKUP(C690,КФСР!A218:B1730,2),IF(D690&gt;0,VLOOKUP(D690,Программа!A$1:B$5112,2),IF(F690&gt;0,VLOOKUP(F690,КВР!A$1:B$5001,2),IF(E690&gt;0,VLOOKUP(E690,Направление!A$1:B$4791,2))))))</f>
        <v>Обеспечение компенсационных выплат</v>
      </c>
      <c r="B690" s="116"/>
      <c r="C690" s="111"/>
      <c r="D690" s="112" t="s">
        <v>1141</v>
      </c>
      <c r="E690" s="129"/>
      <c r="F690" s="124"/>
      <c r="G690" s="294">
        <v>11368236</v>
      </c>
      <c r="H690" s="283">
        <f>H691</f>
        <v>0</v>
      </c>
      <c r="I690" s="119">
        <f t="shared" si="138"/>
        <v>11368236</v>
      </c>
    </row>
    <row r="691" spans="1:9" ht="94.5" x14ac:dyDescent="0.25">
      <c r="A691" s="851" t="str">
        <f>IF(B691&gt;0,VLOOKUP(B691,КВСР!A207:B1372,2),IF(C691&gt;0,VLOOKUP(C691,КФСР!A207:B1719,2),IF(D691&gt;0,VLOOKUP(D691,Программа!A$1:B$5112,2),IF(F691&gt;0,VLOOKUP(F691,КВР!A$1:B$5001,2),IF(E691&gt;0,VLOOKUP(E691,Направление!A$1:B$4791,2))))))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91" s="116"/>
      <c r="C691" s="111"/>
      <c r="D691" s="128"/>
      <c r="E691" s="129">
        <v>70430</v>
      </c>
      <c r="F691" s="124"/>
      <c r="G691" s="294">
        <v>11368236</v>
      </c>
      <c r="H691" s="283">
        <f>H692+H693</f>
        <v>0</v>
      </c>
      <c r="I691" s="119">
        <f t="shared" si="138"/>
        <v>11368236</v>
      </c>
    </row>
    <row r="692" spans="1:9" ht="63" x14ac:dyDescent="0.25">
      <c r="A692" s="851" t="str">
        <f>IF(B692&gt;0,VLOOKUP(B692,КВСР!A208:B1373,2),IF(C692&gt;0,VLOOKUP(C692,КФСР!A208:B1720,2),IF(D692&gt;0,VLOOKUP(D692,Программа!A$1:B$5112,2),IF(F692&gt;0,VLOOKUP(F692,КВР!A$1:B$5001,2),IF(E692&gt;0,VLOOKUP(E692,Направление!A$1:B$4791,2))))))</f>
        <v xml:space="preserve">Закупка товаров, работ и услуг для обеспечения государственных (муниципальных) нужд
</v>
      </c>
      <c r="B692" s="116"/>
      <c r="C692" s="111"/>
      <c r="D692" s="131"/>
      <c r="E692" s="129"/>
      <c r="F692" s="124">
        <v>200</v>
      </c>
      <c r="G692" s="276">
        <v>168004</v>
      </c>
      <c r="H692" s="338"/>
      <c r="I692" s="119">
        <f t="shared" si="138"/>
        <v>168004</v>
      </c>
    </row>
    <row r="693" spans="1:9" ht="31.5" x14ac:dyDescent="0.25">
      <c r="A693" s="851" t="str">
        <f>IF(B693&gt;0,VLOOKUP(B693,КВСР!A209:B1374,2),IF(C693&gt;0,VLOOKUP(C693,КФСР!A209:B1721,2),IF(D693&gt;0,VLOOKUP(D693,Программа!A$1:B$5112,2),IF(F693&gt;0,VLOOKUP(F693,КВР!A$1:B$5001,2),IF(E693&gt;0,VLOOKUP(E693,Направление!A$1:B$4791,2))))))</f>
        <v>Социальное обеспечение и иные выплаты населению</v>
      </c>
      <c r="B693" s="116"/>
      <c r="C693" s="111"/>
      <c r="D693" s="131"/>
      <c r="E693" s="129"/>
      <c r="F693" s="124">
        <v>300</v>
      </c>
      <c r="G693" s="276">
        <v>11200232</v>
      </c>
      <c r="H693" s="338"/>
      <c r="I693" s="119">
        <f t="shared" si="138"/>
        <v>11200232</v>
      </c>
    </row>
    <row r="694" spans="1:9" ht="31.5" x14ac:dyDescent="0.25">
      <c r="A694" s="854" t="str">
        <f>IF(B694&gt;0,VLOOKUP(B694,КВСР!A210:B1375,2),IF(C694&gt;0,VLOOKUP(C694,КФСР!A210:B1722,2),IF(D694&gt;0,VLOOKUP(D694,Программа!A$1:B$5112,2),IF(F694&gt;0,VLOOKUP(F694,КВР!A$1:B$5001,2),IF(E694&gt;0,VLOOKUP(E694,Направление!A$1:B$4791,2))))))</f>
        <v>Обеспечение эффективности управления системой образования</v>
      </c>
      <c r="B694" s="112"/>
      <c r="C694" s="112"/>
      <c r="D694" s="112" t="s">
        <v>1138</v>
      </c>
      <c r="E694" s="128"/>
      <c r="F694" s="124"/>
      <c r="G694" s="276">
        <v>850</v>
      </c>
      <c r="H694" s="338">
        <f t="shared" ref="H694:I695" si="149">H695</f>
        <v>0</v>
      </c>
      <c r="I694" s="276">
        <f t="shared" si="149"/>
        <v>850</v>
      </c>
    </row>
    <row r="695" spans="1:9" ht="63" x14ac:dyDescent="0.25">
      <c r="A695" s="854" t="str">
        <f>IF(B695&gt;0,VLOOKUP(B695,КВСР!A211:B1376,2),IF(C695&gt;0,VLOOKUP(C695,КФСР!A211:B1723,2),IF(D695&gt;0,VLOOKUP(D695,Программа!A$1:B$5112,2),IF(F695&gt;0,VLOOKUP(F695,КВР!A$1:B$5001,2),IF(E695&gt;0,VLOOKUP(E695,Направление!A$1:B$4791,2))))))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5" s="112"/>
      <c r="C695" s="112"/>
      <c r="D695" s="128"/>
      <c r="E695" s="112" t="s">
        <v>1265</v>
      </c>
      <c r="F695" s="124"/>
      <c r="G695" s="276">
        <v>850</v>
      </c>
      <c r="H695" s="338">
        <f t="shared" si="149"/>
        <v>0</v>
      </c>
      <c r="I695" s="276">
        <f t="shared" si="149"/>
        <v>850</v>
      </c>
    </row>
    <row r="696" spans="1:9" ht="110.25" x14ac:dyDescent="0.25">
      <c r="A696" s="854" t="str">
        <f>IF(B696&gt;0,VLOOKUP(B696,КВСР!A212:B1377,2),IF(C696&gt;0,VLOOKUP(C696,КФСР!A212:B1724,2),IF(D696&gt;0,VLOOKUP(D696,Программа!A$1:B$5112,2),IF(F696&gt;0,VLOOKUP(F696,КВР!A$1:B$5001,2),IF(E696&gt;0,VLOOKUP(E696,Направление!A$1:B$4791,2))))))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6" s="112"/>
      <c r="C696" s="112"/>
      <c r="D696" s="128"/>
      <c r="E696" s="128"/>
      <c r="F696" s="124">
        <v>100</v>
      </c>
      <c r="G696" s="276">
        <v>850</v>
      </c>
      <c r="H696" s="338"/>
      <c r="I696" s="119">
        <f>G696+H696</f>
        <v>850</v>
      </c>
    </row>
    <row r="697" spans="1:9" s="132" customFormat="1" x14ac:dyDescent="0.25">
      <c r="A697" s="851" t="str">
        <f>IF(B697&gt;0,VLOOKUP(B697,КВСР!A228:B1393,2),IF(C697&gt;0,VLOOKUP(C697,КФСР!A228:B1740,2),IF(D697&gt;0,VLOOKUP(D697,Программа!A$1:B$5112,2),IF(F697&gt;0,VLOOKUP(F697,КВР!A$1:B$5001,2),IF(E697&gt;0,VLOOKUP(E697,Направление!A$1:B$4791,2))))))</f>
        <v>Массовый спорт</v>
      </c>
      <c r="B697" s="122"/>
      <c r="C697" s="123">
        <v>1102</v>
      </c>
      <c r="D697" s="112"/>
      <c r="E697" s="111"/>
      <c r="F697" s="113"/>
      <c r="G697" s="276">
        <v>41579856</v>
      </c>
      <c r="H697" s="338">
        <f>H709+H698+H723</f>
        <v>583661</v>
      </c>
      <c r="I697" s="338">
        <f>I709+I698+I723</f>
        <v>42163517</v>
      </c>
    </row>
    <row r="698" spans="1:9" s="132" customFormat="1" ht="63" hidden="1" x14ac:dyDescent="0.25">
      <c r="A698" s="851" t="str">
        <f>IF(B698&gt;0,VLOOKUP(B698,КВСР!A229:B1394,2),IF(C698&gt;0,VLOOKUP(C698,КФСР!A229:B1741,2),IF(D698&gt;0,VLOOKUP(D698,Программа!A$1:B$5112,2),IF(F698&gt;0,VLOOKUP(F698,КВР!A$1:B$5001,2),IF(E698&gt;0,VLOOKUP(E698,Направление!A$1:B$4791,2))))))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8" s="122"/>
      <c r="C698" s="123"/>
      <c r="D698" s="112" t="s">
        <v>470</v>
      </c>
      <c r="E698" s="111"/>
      <c r="F698" s="113"/>
      <c r="G698" s="276">
        <v>0</v>
      </c>
      <c r="H698" s="338">
        <f>H700+H705</f>
        <v>0</v>
      </c>
      <c r="I698" s="119">
        <f t="shared" si="138"/>
        <v>0</v>
      </c>
    </row>
    <row r="699" spans="1:9" s="132" customFormat="1" ht="94.5" hidden="1" x14ac:dyDescent="0.25">
      <c r="A699" s="851" t="str">
        <f>IF(B699&gt;0,VLOOKUP(B699,КВСР!A230:B1395,2),IF(C699&gt;0,VLOOKUP(C699,КФСР!A230:B1742,2),IF(D699&gt;0,VLOOKUP(D699,Программа!A$1:B$5112,2),IF(F699&gt;0,VLOOKUP(F699,КВР!A$1:B$5001,2),IF(E699&gt;0,VLOOKUP(E699,Направление!A$1:B$4791,2))))))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9" s="122"/>
      <c r="C699" s="123"/>
      <c r="D699" s="112" t="s">
        <v>472</v>
      </c>
      <c r="E699" s="111"/>
      <c r="F699" s="113"/>
      <c r="G699" s="276">
        <v>0</v>
      </c>
      <c r="H699" s="338">
        <f t="shared" ref="H699:H701" si="150">H700</f>
        <v>0</v>
      </c>
      <c r="I699" s="119">
        <f t="shared" si="138"/>
        <v>0</v>
      </c>
    </row>
    <row r="700" spans="1:9" s="132" customFormat="1" ht="78.75" hidden="1" x14ac:dyDescent="0.25">
      <c r="A700" s="851" t="str">
        <f>IF(B700&gt;0,VLOOKUP(B700,КВСР!A231:B1396,2),IF(C700&gt;0,VLOOKUP(C700,КФСР!A231:B1743,2),IF(D700&gt;0,VLOOKUP(D700,Программа!A$1:B$5112,2),IF(F700&gt;0,VLOOKUP(F700,КВР!A$1:B$5001,2),IF(E700&gt;0,VLOOKUP(E700,Направление!A$1:B$4791,2))))))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0" s="122"/>
      <c r="C700" s="123"/>
      <c r="D700" s="112" t="s">
        <v>474</v>
      </c>
      <c r="E700" s="111"/>
      <c r="F700" s="113"/>
      <c r="G700" s="276">
        <v>0</v>
      </c>
      <c r="H700" s="338">
        <f t="shared" ref="H700:I700" si="151">H701+H703</f>
        <v>0</v>
      </c>
      <c r="I700" s="276">
        <f t="shared" si="151"/>
        <v>0</v>
      </c>
    </row>
    <row r="701" spans="1:9" s="132" customFormat="1" ht="31.5" hidden="1" x14ac:dyDescent="0.25">
      <c r="A701" s="851" t="str">
        <f>IF(B701&gt;0,VLOOKUP(B701,КВСР!A231:B1396,2),IF(C701&gt;0,VLOOKUP(C701,КФСР!A231:B1743,2),IF(D701&gt;0,VLOOKUP(D701,Программа!A$1:B$5112,2),IF(F701&gt;0,VLOOKUP(F701,КВР!A$1:B$5001,2),IF(E701&gt;0,VLOOKUP(E701,Направление!A$1:B$4791,2))))))</f>
        <v>Обеспечение деятельности учреждений спорта</v>
      </c>
      <c r="B701" s="122"/>
      <c r="C701" s="123"/>
      <c r="D701" s="112"/>
      <c r="E701" s="111">
        <v>14020</v>
      </c>
      <c r="F701" s="113"/>
      <c r="G701" s="276">
        <v>0</v>
      </c>
      <c r="H701" s="338">
        <f t="shared" si="150"/>
        <v>0</v>
      </c>
      <c r="I701" s="119">
        <f t="shared" si="138"/>
        <v>0</v>
      </c>
    </row>
    <row r="702" spans="1:9" s="132" customFormat="1" ht="47.25" hidden="1" x14ac:dyDescent="0.25">
      <c r="A702" s="851" t="str">
        <f>IF(B702&gt;0,VLOOKUP(B702,КВСР!A232:B1397,2),IF(C702&gt;0,VLOOKUP(C702,КФСР!A232:B1744,2),IF(D702&gt;0,VLOOKUP(D702,Программа!A$1:B$5112,2),IF(F702&gt;0,VLOOKUP(F702,КВР!A$1:B$5001,2),IF(E702&gt;0,VLOOKUP(E702,Направление!A$1:B$4791,2))))))</f>
        <v>Предоставление субсидий бюджетным, автономным учреждениям и иным некоммерческим организациям</v>
      </c>
      <c r="B702" s="122"/>
      <c r="C702" s="123"/>
      <c r="D702" s="112"/>
      <c r="E702" s="111"/>
      <c r="F702" s="113">
        <v>600</v>
      </c>
      <c r="G702" s="276">
        <v>0</v>
      </c>
      <c r="H702" s="338"/>
      <c r="I702" s="119">
        <f t="shared" si="138"/>
        <v>0</v>
      </c>
    </row>
    <row r="703" spans="1:9" s="132" customFormat="1" ht="31.5" hidden="1" x14ac:dyDescent="0.25">
      <c r="A703" s="851" t="str">
        <f>IF(B703&gt;0,VLOOKUP(B703,КВСР!A233:B1398,2),IF(C703&gt;0,VLOOKUP(C703,КФСР!A233:B1745,2),IF(D703&gt;0,VLOOKUP(D703,Программа!A$1:B$5112,2),IF(F703&gt;0,VLOOKUP(F703,КВР!A$1:B$5001,2),IF(E703&gt;0,VLOOKUP(E703,Направление!A$1:B$4791,2))))))</f>
        <v>Мероприятия по патриотическому воспитанию граждан</v>
      </c>
      <c r="B703" s="122"/>
      <c r="C703" s="123"/>
      <c r="D703" s="112"/>
      <c r="E703" s="111">
        <v>74880</v>
      </c>
      <c r="F703" s="113"/>
      <c r="G703" s="276">
        <v>0</v>
      </c>
      <c r="H703" s="338">
        <f t="shared" ref="H703:I703" si="152">H704</f>
        <v>0</v>
      </c>
      <c r="I703" s="276">
        <f t="shared" si="152"/>
        <v>0</v>
      </c>
    </row>
    <row r="704" spans="1:9" s="132" customFormat="1" ht="47.25" hidden="1" x14ac:dyDescent="0.25">
      <c r="A704" s="851" t="str">
        <f>IF(B704&gt;0,VLOOKUP(B704,КВСР!A234:B1399,2),IF(C704&gt;0,VLOOKUP(C704,КФСР!A234:B1746,2),IF(D704&gt;0,VLOOKUP(D704,Программа!A$1:B$5112,2),IF(F704&gt;0,VLOOKUP(F704,КВР!A$1:B$5001,2),IF(E704&gt;0,VLOOKUP(E704,Направление!A$1:B$4791,2))))))</f>
        <v>Предоставление субсидий бюджетным, автономным учреждениям и иным некоммерческим организациям</v>
      </c>
      <c r="B704" s="122"/>
      <c r="C704" s="123"/>
      <c r="D704" s="112"/>
      <c r="E704" s="111"/>
      <c r="F704" s="113">
        <v>600</v>
      </c>
      <c r="G704" s="276">
        <v>0</v>
      </c>
      <c r="H704" s="338"/>
      <c r="I704" s="119">
        <f t="shared" si="138"/>
        <v>0</v>
      </c>
    </row>
    <row r="705" spans="1:9" s="132" customFormat="1" ht="63" hidden="1" x14ac:dyDescent="0.25">
      <c r="A705" s="851" t="str">
        <f>IF(B705&gt;0,VLOOKUP(B705,КВСР!A233:B1398,2),IF(C705&gt;0,VLOOKUP(C705,КФСР!A233:B1745,2),IF(D705&gt;0,VLOOKUP(D705,Программа!A$1:B$5112,2),IF(F705&gt;0,VLOOKUP(F705,КВР!A$1:B$5001,2),IF(E705&gt;0,VLOOKUP(E705,Направление!A$1:B$4791,2))))))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5" s="122"/>
      <c r="C705" s="123"/>
      <c r="D705" s="112" t="s">
        <v>477</v>
      </c>
      <c r="E705" s="111"/>
      <c r="F705" s="113"/>
      <c r="G705" s="276">
        <v>0</v>
      </c>
      <c r="H705" s="338">
        <f t="shared" ref="H705:H707" si="153">H706</f>
        <v>0</v>
      </c>
      <c r="I705" s="119">
        <f t="shared" si="138"/>
        <v>0</v>
      </c>
    </row>
    <row r="706" spans="1:9" s="132" customFormat="1" ht="47.25" hidden="1" x14ac:dyDescent="0.25">
      <c r="A706" s="851" t="str">
        <f>IF(B706&gt;0,VLOOKUP(B706,КВСР!A234:B1399,2),IF(C706&gt;0,VLOOKUP(C706,КФСР!A234:B1746,2),IF(D706&gt;0,VLOOKUP(D706,Программа!A$1:B$5112,2),IF(F706&gt;0,VLOOKUP(F706,КВР!A$1:B$5001,2),IF(E706&gt;0,VLOOKUP(E706,Направление!A$1:B$4791,2))))))</f>
        <v>Развитие системы профилактики немедицинского потребления наркотиков</v>
      </c>
      <c r="B706" s="122"/>
      <c r="C706" s="123"/>
      <c r="D706" s="112" t="s">
        <v>479</v>
      </c>
      <c r="E706" s="111"/>
      <c r="F706" s="113"/>
      <c r="G706" s="276">
        <v>0</v>
      </c>
      <c r="H706" s="338">
        <f t="shared" si="153"/>
        <v>0</v>
      </c>
      <c r="I706" s="119">
        <f t="shared" si="138"/>
        <v>0</v>
      </c>
    </row>
    <row r="707" spans="1:9" s="132" customFormat="1" ht="31.5" hidden="1" x14ac:dyDescent="0.25">
      <c r="A707" s="851" t="str">
        <f>IF(B707&gt;0,VLOOKUP(B707,КВСР!A235:B1400,2),IF(C707&gt;0,VLOOKUP(C707,КФСР!A235:B1747,2),IF(D707&gt;0,VLOOKUP(D707,Программа!A$1:B$5112,2),IF(F707&gt;0,VLOOKUP(F707,КВР!A$1:B$5001,2),IF(E707&gt;0,VLOOKUP(E707,Направление!A$1:B$4791,2))))))</f>
        <v>Обеспечение деятельности учреждений спорта</v>
      </c>
      <c r="B707" s="122"/>
      <c r="C707" s="123"/>
      <c r="D707" s="112"/>
      <c r="E707" s="111">
        <v>14020</v>
      </c>
      <c r="F707" s="113"/>
      <c r="G707" s="276">
        <v>0</v>
      </c>
      <c r="H707" s="338">
        <f t="shared" si="153"/>
        <v>0</v>
      </c>
      <c r="I707" s="119">
        <f t="shared" si="138"/>
        <v>0</v>
      </c>
    </row>
    <row r="708" spans="1:9" s="132" customFormat="1" ht="47.25" hidden="1" x14ac:dyDescent="0.25">
      <c r="A708" s="851" t="str">
        <f>IF(B708&gt;0,VLOOKUP(B708,КВСР!A238:B1403,2),IF(C708&gt;0,VLOOKUP(C708,КФСР!A238:B1750,2),IF(D708&gt;0,VLOOKUP(D708,Программа!A$1:B$5112,2),IF(F708&gt;0,VLOOKUP(F708,КВР!A$1:B$5001,2),IF(E708&gt;0,VLOOKUP(E708,Направление!A$1:B$4791,2))))))</f>
        <v>Предоставление субсидий бюджетным, автономным учреждениям и иным некоммерческим организациям</v>
      </c>
      <c r="B708" s="122"/>
      <c r="C708" s="123"/>
      <c r="D708" s="112"/>
      <c r="E708" s="111"/>
      <c r="F708" s="113">
        <v>600</v>
      </c>
      <c r="G708" s="276">
        <v>0</v>
      </c>
      <c r="H708" s="338"/>
      <c r="I708" s="119">
        <f t="shared" si="138"/>
        <v>0</v>
      </c>
    </row>
    <row r="709" spans="1:9" s="132" customFormat="1" ht="63" x14ac:dyDescent="0.25">
      <c r="A709" s="851" t="str">
        <f>IF(B709&gt;0,VLOOKUP(B709,КВСР!A229:B1394,2),IF(C709&gt;0,VLOOKUP(C709,КФСР!A229:B1741,2),IF(D709&gt;0,VLOOKUP(D709,Программа!A$1:B$5112,2),IF(F709&gt;0,VLOOKUP(F709,КВР!A$1:B$5001,2),IF(E709&gt;0,VLOOKUP(E709,Направление!A$1:B$4791,2))))))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09" s="122"/>
      <c r="C709" s="123"/>
      <c r="D709" s="112" t="s">
        <v>441</v>
      </c>
      <c r="E709" s="111"/>
      <c r="F709" s="113"/>
      <c r="G709" s="276">
        <v>41579856</v>
      </c>
      <c r="H709" s="338">
        <f>H710</f>
        <v>583661</v>
      </c>
      <c r="I709" s="119">
        <f t="shared" si="138"/>
        <v>42163517</v>
      </c>
    </row>
    <row r="710" spans="1:9" s="132" customFormat="1" ht="47.25" x14ac:dyDescent="0.25">
      <c r="A710" s="851" t="str">
        <f>IF(B710&gt;0,VLOOKUP(B710,КВСР!A230:B1395,2),IF(C710&gt;0,VLOOKUP(C710,КФСР!A230:B1742,2),IF(D710&gt;0,VLOOKUP(D710,Программа!A$1:B$5112,2),IF(F710&gt;0,VLOOKUP(F710,КВР!A$1:B$5001,2),IF(E710&gt;0,VLOOKUP(E710,Направление!A$1:B$4791,2))))))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10" s="122"/>
      <c r="C710" s="123"/>
      <c r="D710" s="112" t="s">
        <v>460</v>
      </c>
      <c r="E710" s="111"/>
      <c r="F710" s="113"/>
      <c r="G710" s="276">
        <v>41579856</v>
      </c>
      <c r="H710" s="338">
        <f>H711+H720</f>
        <v>583661</v>
      </c>
      <c r="I710" s="119">
        <f t="shared" si="138"/>
        <v>42163517</v>
      </c>
    </row>
    <row r="711" spans="1:9" s="132" customFormat="1" ht="94.5" x14ac:dyDescent="0.25">
      <c r="A711" s="851" t="str">
        <f>IF(B711&gt;0,VLOOKUP(B711,КВСР!A231:B1396,2),IF(C711&gt;0,VLOOKUP(C711,КФСР!A231:B1743,2),IF(D711&gt;0,VLOOKUP(D711,Программа!A$1:B$5112,2),IF(F711&gt;0,VLOOKUP(F711,КВР!A$1:B$5001,2),IF(E711&gt;0,VLOOKUP(E711,Направление!A$1:B$4791,2))))))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11" s="122"/>
      <c r="C711" s="123"/>
      <c r="D711" s="112" t="s">
        <v>515</v>
      </c>
      <c r="E711" s="111"/>
      <c r="F711" s="113"/>
      <c r="G711" s="276">
        <v>41579856</v>
      </c>
      <c r="H711" s="338">
        <f>H714+H718+H716+H712</f>
        <v>583661</v>
      </c>
      <c r="I711" s="276">
        <f>I714+I718+I716+I712</f>
        <v>42163517</v>
      </c>
    </row>
    <row r="712" spans="1:9" s="132" customFormat="1" ht="31.5" x14ac:dyDescent="0.25">
      <c r="A712" s="851" t="str">
        <f>IF(B712&gt;0,VLOOKUP(B712,КВСР!A232:B1397,2),IF(C712&gt;0,VLOOKUP(C712,КФСР!A232:B1744,2),IF(D712&gt;0,VLOOKUP(D712,Программа!A$1:B$5112,2),IF(F712&gt;0,VLOOKUP(F712,КВР!A$1:B$5001,2),IF(E712&gt;0,VLOOKUP(E712,Направление!A$1:B$4791,2))))))</f>
        <v>Мероприятия в области спорта и физической культуры</v>
      </c>
      <c r="B712" s="122"/>
      <c r="C712" s="123"/>
      <c r="D712" s="112"/>
      <c r="E712" s="111">
        <v>14010</v>
      </c>
      <c r="F712" s="113"/>
      <c r="G712" s="276">
        <v>1447349</v>
      </c>
      <c r="H712" s="338">
        <f t="shared" ref="H712:I712" si="154">H713</f>
        <v>583661</v>
      </c>
      <c r="I712" s="276">
        <f t="shared" si="154"/>
        <v>2031010</v>
      </c>
    </row>
    <row r="713" spans="1:9" s="132" customFormat="1" ht="47.25" x14ac:dyDescent="0.25">
      <c r="A713" s="851" t="str">
        <f>IF(B713&gt;0,VLOOKUP(B713,КВСР!A233:B1398,2),IF(C713&gt;0,VLOOKUP(C713,КФСР!A233:B1745,2),IF(D713&gt;0,VLOOKUP(D713,Программа!A$1:B$5112,2),IF(F713&gt;0,VLOOKUP(F713,КВР!A$1:B$5001,2),IF(E713&gt;0,VLOOKUP(E713,Направление!A$1:B$4791,2))))))</f>
        <v>Предоставление субсидий бюджетным, автономным учреждениям и иным некоммерческим организациям</v>
      </c>
      <c r="B713" s="122"/>
      <c r="C713" s="123"/>
      <c r="D713" s="112"/>
      <c r="E713" s="111"/>
      <c r="F713" s="113">
        <v>600</v>
      </c>
      <c r="G713" s="276">
        <v>1447349</v>
      </c>
      <c r="H713" s="338">
        <v>583661</v>
      </c>
      <c r="I713" s="276">
        <f>G713+H713</f>
        <v>2031010</v>
      </c>
    </row>
    <row r="714" spans="1:9" s="132" customFormat="1" ht="31.5" x14ac:dyDescent="0.25">
      <c r="A714" s="851" t="str">
        <f>IF(B714&gt;0,VLOOKUP(B714,КВСР!A232:B1397,2),IF(C714&gt;0,VLOOKUP(C714,КФСР!A232:B1744,2),IF(D714&gt;0,VLOOKUP(D714,Программа!A$1:B$5112,2),IF(F714&gt;0,VLOOKUP(F714,КВР!A$1:B$5001,2),IF(E714&gt;0,VLOOKUP(E714,Направление!A$1:B$4791,2))))))</f>
        <v>Обеспечение деятельности учреждений спорта</v>
      </c>
      <c r="B714" s="122"/>
      <c r="C714" s="123"/>
      <c r="D714" s="112"/>
      <c r="E714" s="111">
        <v>14020</v>
      </c>
      <c r="F714" s="113"/>
      <c r="G714" s="294">
        <v>39782507</v>
      </c>
      <c r="H714" s="283">
        <f>H715</f>
        <v>0</v>
      </c>
      <c r="I714" s="119">
        <f t="shared" ref="I714:I797" si="155">SUM(G714:H714)</f>
        <v>39782507</v>
      </c>
    </row>
    <row r="715" spans="1:9" s="132" customFormat="1" ht="47.25" x14ac:dyDescent="0.25">
      <c r="A715" s="851" t="str">
        <f>IF(B715&gt;0,VLOOKUP(B715,КВСР!A233:B1398,2),IF(C715&gt;0,VLOOKUP(C715,КФСР!A233:B1745,2),IF(D715&gt;0,VLOOKUP(D715,Программа!A$1:B$5112,2),IF(F715&gt;0,VLOOKUP(F715,КВР!A$1:B$5001,2),IF(E715&gt;0,VLOOKUP(E715,Направление!A$1:B$4791,2))))))</f>
        <v>Предоставление субсидий бюджетным, автономным учреждениям и иным некоммерческим организациям</v>
      </c>
      <c r="B715" s="122"/>
      <c r="C715" s="123"/>
      <c r="D715" s="112"/>
      <c r="E715" s="111"/>
      <c r="F715" s="113">
        <v>600</v>
      </c>
      <c r="G715" s="276">
        <v>39782507</v>
      </c>
      <c r="H715" s="338"/>
      <c r="I715" s="119">
        <f t="shared" si="155"/>
        <v>39782507</v>
      </c>
    </row>
    <row r="716" spans="1:9" s="132" customFormat="1" ht="31.5" x14ac:dyDescent="0.25">
      <c r="A716" s="851" t="str">
        <f>IF(B716&gt;0,VLOOKUP(B716,КВСР!A234:B1399,2),IF(C716&gt;0,VLOOKUP(C716,КФСР!A234:B1746,2),IF(D716&gt;0,VLOOKUP(D716,Программа!A$1:B$5112,2),IF(F716&gt;0,VLOOKUP(F716,КВР!A$1:B$5001,2),IF(E716&gt;0,VLOOKUP(E716,Направление!A$1:B$4791,2))))))</f>
        <v>Мероприятия в области спорта и физической культуры</v>
      </c>
      <c r="B716" s="122"/>
      <c r="C716" s="123"/>
      <c r="D716" s="112"/>
      <c r="E716" s="111">
        <v>29226</v>
      </c>
      <c r="F716" s="113"/>
      <c r="G716" s="276">
        <v>350000</v>
      </c>
      <c r="H716" s="338">
        <f t="shared" ref="H716:I716" si="156">H717</f>
        <v>0</v>
      </c>
      <c r="I716" s="276">
        <f t="shared" si="156"/>
        <v>350000</v>
      </c>
    </row>
    <row r="717" spans="1:9" s="132" customFormat="1" ht="47.25" x14ac:dyDescent="0.25">
      <c r="A717" s="851" t="str">
        <f>IF(B717&gt;0,VLOOKUP(B717,КВСР!A235:B1400,2),IF(C717&gt;0,VLOOKUP(C717,КФСР!A235:B1747,2),IF(D717&gt;0,VLOOKUP(D717,Программа!A$1:B$5112,2),IF(F717&gt;0,VLOOKUP(F717,КВР!A$1:B$5001,2),IF(E717&gt;0,VLOOKUP(E717,Направление!A$1:B$4791,2))))))</f>
        <v>Предоставление субсидий бюджетным, автономным учреждениям и иным некоммерческим организациям</v>
      </c>
      <c r="B717" s="122"/>
      <c r="C717" s="123"/>
      <c r="D717" s="112"/>
      <c r="E717" s="111"/>
      <c r="F717" s="113">
        <v>600</v>
      </c>
      <c r="G717" s="276">
        <v>350000</v>
      </c>
      <c r="H717" s="338"/>
      <c r="I717" s="119">
        <f>G717+H717</f>
        <v>350000</v>
      </c>
    </row>
    <row r="718" spans="1:9" s="132" customFormat="1" hidden="1" x14ac:dyDescent="0.25">
      <c r="A718" s="851" t="str">
        <f>IF(B718&gt;0,VLOOKUP(B718,КВСР!A234:B1399,2),IF(C718&gt;0,VLOOKUP(C718,КФСР!A234:B1746,2),IF(D718&gt;0,VLOOKUP(D718,Программа!A$1:B$5112,2),IF(F718&gt;0,VLOOKUP(F718,КВР!A$1:B$5001,2),IF(E718&gt;0,VLOOKUP(E718,Направление!A$1:B$4791,2))))))</f>
        <v xml:space="preserve">Иная дотация </v>
      </c>
      <c r="B718" s="122"/>
      <c r="C718" s="123"/>
      <c r="D718" s="112"/>
      <c r="E718" s="111">
        <v>73260</v>
      </c>
      <c r="F718" s="113"/>
      <c r="G718" s="276">
        <v>0</v>
      </c>
      <c r="H718" s="338">
        <f t="shared" ref="H718:I718" si="157">H719</f>
        <v>0</v>
      </c>
      <c r="I718" s="276">
        <f t="shared" si="157"/>
        <v>0</v>
      </c>
    </row>
    <row r="719" spans="1:9" s="132" customFormat="1" ht="47.25" hidden="1" x14ac:dyDescent="0.25">
      <c r="A719" s="851" t="str">
        <f>IF(B719&gt;0,VLOOKUP(B719,КВСР!A235:B1400,2),IF(C719&gt;0,VLOOKUP(C719,КФСР!A235:B1747,2),IF(D719&gt;0,VLOOKUP(D719,Программа!A$1:B$5112,2),IF(F719&gt;0,VLOOKUP(F719,КВР!A$1:B$5001,2),IF(E719&gt;0,VLOOKUP(E719,Направление!A$1:B$4791,2))))))</f>
        <v>Предоставление субсидий бюджетным, автономным учреждениям и иным некоммерческим организациям</v>
      </c>
      <c r="B719" s="122"/>
      <c r="C719" s="123"/>
      <c r="D719" s="112"/>
      <c r="E719" s="111"/>
      <c r="F719" s="113">
        <v>600</v>
      </c>
      <c r="G719" s="276">
        <v>0</v>
      </c>
      <c r="H719" s="338"/>
      <c r="I719" s="119">
        <f>G719+H719</f>
        <v>0</v>
      </c>
    </row>
    <row r="720" spans="1:9" s="132" customFormat="1" ht="47.25" hidden="1" x14ac:dyDescent="0.25">
      <c r="A720" s="851" t="str">
        <f>IF(B720&gt;0,VLOOKUP(B720,КВСР!A234:B1399,2),IF(C720&gt;0,VLOOKUP(C720,КФСР!A234:B1746,2),IF(D720&gt;0,VLOOKUP(D720,Программа!A$1:B$5112,2),IF(F720&gt;0,VLOOKUP(F720,КВР!A$1:B$5001,2),IF(E720&gt;0,VLOOKUP(E720,Направление!A$1:B$4791,2))))))</f>
        <v>Строительство и реконструкция спортивных сооружений и укрепление материальной базы</v>
      </c>
      <c r="B720" s="122"/>
      <c r="C720" s="123"/>
      <c r="D720" s="112" t="s">
        <v>461</v>
      </c>
      <c r="E720" s="111"/>
      <c r="F720" s="113"/>
      <c r="G720" s="276">
        <v>0</v>
      </c>
      <c r="H720" s="338">
        <f>H721</f>
        <v>0</v>
      </c>
      <c r="I720" s="119">
        <f t="shared" si="155"/>
        <v>0</v>
      </c>
    </row>
    <row r="721" spans="1:9" s="132" customFormat="1" ht="47.25" hidden="1" x14ac:dyDescent="0.25">
      <c r="A721" s="851" t="str">
        <f>IF(B721&gt;0,VLOOKUP(B721,КВСР!A235:B1400,2),IF(C721&gt;0,VLOOKUP(C721,КФСР!A235:B1747,2),IF(D721&gt;0,VLOOKUP(D721,Программа!A$1:B$5112,2),IF(F721&gt;0,VLOOKUP(F721,КВР!A$1:B$5001,2),IF(E721&gt;0,VLOOKUP(E721,Направление!A$1:B$4791,2))))))</f>
        <v>Мероприятия по строительству, реконструкции и ремонту спортивных объектов</v>
      </c>
      <c r="B721" s="122"/>
      <c r="C721" s="123"/>
      <c r="D721" s="112"/>
      <c r="E721" s="123">
        <v>14100</v>
      </c>
      <c r="F721" s="124"/>
      <c r="G721" s="276">
        <v>0</v>
      </c>
      <c r="H721" s="338">
        <f>H722</f>
        <v>0</v>
      </c>
      <c r="I721" s="119">
        <f t="shared" si="155"/>
        <v>0</v>
      </c>
    </row>
    <row r="722" spans="1:9" s="132" customFormat="1" ht="47.25" hidden="1" x14ac:dyDescent="0.25">
      <c r="A722" s="851" t="str">
        <f>IF(B722&gt;0,VLOOKUP(B722,КВСР!A236:B1401,2),IF(C722&gt;0,VLOOKUP(C722,КФСР!A236:B1748,2),IF(D722&gt;0,VLOOKUP(D722,Программа!A$1:B$5112,2),IF(F722&gt;0,VLOOKUP(F722,КВР!A$1:B$5001,2),IF(E722&gt;0,VLOOKUP(E722,Направление!A$1:B$4791,2))))))</f>
        <v>Предоставление субсидий бюджетным, автономным учреждениям и иным некоммерческим организациям</v>
      </c>
      <c r="B722" s="122"/>
      <c r="C722" s="123"/>
      <c r="D722" s="112"/>
      <c r="E722" s="123"/>
      <c r="F722" s="124">
        <v>600</v>
      </c>
      <c r="G722" s="276">
        <v>0</v>
      </c>
      <c r="H722" s="338"/>
      <c r="I722" s="119">
        <f t="shared" si="155"/>
        <v>0</v>
      </c>
    </row>
    <row r="723" spans="1:9" s="132" customFormat="1" ht="47.25" hidden="1" x14ac:dyDescent="0.25">
      <c r="A723" s="851" t="str">
        <f>IF(B723&gt;0,VLOOKUP(B723,КВСР!A237:B1402,2),IF(C723&gt;0,VLOOKUP(C723,КФСР!A237:B1749,2),IF(D723&gt;0,VLOOKUP(D723,Программа!A$1:B$5112,2),IF(F723&gt;0,VLOOKUP(F723,КВР!A$1:B$5001,2),IF(E723&gt;0,VLOOKUP(E723,Направление!A$1:B$4791,2))))))</f>
        <v>Муниципальная программа "Социальная поддержка населения Тутаевского муниципального района"</v>
      </c>
      <c r="B723" s="122"/>
      <c r="C723" s="123"/>
      <c r="D723" s="112" t="s">
        <v>450</v>
      </c>
      <c r="E723" s="123"/>
      <c r="F723" s="124"/>
      <c r="G723" s="276">
        <v>0</v>
      </c>
      <c r="H723" s="338">
        <f t="shared" ref="H723:I723" si="158">H724</f>
        <v>0</v>
      </c>
      <c r="I723" s="288">
        <f t="shared" si="158"/>
        <v>0</v>
      </c>
    </row>
    <row r="724" spans="1:9" s="132" customFormat="1" ht="47.25" hidden="1" x14ac:dyDescent="0.25">
      <c r="A724" s="851" t="str">
        <f>IF(B724&gt;0,VLOOKUP(B724,КВСР!A238:B1403,2),IF(C724&gt;0,VLOOKUP(C724,КФСР!A238:B1750,2),IF(D724&gt;0,VLOOKUP(D724,Программа!A$1:B$5112,2),IF(F724&gt;0,VLOOKUP(F724,КВР!A$1:B$5001,2),IF(E724&gt;0,VLOOKUP(E724,Направление!A$1:B$4791,2))))))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4" s="122"/>
      <c r="C724" s="123"/>
      <c r="D724" s="112" t="s">
        <v>452</v>
      </c>
      <c r="E724" s="123"/>
      <c r="F724" s="124"/>
      <c r="G724" s="276">
        <v>0</v>
      </c>
      <c r="H724" s="338">
        <f t="shared" ref="H724:I724" si="159">H725</f>
        <v>0</v>
      </c>
      <c r="I724" s="288">
        <f t="shared" si="159"/>
        <v>0</v>
      </c>
    </row>
    <row r="725" spans="1:9" s="132" customFormat="1" ht="63" hidden="1" x14ac:dyDescent="0.25">
      <c r="A725" s="851" t="str">
        <f>IF(B725&gt;0,VLOOKUP(B725,КВСР!A239:B1404,2),IF(C725&gt;0,VLOOKUP(C725,КФСР!A239:B1751,2),IF(D725&gt;0,VLOOKUP(D725,Программа!A$1:B$5112,2),IF(F725&gt;0,VLOOKUP(F725,КВР!A$1:B$5001,2),IF(E725&gt;0,VLOOKUP(E725,Направление!A$1:B$4791,2))))))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5" s="122"/>
      <c r="C725" s="123"/>
      <c r="D725" s="112" t="s">
        <v>453</v>
      </c>
      <c r="E725" s="123"/>
      <c r="F725" s="124"/>
      <c r="G725" s="276">
        <v>0</v>
      </c>
      <c r="H725" s="338">
        <f t="shared" ref="H725:I725" si="160">H726</f>
        <v>0</v>
      </c>
      <c r="I725" s="288">
        <f t="shared" si="160"/>
        <v>0</v>
      </c>
    </row>
    <row r="726" spans="1:9" s="132" customFormat="1" ht="31.5" hidden="1" x14ac:dyDescent="0.25">
      <c r="A726" s="851" t="str">
        <f>IF(B726&gt;0,VLOOKUP(B726,КВСР!A240:B1405,2),IF(C726&gt;0,VLOOKUP(C726,КФСР!A240:B1752,2),IF(D726&gt;0,VLOOKUP(D726,Программа!A$1:B$5112,2),IF(F726&gt;0,VLOOKUP(F726,КВР!A$1:B$5001,2),IF(E726&gt;0,VLOOKUP(E726,Направление!A$1:B$4791,2))))))</f>
        <v>Расходы на реализацию мероприятий по улучшению условий и охраны труда</v>
      </c>
      <c r="B726" s="122"/>
      <c r="C726" s="123"/>
      <c r="D726" s="112"/>
      <c r="E726" s="123">
        <v>16150</v>
      </c>
      <c r="F726" s="124"/>
      <c r="G726" s="276">
        <v>0</v>
      </c>
      <c r="H726" s="338">
        <f t="shared" ref="H726:I726" si="161">H727</f>
        <v>0</v>
      </c>
      <c r="I726" s="288">
        <f t="shared" si="161"/>
        <v>0</v>
      </c>
    </row>
    <row r="727" spans="1:9" s="132" customFormat="1" ht="47.25" hidden="1" x14ac:dyDescent="0.25">
      <c r="A727" s="851" t="str">
        <f>IF(B727&gt;0,VLOOKUP(B727,КВСР!A241:B1406,2),IF(C727&gt;0,VLOOKUP(C727,КФСР!A241:B1753,2),IF(D727&gt;0,VLOOKUP(D727,Программа!A$1:B$5112,2),IF(F727&gt;0,VLOOKUP(F727,КВР!A$1:B$5001,2),IF(E727&gt;0,VLOOKUP(E727,Направление!A$1:B$4791,2))))))</f>
        <v>Предоставление субсидий бюджетным, автономным учреждениям и иным некоммерческим организациям</v>
      </c>
      <c r="B727" s="122"/>
      <c r="C727" s="123"/>
      <c r="D727" s="112"/>
      <c r="E727" s="123"/>
      <c r="F727" s="124">
        <v>600</v>
      </c>
      <c r="G727" s="276">
        <v>0</v>
      </c>
      <c r="H727" s="338"/>
      <c r="I727" s="119">
        <f>G727+H727</f>
        <v>0</v>
      </c>
    </row>
    <row r="728" spans="1:9" s="132" customFormat="1" ht="31.5" x14ac:dyDescent="0.25">
      <c r="A728" s="850" t="str">
        <f>IF(B728&gt;0,VLOOKUP(B728,КВСР!A236:B1401,2),IF(C728&gt;0,VLOOKUP(C728,КФСР!A236:B1748,2),IF(D728&gt;0,VLOOKUP(D728,Программа!A$1:B$5112,2),IF(F728&gt;0,VLOOKUP(F728,КВР!A$1:B$5001,2),IF(E728&gt;0,VLOOKUP(E728,Направление!A$1:B$4791,2))))))</f>
        <v>Департамент труда и соц. развития Администрации ТМР</v>
      </c>
      <c r="B728" s="110">
        <v>954</v>
      </c>
      <c r="C728" s="111"/>
      <c r="D728" s="112"/>
      <c r="E728" s="111"/>
      <c r="F728" s="113"/>
      <c r="G728" s="383">
        <v>591837639</v>
      </c>
      <c r="H728" s="337">
        <f>H729+H739+H748+H809+H844</f>
        <v>260818</v>
      </c>
      <c r="I728" s="340">
        <f t="shared" si="155"/>
        <v>592098457</v>
      </c>
    </row>
    <row r="729" spans="1:9" s="132" customFormat="1" x14ac:dyDescent="0.25">
      <c r="A729" s="851" t="str">
        <f>IF(B729&gt;0,VLOOKUP(B729,КВСР!A241:B1406,2),IF(C729&gt;0,VLOOKUP(C729,КФСР!A241:B1753,2),IF(D729&gt;0,VLOOKUP(D729,Программа!A$1:B$5112,2),IF(F729&gt;0,VLOOKUP(F729,КВР!A$1:B$5001,2),IF(E729&gt;0,VLOOKUP(E729,Направление!A$1:B$4791,2))))))</f>
        <v>Пенсионное обеспечение</v>
      </c>
      <c r="B729" s="116"/>
      <c r="C729" s="111">
        <v>1001</v>
      </c>
      <c r="D729" s="112"/>
      <c r="E729" s="111"/>
      <c r="F729" s="113"/>
      <c r="G729" s="276">
        <v>5877426</v>
      </c>
      <c r="H729" s="338">
        <f>H730</f>
        <v>-142702</v>
      </c>
      <c r="I729" s="119">
        <f t="shared" si="155"/>
        <v>5734724</v>
      </c>
    </row>
    <row r="730" spans="1:9" s="132" customFormat="1" ht="47.25" x14ac:dyDescent="0.25">
      <c r="A730" s="851" t="str">
        <f>IF(B730&gt;0,VLOOKUP(B730,КВСР!A242:B1407,2),IF(C730&gt;0,VLOOKUP(C730,КФСР!A242:B1754,2),IF(D730&gt;0,VLOOKUP(D730,Программа!A$1:B$5112,2),IF(F730&gt;0,VLOOKUP(F730,КВР!A$1:B$5001,2),IF(E730&gt;0,VLOOKUP(E730,Направление!A$1:B$4791,2))))))</f>
        <v>Муниципальная программа "Социальная поддержка населения Тутаевского муниципального района"</v>
      </c>
      <c r="B730" s="116"/>
      <c r="C730" s="111"/>
      <c r="D730" s="125" t="s">
        <v>450</v>
      </c>
      <c r="E730" s="123"/>
      <c r="F730" s="113"/>
      <c r="G730" s="276">
        <v>5877426</v>
      </c>
      <c r="H730" s="338">
        <f>H732</f>
        <v>-142702</v>
      </c>
      <c r="I730" s="119">
        <f t="shared" si="155"/>
        <v>5734724</v>
      </c>
    </row>
    <row r="731" spans="1:9" s="132" customFormat="1" ht="47.25" x14ac:dyDescent="0.25">
      <c r="A731" s="851" t="str">
        <f>IF(B731&gt;0,VLOOKUP(B731,КВСР!A243:B1408,2),IF(C731&gt;0,VLOOKUP(C731,КФСР!A243:B1755,2),IF(D731&gt;0,VLOOKUP(D731,Программа!A$1:B$5112,2),IF(F731&gt;0,VLOOKUP(F731,КВР!A$1:B$5001,2),IF(E731&gt;0,VLOOKUP(E731,Направление!A$1:B$4791,2))))))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1" s="116"/>
      <c r="C731" s="111"/>
      <c r="D731" s="125" t="s">
        <v>520</v>
      </c>
      <c r="E731" s="123"/>
      <c r="F731" s="113"/>
      <c r="G731" s="276">
        <v>5877426</v>
      </c>
      <c r="H731" s="338">
        <f>H732</f>
        <v>-142702</v>
      </c>
      <c r="I731" s="119">
        <f t="shared" si="155"/>
        <v>5734724</v>
      </c>
    </row>
    <row r="732" spans="1:9" s="132" customFormat="1" ht="47.25" x14ac:dyDescent="0.25">
      <c r="A732" s="851" t="str">
        <f>IF(B732&gt;0,VLOOKUP(B732,КВСР!A244:B1409,2),IF(C732&gt;0,VLOOKUP(C732,КФСР!A244:B1756,2),IF(D732&gt;0,VLOOKUP(D732,Программа!A$1:B$5112,2),IF(F732&gt;0,VLOOKUP(F732,КВР!A$1:B$5001,2),IF(E732&gt;0,VLOOKUP(E732,Направление!A$1:B$4791,2))))))</f>
        <v>Исполнение публичных обязательств по предоставлению выплат, пособий и компенсаций</v>
      </c>
      <c r="B732" s="116"/>
      <c r="C732" s="111"/>
      <c r="D732" s="125" t="s">
        <v>522</v>
      </c>
      <c r="E732" s="123"/>
      <c r="F732" s="113"/>
      <c r="G732" s="276">
        <v>5877426</v>
      </c>
      <c r="H732" s="338">
        <f t="shared" ref="H732:I732" si="162">H733+H736</f>
        <v>-142702</v>
      </c>
      <c r="I732" s="276">
        <f t="shared" si="162"/>
        <v>5734724</v>
      </c>
    </row>
    <row r="733" spans="1:9" s="132" customFormat="1" ht="31.5" x14ac:dyDescent="0.25">
      <c r="A733" s="851" t="str">
        <f>IF(B733&gt;0,VLOOKUP(B733,КВСР!A245:B1410,2),IF(C733&gt;0,VLOOKUP(C733,КФСР!A245:B1757,2),IF(D733&gt;0,VLOOKUP(D733,Программа!A$1:B$5112,2),IF(F733&gt;0,VLOOKUP(F733,КВР!A$1:B$5001,2),IF(E733&gt;0,VLOOKUP(E733,Направление!A$1:B$4791,2))))))</f>
        <v>Доплаты к пенсиям муниципальных служащих</v>
      </c>
      <c r="B733" s="116"/>
      <c r="C733" s="111"/>
      <c r="D733" s="112"/>
      <c r="E733" s="111">
        <v>16010</v>
      </c>
      <c r="F733" s="113"/>
      <c r="G733" s="276">
        <v>5227080</v>
      </c>
      <c r="H733" s="338">
        <f>H735+H734</f>
        <v>-142702</v>
      </c>
      <c r="I733" s="119">
        <f t="shared" si="155"/>
        <v>5084378</v>
      </c>
    </row>
    <row r="734" spans="1:9" s="132" customFormat="1" ht="63" x14ac:dyDescent="0.25">
      <c r="A734" s="851" t="str">
        <f>IF(B734&gt;0,VLOOKUP(B734,КВСР!A244:B1409,2),IF(C734&gt;0,VLOOKUP(C734,КФСР!A244:B1756,2),IF(D734&gt;0,VLOOKUP(D734,Программа!A$1:B$5112,2),IF(F734&gt;0,VLOOKUP(F734,КВР!A$1:B$5001,2),IF(E734&gt;0,VLOOKUP(E734,Направление!A$1:B$4791,2))))))</f>
        <v xml:space="preserve">Закупка товаров, работ и услуг для обеспечения государственных (муниципальных) нужд
</v>
      </c>
      <c r="B734" s="116"/>
      <c r="C734" s="111"/>
      <c r="D734" s="113"/>
      <c r="E734" s="111"/>
      <c r="F734" s="113">
        <v>200</v>
      </c>
      <c r="G734" s="276">
        <v>67080</v>
      </c>
      <c r="H734" s="338"/>
      <c r="I734" s="119">
        <f t="shared" si="155"/>
        <v>67080</v>
      </c>
    </row>
    <row r="735" spans="1:9" s="132" customFormat="1" ht="31.5" x14ac:dyDescent="0.25">
      <c r="A735" s="851" t="str">
        <f>IF(B735&gt;0,VLOOKUP(B735,КВСР!A244:B1409,2),IF(C735&gt;0,VLOOKUP(C735,КФСР!A244:B1756,2),IF(D735&gt;0,VLOOKUP(D735,Программа!A$1:B$5112,2),IF(F735&gt;0,VLOOKUP(F735,КВР!A$1:B$5001,2),IF(E735&gt;0,VLOOKUP(E735,Направление!A$1:B$4791,2))))))</f>
        <v>Социальное обеспечение и иные выплаты населению</v>
      </c>
      <c r="B735" s="116"/>
      <c r="C735" s="111"/>
      <c r="D735" s="113"/>
      <c r="E735" s="111"/>
      <c r="F735" s="113">
        <v>300</v>
      </c>
      <c r="G735" s="294">
        <v>5160000</v>
      </c>
      <c r="H735" s="283">
        <v>-142702</v>
      </c>
      <c r="I735" s="119">
        <f t="shared" si="155"/>
        <v>5017298</v>
      </c>
    </row>
    <row r="736" spans="1:9" s="132" customFormat="1" ht="31.5" x14ac:dyDescent="0.25">
      <c r="A736" s="851" t="str">
        <f>IF(B736&gt;0,VLOOKUP(B736,КВСР!A245:B1410,2),IF(C736&gt;0,VLOOKUP(C736,КФСР!A245:B1757,2),IF(D736&gt;0,VLOOKUP(D736,Программа!A$1:B$5112,2),IF(F736&gt;0,VLOOKUP(F736,КВР!A$1:B$5001,2),IF(E736&gt;0,VLOOKUP(E736,Направление!A$1:B$4791,2))))))</f>
        <v>Доплаты к пенсиям муниципальным служащим поселений</v>
      </c>
      <c r="B736" s="116"/>
      <c r="C736" s="111"/>
      <c r="D736" s="113"/>
      <c r="E736" s="111">
        <v>29756</v>
      </c>
      <c r="F736" s="113"/>
      <c r="G736" s="294">
        <v>650346</v>
      </c>
      <c r="H736" s="283">
        <f t="shared" ref="H736:I736" si="163">H737+H738</f>
        <v>0</v>
      </c>
      <c r="I736" s="294">
        <f t="shared" si="163"/>
        <v>650346</v>
      </c>
    </row>
    <row r="737" spans="1:9" s="132" customFormat="1" ht="63" x14ac:dyDescent="0.25">
      <c r="A737" s="851" t="str">
        <f>IF(B737&gt;0,VLOOKUP(B737,КВСР!A246:B1411,2),IF(C737&gt;0,VLOOKUP(C737,КФСР!A246:B1758,2),IF(D737&gt;0,VLOOKUP(D737,Программа!A$1:B$5112,2),IF(F737&gt;0,VLOOKUP(F737,КВР!A$1:B$5001,2),IF(E737&gt;0,VLOOKUP(E737,Направление!A$1:B$4791,2))))))</f>
        <v xml:space="preserve">Закупка товаров, работ и услуг для обеспечения государственных (муниципальных) нужд
</v>
      </c>
      <c r="B737" s="116"/>
      <c r="C737" s="111"/>
      <c r="D737" s="113"/>
      <c r="E737" s="111"/>
      <c r="F737" s="113">
        <v>200</v>
      </c>
      <c r="G737" s="294">
        <v>8346</v>
      </c>
      <c r="H737" s="283"/>
      <c r="I737" s="119">
        <f>G737+H737</f>
        <v>8346</v>
      </c>
    </row>
    <row r="738" spans="1:9" s="132" customFormat="1" ht="31.5" x14ac:dyDescent="0.25">
      <c r="A738" s="851" t="str">
        <f>IF(B738&gt;0,VLOOKUP(B738,КВСР!A247:B1412,2),IF(C738&gt;0,VLOOKUP(C738,КФСР!A247:B1759,2),IF(D738&gt;0,VLOOKUP(D738,Программа!A$1:B$5112,2),IF(F738&gt;0,VLOOKUP(F738,КВР!A$1:B$5001,2),IF(E738&gt;0,VLOOKUP(E738,Направление!A$1:B$4791,2))))))</f>
        <v>Социальное обеспечение и иные выплаты населению</v>
      </c>
      <c r="B738" s="116"/>
      <c r="C738" s="111"/>
      <c r="D738" s="113"/>
      <c r="E738" s="111"/>
      <c r="F738" s="113">
        <v>300</v>
      </c>
      <c r="G738" s="294">
        <v>642000</v>
      </c>
      <c r="H738" s="283"/>
      <c r="I738" s="119">
        <f>G738+H738</f>
        <v>642000</v>
      </c>
    </row>
    <row r="739" spans="1:9" s="132" customFormat="1" x14ac:dyDescent="0.25">
      <c r="A739" s="851" t="str">
        <f>IF(B739&gt;0,VLOOKUP(B739,КВСР!A245:B1410,2),IF(C739&gt;0,VLOOKUP(C739,КФСР!A245:B1757,2),IF(D739&gt;0,VLOOKUP(D739,Программа!A$1:B$5112,2),IF(F739&gt;0,VLOOKUP(F739,КВР!A$1:B$5001,2),IF(E739&gt;0,VLOOKUP(E739,Направление!A$1:B$4791,2))))))</f>
        <v>Социальное обслуживание населения</v>
      </c>
      <c r="B739" s="116"/>
      <c r="C739" s="111">
        <v>1002</v>
      </c>
      <c r="D739" s="112"/>
      <c r="E739" s="111"/>
      <c r="F739" s="113"/>
      <c r="G739" s="276">
        <v>86596900</v>
      </c>
      <c r="H739" s="338">
        <f>H740</f>
        <v>0</v>
      </c>
      <c r="I739" s="119">
        <f t="shared" si="155"/>
        <v>86596900</v>
      </c>
    </row>
    <row r="740" spans="1:9" s="132" customFormat="1" ht="47.25" x14ac:dyDescent="0.25">
      <c r="A740" s="851" t="str">
        <f>IF(B740&gt;0,VLOOKUP(B740,КВСР!A246:B1411,2),IF(C740&gt;0,VLOOKUP(C740,КФСР!A246:B1758,2),IF(D740&gt;0,VLOOKUP(D740,Программа!A$1:B$5112,2),IF(F740&gt;0,VLOOKUP(F740,КВР!A$1:B$5001,2),IF(E740&gt;0,VLOOKUP(E740,Направление!A$1:B$4791,2))))))</f>
        <v>Муниципальная программа "Социальная поддержка населения Тутаевского муниципального района"</v>
      </c>
      <c r="B740" s="116"/>
      <c r="C740" s="111"/>
      <c r="D740" s="112" t="s">
        <v>450</v>
      </c>
      <c r="E740" s="111"/>
      <c r="F740" s="113"/>
      <c r="G740" s="276">
        <v>86596900</v>
      </c>
      <c r="H740" s="338">
        <f t="shared" ref="H740:I740" si="164">H741</f>
        <v>0</v>
      </c>
      <c r="I740" s="276">
        <f t="shared" si="164"/>
        <v>86596900</v>
      </c>
    </row>
    <row r="741" spans="1:9" s="132" customFormat="1" ht="47.25" x14ac:dyDescent="0.25">
      <c r="A741" s="851" t="str">
        <f>IF(B741&gt;0,VLOOKUP(B741,КВСР!A247:B1412,2),IF(C741&gt;0,VLOOKUP(C741,КФСР!A247:B1759,2),IF(D741&gt;0,VLOOKUP(D741,Программа!A$1:B$5112,2),IF(F741&gt;0,VLOOKUP(F741,КВР!A$1:B$5001,2),IF(E741&gt;0,VLOOKUP(E741,Направление!A$1:B$4791,2))))))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1" s="116"/>
      <c r="C741" s="111"/>
      <c r="D741" s="112" t="s">
        <v>520</v>
      </c>
      <c r="E741" s="111"/>
      <c r="F741" s="113"/>
      <c r="G741" s="276">
        <v>86596900</v>
      </c>
      <c r="H741" s="338">
        <f t="shared" ref="H741:I741" si="165">H742+H745</f>
        <v>0</v>
      </c>
      <c r="I741" s="276">
        <f t="shared" si="165"/>
        <v>86596900</v>
      </c>
    </row>
    <row r="742" spans="1:9" s="132" customFormat="1" ht="63" x14ac:dyDescent="0.25">
      <c r="A742" s="851" t="str">
        <f>IF(B742&gt;0,VLOOKUP(B742,КВСР!A248:B1413,2),IF(C742&gt;0,VLOOKUP(C742,КФСР!A248:B1760,2),IF(D742&gt;0,VLOOKUP(D742,Программа!A$1:B$5112,2),IF(F742&gt;0,VLOOKUP(F742,КВР!A$1:B$5001,2),IF(E742&gt;0,VLOOKUP(E742,Направление!A$1:B$4791,2))))))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42" s="116"/>
      <c r="C742" s="111"/>
      <c r="D742" s="112" t="s">
        <v>525</v>
      </c>
      <c r="E742" s="111"/>
      <c r="F742" s="113"/>
      <c r="G742" s="276">
        <v>86596900</v>
      </c>
      <c r="H742" s="338">
        <f t="shared" ref="H742:H743" si="166">H743</f>
        <v>0</v>
      </c>
      <c r="I742" s="119">
        <f t="shared" si="155"/>
        <v>86596900</v>
      </c>
    </row>
    <row r="743" spans="1:9" s="132" customFormat="1" ht="141.75" x14ac:dyDescent="0.25">
      <c r="A743" s="851" t="str">
        <f>IF(B743&gt;0,VLOOKUP(B743,КВСР!A248:B1413,2),IF(C743&gt;0,VLOOKUP(C743,КФСР!A248:B1760,2),IF(D743&gt;0,VLOOKUP(D743,Программа!A$1:B$5112,2),IF(F743&gt;0,VLOOKUP(F743,КВР!A$1:B$5001,2),IF(E743&gt;0,VLOOKUP(E743,Направление!A$1:B$4791,2))))))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43" s="116"/>
      <c r="C743" s="111"/>
      <c r="D743" s="112"/>
      <c r="E743" s="111">
        <v>70850</v>
      </c>
      <c r="F743" s="113"/>
      <c r="G743" s="294">
        <v>86596900</v>
      </c>
      <c r="H743" s="283">
        <f t="shared" si="166"/>
        <v>0</v>
      </c>
      <c r="I743" s="119">
        <f t="shared" si="155"/>
        <v>86596900</v>
      </c>
    </row>
    <row r="744" spans="1:9" s="132" customFormat="1" ht="47.25" x14ac:dyDescent="0.25">
      <c r="A744" s="851" t="str">
        <f>IF(B744&gt;0,VLOOKUP(B744,КВСР!A249:B1414,2),IF(C744&gt;0,VLOOKUP(C744,КФСР!A249:B1761,2),IF(D744&gt;0,VLOOKUP(D744,Программа!A$1:B$5112,2),IF(F744&gt;0,VLOOKUP(F744,КВР!A$1:B$5001,2),IF(E744&gt;0,VLOOKUP(E744,Направление!A$1:B$4791,2))))))</f>
        <v>Предоставление субсидий бюджетным, автономным учреждениям и иным некоммерческим организациям</v>
      </c>
      <c r="B744" s="116"/>
      <c r="C744" s="111"/>
      <c r="D744" s="113"/>
      <c r="E744" s="111"/>
      <c r="F744" s="113">
        <v>600</v>
      </c>
      <c r="G744" s="294">
        <v>86596900</v>
      </c>
      <c r="H744" s="283"/>
      <c r="I744" s="119">
        <f t="shared" si="155"/>
        <v>86596900</v>
      </c>
    </row>
    <row r="745" spans="1:9" s="132" customFormat="1" ht="31.5" hidden="1" x14ac:dyDescent="0.25">
      <c r="A745" s="851" t="str">
        <f>IF(B745&gt;0,VLOOKUP(B745,КВСР!A250:B1415,2),IF(C745&gt;0,VLOOKUP(C745,КФСР!A250:B1762,2),IF(D745&gt;0,VLOOKUP(D745,Программа!A$1:B$5112,2),IF(F745&gt;0,VLOOKUP(F745,КВР!A$1:B$5001,2),IF(E745&gt;0,VLOOKUP(E745,Направление!A$1:B$4791,2))))))</f>
        <v>Федеральный проект "Старшее поколение"</v>
      </c>
      <c r="B745" s="116"/>
      <c r="C745" s="111"/>
      <c r="D745" s="113" t="s">
        <v>1523</v>
      </c>
      <c r="E745" s="111"/>
      <c r="F745" s="113"/>
      <c r="G745" s="294">
        <v>0</v>
      </c>
      <c r="H745" s="283">
        <f t="shared" ref="H745:I746" si="167">H746</f>
        <v>0</v>
      </c>
      <c r="I745" s="294">
        <f t="shared" si="167"/>
        <v>0</v>
      </c>
    </row>
    <row r="746" spans="1:9" s="132" customFormat="1" ht="63" hidden="1" x14ac:dyDescent="0.25">
      <c r="A746" s="851" t="str">
        <f>IF(B746&gt;0,VLOOKUP(B746,КВСР!A251:B1416,2),IF(C746&gt;0,VLOOKUP(C746,КФСР!A251:B1763,2),IF(D746&gt;0,VLOOKUP(D746,Программа!A$1:B$5112,2),IF(F746&gt;0,VLOOKUP(F746,КВР!A$1:B$5001,2),IF(E746&gt;0,VLOOKUP(E746,Направление!A$1:B$4791,2))))))</f>
        <v>Расходы на приобретение автотранспорта в рамках реализации федерального проекта  "Старшее поколение"</v>
      </c>
      <c r="B746" s="116"/>
      <c r="C746" s="111"/>
      <c r="D746" s="113"/>
      <c r="E746" s="111">
        <v>52930</v>
      </c>
      <c r="F746" s="113"/>
      <c r="G746" s="294">
        <v>0</v>
      </c>
      <c r="H746" s="283">
        <f t="shared" si="167"/>
        <v>0</v>
      </c>
      <c r="I746" s="294">
        <f t="shared" si="167"/>
        <v>0</v>
      </c>
    </row>
    <row r="747" spans="1:9" s="132" customFormat="1" ht="47.25" hidden="1" x14ac:dyDescent="0.25">
      <c r="A747" s="851" t="str">
        <f>IF(B747&gt;0,VLOOKUP(B747,КВСР!A252:B1417,2),IF(C747&gt;0,VLOOKUP(C747,КФСР!A252:B1764,2),IF(D747&gt;0,VLOOKUP(D747,Программа!A$1:B$5112,2),IF(F747&gt;0,VLOOKUP(F747,КВР!A$1:B$5001,2),IF(E747&gt;0,VLOOKUP(E747,Направление!A$1:B$4791,2))))))</f>
        <v>Предоставление субсидий бюджетным, автономным учреждениям и иным некоммерческим организациям</v>
      </c>
      <c r="B747" s="116"/>
      <c r="C747" s="111"/>
      <c r="D747" s="113"/>
      <c r="E747" s="111"/>
      <c r="F747" s="113">
        <v>600</v>
      </c>
      <c r="G747" s="294">
        <v>0</v>
      </c>
      <c r="H747" s="283"/>
      <c r="I747" s="119">
        <f>G747+H747</f>
        <v>0</v>
      </c>
    </row>
    <row r="748" spans="1:9" s="132" customFormat="1" x14ac:dyDescent="0.25">
      <c r="A748" s="851" t="str">
        <f>IF(B748&gt;0,VLOOKUP(B748,КВСР!A250:B1415,2),IF(C748&gt;0,VLOOKUP(C748,КФСР!A250:B1762,2),IF(D748&gt;0,VLOOKUP(D748,Программа!A$1:B$5112,2),IF(F748&gt;0,VLOOKUP(F748,КВР!A$1:B$5001,2),IF(E748&gt;0,VLOOKUP(E748,Направление!A$1:B$4791,2))))))</f>
        <v>Социальное обеспечение населения</v>
      </c>
      <c r="B748" s="116"/>
      <c r="C748" s="111">
        <v>1003</v>
      </c>
      <c r="D748" s="112"/>
      <c r="E748" s="111"/>
      <c r="F748" s="113"/>
      <c r="G748" s="276">
        <v>230208919</v>
      </c>
      <c r="H748" s="338">
        <f>H749+H804</f>
        <v>-635176</v>
      </c>
      <c r="I748" s="276">
        <f t="shared" ref="I748" si="168">I749+I804</f>
        <v>229573743</v>
      </c>
    </row>
    <row r="749" spans="1:9" s="132" customFormat="1" ht="47.25" x14ac:dyDescent="0.25">
      <c r="A749" s="851" t="str">
        <f>IF(B749&gt;0,VLOOKUP(B749,КВСР!A251:B1416,2),IF(C749&gt;0,VLOOKUP(C749,КФСР!A251:B1763,2),IF(D749&gt;0,VLOOKUP(D749,Программа!A$1:B$5112,2),IF(F749&gt;0,VLOOKUP(F749,КВР!A$1:B$5001,2),IF(E749&gt;0,VLOOKUP(E749,Направление!A$1:B$4791,2))))))</f>
        <v>Муниципальная программа "Социальная поддержка населения Тутаевского муниципального района"</v>
      </c>
      <c r="B749" s="116"/>
      <c r="C749" s="111"/>
      <c r="D749" s="112" t="s">
        <v>450</v>
      </c>
      <c r="E749" s="111"/>
      <c r="F749" s="113"/>
      <c r="G749" s="338">
        <v>230168919</v>
      </c>
      <c r="H749" s="338">
        <f t="shared" ref="H749:I749" si="169">H750</f>
        <v>-660176</v>
      </c>
      <c r="I749" s="338">
        <f t="shared" si="169"/>
        <v>229508743</v>
      </c>
    </row>
    <row r="750" spans="1:9" s="132" customFormat="1" ht="47.25" x14ac:dyDescent="0.25">
      <c r="A750" s="851" t="str">
        <f>IF(B750&gt;0,VLOOKUP(B750,КВСР!A251:B1416,2),IF(C750&gt;0,VLOOKUP(C750,КФСР!A251:B1763,2),IF(D750&gt;0,VLOOKUP(D750,Программа!A$1:B$5112,2),IF(F750&gt;0,VLOOKUP(F750,КВР!A$1:B$5001,2),IF(E750&gt;0,VLOOKUP(E750,Направление!A$1:B$4791,2))))))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50" s="116"/>
      <c r="C750" s="111"/>
      <c r="D750" s="112" t="s">
        <v>520</v>
      </c>
      <c r="E750" s="111"/>
      <c r="F750" s="113"/>
      <c r="G750" s="338">
        <v>230168919</v>
      </c>
      <c r="H750" s="338">
        <f t="shared" ref="H750" si="170">H751+H794</f>
        <v>-660176</v>
      </c>
      <c r="I750" s="119">
        <f t="shared" ref="I750" si="171">SUM(G750:H750)</f>
        <v>229508743</v>
      </c>
    </row>
    <row r="751" spans="1:9" s="132" customFormat="1" ht="47.25" x14ac:dyDescent="0.25">
      <c r="A751" s="851" t="str">
        <f>IF(B751&gt;0,VLOOKUP(B751,КВСР!A252:B1417,2),IF(C751&gt;0,VLOOKUP(C751,КФСР!A252:B1764,2),IF(D751&gt;0,VLOOKUP(D751,Программа!A$1:B$5112,2),IF(F751&gt;0,VLOOKUP(F751,КВР!A$1:B$5001,2),IF(E751&gt;0,VLOOKUP(E751,Направление!A$1:B$4791,2))))))</f>
        <v>Исполнение публичных обязательств по предоставлению выплат, пособий и компенсаций</v>
      </c>
      <c r="B751" s="116"/>
      <c r="C751" s="111"/>
      <c r="D751" s="112" t="s">
        <v>522</v>
      </c>
      <c r="E751" s="111"/>
      <c r="F751" s="113"/>
      <c r="G751" s="276">
        <v>208541269</v>
      </c>
      <c r="H751" s="338">
        <f t="shared" ref="H751:I751" si="172">H752+H755+H758+H760+H763+H765+H767+H770+H773+H776+H779+H787+H790+H792+H782+H784</f>
        <v>-660176</v>
      </c>
      <c r="I751" s="276">
        <f t="shared" si="172"/>
        <v>207881093</v>
      </c>
    </row>
    <row r="752" spans="1:9" s="132" customFormat="1" ht="47.25" x14ac:dyDescent="0.25">
      <c r="A752" s="851" t="str">
        <f>IF(B752&gt;0,VLOOKUP(B752,КВСР!A254:B1419,2),IF(C752&gt;0,VLOOKUP(C752,КФСР!A254:B1766,2),IF(D752&gt;0,VLOOKUP(D752,Программа!A$1:B$5112,2),IF(F752&gt;0,VLOOKUP(F752,КВР!A$1:B$5001,2),IF(E752&gt;0,VLOOKUP(E752,Направление!A$1:B$4791,2))))))</f>
        <v>Субвенция на социальную поддержку граждан, подвергшихся воздействию радиации</v>
      </c>
      <c r="B752" s="116"/>
      <c r="C752" s="111"/>
      <c r="D752" s="112"/>
      <c r="E752" s="111">
        <v>51370</v>
      </c>
      <c r="F752" s="113"/>
      <c r="G752" s="276">
        <v>1684035</v>
      </c>
      <c r="H752" s="338">
        <f>H753+H754</f>
        <v>0</v>
      </c>
      <c r="I752" s="119">
        <f t="shared" si="155"/>
        <v>1684035</v>
      </c>
    </row>
    <row r="753" spans="1:9" s="132" customFormat="1" ht="63" x14ac:dyDescent="0.25">
      <c r="A753" s="851" t="str">
        <f>IF(B753&gt;0,VLOOKUP(B753,КВСР!A255:B1420,2),IF(C753&gt;0,VLOOKUP(C753,КФСР!A255:B1767,2),IF(D753&gt;0,VLOOKUP(D753,Программа!A$1:B$5112,2),IF(F753&gt;0,VLOOKUP(F753,КВР!A$1:B$5001,2),IF(E753&gt;0,VLOOKUP(E753,Направление!A$1:B$4791,2))))))</f>
        <v xml:space="preserve">Закупка товаров, работ и услуг для обеспечения государственных (муниципальных) нужд
</v>
      </c>
      <c r="B753" s="116"/>
      <c r="C753" s="111"/>
      <c r="D753" s="113"/>
      <c r="E753" s="133"/>
      <c r="F753" s="113">
        <v>200</v>
      </c>
      <c r="G753" s="276">
        <v>19870</v>
      </c>
      <c r="H753" s="338"/>
      <c r="I753" s="119">
        <f t="shared" si="155"/>
        <v>19870</v>
      </c>
    </row>
    <row r="754" spans="1:9" s="132" customFormat="1" ht="31.5" x14ac:dyDescent="0.25">
      <c r="A754" s="851" t="str">
        <f>IF(B754&gt;0,VLOOKUP(B754,КВСР!A256:B1421,2),IF(C754&gt;0,VLOOKUP(C754,КФСР!A256:B1768,2),IF(D754&gt;0,VLOOKUP(D754,Программа!A$1:B$5112,2),IF(F754&gt;0,VLOOKUP(F754,КВР!A$1:B$5001,2),IF(E754&gt;0,VLOOKUP(E754,Направление!A$1:B$4791,2))))))</f>
        <v>Социальное обеспечение и иные выплаты населению</v>
      </c>
      <c r="B754" s="116"/>
      <c r="C754" s="111"/>
      <c r="D754" s="113"/>
      <c r="E754" s="133"/>
      <c r="F754" s="113">
        <v>300</v>
      </c>
      <c r="G754" s="276">
        <v>1664165</v>
      </c>
      <c r="H754" s="338"/>
      <c r="I754" s="119">
        <f t="shared" si="155"/>
        <v>1664165</v>
      </c>
    </row>
    <row r="755" spans="1:9" s="132" customFormat="1" ht="110.25" x14ac:dyDescent="0.25">
      <c r="A755" s="851" t="str">
        <f>IF(B755&gt;0,VLOOKUP(B755,КВСР!A252:B1417,2),IF(C755&gt;0,VLOOKUP(C755,КФСР!A252:B1764,2),IF(D755&gt;0,VLOOKUP(D755,Программа!A$1:B$5112,2),IF(F755&gt;0,VLOOKUP(F755,КВР!A$1:B$5001,2),IF(E755&gt;0,VLOOKUP(E755,Направление!A$1:B$4791,2))))))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5" s="116"/>
      <c r="C755" s="111"/>
      <c r="D755" s="112"/>
      <c r="E755" s="111">
        <v>52200</v>
      </c>
      <c r="F755" s="113"/>
      <c r="G755" s="276">
        <v>6119248</v>
      </c>
      <c r="H755" s="338">
        <f>H756+H757</f>
        <v>-60176</v>
      </c>
      <c r="I755" s="119">
        <f t="shared" si="155"/>
        <v>6059072</v>
      </c>
    </row>
    <row r="756" spans="1:9" s="132" customFormat="1" ht="63" x14ac:dyDescent="0.25">
      <c r="A756" s="851" t="str">
        <f>IF(B756&gt;0,VLOOKUP(B756,КВСР!A253:B1418,2),IF(C756&gt;0,VLOOKUP(C756,КФСР!A253:B1765,2),IF(D756&gt;0,VLOOKUP(D756,Программа!A$1:B$5112,2),IF(F756&gt;0,VLOOKUP(F756,КВР!A$1:B$5001,2),IF(E756&gt;0,VLOOKUP(E756,Направление!A$1:B$4791,2))))))</f>
        <v xml:space="preserve">Закупка товаров, работ и услуг для обеспечения государственных (муниципальных) нужд
</v>
      </c>
      <c r="B756" s="116"/>
      <c r="C756" s="111"/>
      <c r="D756" s="113"/>
      <c r="E756" s="133"/>
      <c r="F756" s="113">
        <v>200</v>
      </c>
      <c r="G756" s="276">
        <v>78528</v>
      </c>
      <c r="H756" s="338">
        <v>-1776</v>
      </c>
      <c r="I756" s="119">
        <f t="shared" si="155"/>
        <v>76752</v>
      </c>
    </row>
    <row r="757" spans="1:9" s="132" customFormat="1" ht="31.5" x14ac:dyDescent="0.25">
      <c r="A757" s="851" t="str">
        <f>IF(B757&gt;0,VLOOKUP(B757,КВСР!A254:B1419,2),IF(C757&gt;0,VLOOKUP(C757,КФСР!A254:B1766,2),IF(D757&gt;0,VLOOKUP(D757,Программа!A$1:B$5112,2),IF(F757&gt;0,VLOOKUP(F757,КВР!A$1:B$5001,2),IF(E757&gt;0,VLOOKUP(E757,Направление!A$1:B$4791,2))))))</f>
        <v>Социальное обеспечение и иные выплаты населению</v>
      </c>
      <c r="B757" s="116"/>
      <c r="C757" s="111"/>
      <c r="D757" s="113"/>
      <c r="E757" s="133"/>
      <c r="F757" s="113">
        <v>300</v>
      </c>
      <c r="G757" s="276">
        <v>6040720</v>
      </c>
      <c r="H757" s="338">
        <v>-58400</v>
      </c>
      <c r="I757" s="119">
        <f t="shared" si="155"/>
        <v>5982320</v>
      </c>
    </row>
    <row r="758" spans="1:9" s="132" customFormat="1" ht="78.75" x14ac:dyDescent="0.25">
      <c r="A758" s="851" t="str">
        <f>IF(B758&gt;0,VLOOKUP(B758,КВСР!A255:B1420,2),IF(C758&gt;0,VLOOKUP(C758,КФСР!A255:B1767,2),IF(D758&gt;0,VLOOKUP(D758,Программа!A$1:B$5112,2),IF(F758&gt;0,VLOOKUP(F758,КВР!A$1:B$5001,2),IF(E758&gt;0,VLOOKUP(E758,Направление!A$1:B$4791,2))))))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8" s="116"/>
      <c r="C758" s="111"/>
      <c r="D758" s="112"/>
      <c r="E758" s="111">
        <v>52400</v>
      </c>
      <c r="F758" s="113"/>
      <c r="G758" s="276">
        <v>10200</v>
      </c>
      <c r="H758" s="338">
        <f>H759</f>
        <v>0</v>
      </c>
      <c r="I758" s="119">
        <f t="shared" si="155"/>
        <v>10200</v>
      </c>
    </row>
    <row r="759" spans="1:9" s="132" customFormat="1" ht="31.5" x14ac:dyDescent="0.25">
      <c r="A759" s="851" t="str">
        <f>IF(B759&gt;0,VLOOKUP(B759,КВСР!A256:B1421,2),IF(C759&gt;0,VLOOKUP(C759,КФСР!A256:B1768,2),IF(D759&gt;0,VLOOKUP(D759,Программа!A$1:B$5112,2),IF(F759&gt;0,VLOOKUP(F759,КВР!A$1:B$5001,2),IF(E759&gt;0,VLOOKUP(E759,Направление!A$1:B$4791,2))))))</f>
        <v>Социальное обеспечение и иные выплаты населению</v>
      </c>
      <c r="B759" s="116"/>
      <c r="C759" s="111"/>
      <c r="D759" s="113"/>
      <c r="E759" s="133"/>
      <c r="F759" s="113">
        <v>300</v>
      </c>
      <c r="G759" s="276">
        <v>10200</v>
      </c>
      <c r="H759" s="338"/>
      <c r="I759" s="119">
        <f t="shared" si="155"/>
        <v>10200</v>
      </c>
    </row>
    <row r="760" spans="1:9" s="132" customFormat="1" ht="47.25" x14ac:dyDescent="0.25">
      <c r="A760" s="851" t="str">
        <f>IF(B760&gt;0,VLOOKUP(B760,КВСР!A252:B1417,2),IF(C760&gt;0,VLOOKUP(C760,КФСР!A252:B1764,2),IF(D760&gt;0,VLOOKUP(D760,Программа!A$1:B$5112,2),IF(F760&gt;0,VLOOKUP(F760,КВР!A$1:B$5001,2),IF(E760&gt;0,VLOOKUP(E760,Направление!A$1:B$4791,2))))))</f>
        <v>Оплата жилищно-коммунальных услуг отдельным категориям граждан за счет средств федерального бюджета</v>
      </c>
      <c r="B760" s="116"/>
      <c r="C760" s="111"/>
      <c r="D760" s="112"/>
      <c r="E760" s="111">
        <v>52500</v>
      </c>
      <c r="F760" s="113"/>
      <c r="G760" s="276">
        <v>43459000</v>
      </c>
      <c r="H760" s="338">
        <f>H762+H761</f>
        <v>0</v>
      </c>
      <c r="I760" s="119">
        <f t="shared" si="155"/>
        <v>43459000</v>
      </c>
    </row>
    <row r="761" spans="1:9" s="132" customFormat="1" ht="63" x14ac:dyDescent="0.25">
      <c r="A761" s="851" t="str">
        <f>IF(B761&gt;0,VLOOKUP(B761,КВСР!A252:B1417,2),IF(C761&gt;0,VLOOKUP(C761,КФСР!A252:B1764,2),IF(D761&gt;0,VLOOKUP(D761,Программа!A$1:B$5112,2),IF(F761&gt;0,VLOOKUP(F761,КВР!A$1:B$5001,2),IF(E761&gt;0,VLOOKUP(E761,Направление!A$1:B$4791,2))))))</f>
        <v xml:space="preserve">Закупка товаров, работ и услуг для обеспечения государственных (муниципальных) нужд
</v>
      </c>
      <c r="B761" s="116"/>
      <c r="C761" s="111"/>
      <c r="D761" s="113"/>
      <c r="E761" s="133"/>
      <c r="F761" s="113">
        <v>200</v>
      </c>
      <c r="G761" s="276">
        <v>586700</v>
      </c>
      <c r="H761" s="338"/>
      <c r="I761" s="119">
        <f t="shared" si="155"/>
        <v>586700</v>
      </c>
    </row>
    <row r="762" spans="1:9" s="132" customFormat="1" ht="31.5" x14ac:dyDescent="0.25">
      <c r="A762" s="851" t="str">
        <f>IF(B762&gt;0,VLOOKUP(B762,КВСР!A253:B1418,2),IF(C762&gt;0,VLOOKUP(C762,КФСР!A253:B1765,2),IF(D762&gt;0,VLOOKUP(D762,Программа!A$1:B$5112,2),IF(F762&gt;0,VLOOKUP(F762,КВР!A$1:B$5001,2),IF(E762&gt;0,VLOOKUP(E762,Направление!A$1:B$4791,2))))))</f>
        <v>Социальное обеспечение и иные выплаты населению</v>
      </c>
      <c r="B762" s="116"/>
      <c r="C762" s="111"/>
      <c r="D762" s="113"/>
      <c r="E762" s="133"/>
      <c r="F762" s="113">
        <v>300</v>
      </c>
      <c r="G762" s="294">
        <v>42872300</v>
      </c>
      <c r="H762" s="283"/>
      <c r="I762" s="119">
        <f t="shared" si="155"/>
        <v>42872300</v>
      </c>
    </row>
    <row r="763" spans="1:9" s="132" customFormat="1" ht="63" hidden="1" x14ac:dyDescent="0.25">
      <c r="A763" s="851" t="str">
        <f>IF(B763&gt;0,VLOOKUP(B763,КВСР!A254:B1419,2),IF(C763&gt;0,VLOOKUP(C763,КФСР!A254:B1766,2),IF(D763&gt;0,VLOOKUP(D763,Программа!A$1:B$5112,2),IF(F763&gt;0,VLOOKUP(F763,КВР!A$1:B$5001,2),IF(E763&gt;0,VLOOKUP(E763,Направление!A$1:B$4791,2))))))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63" s="116"/>
      <c r="C763" s="111"/>
      <c r="D763" s="112"/>
      <c r="E763" s="111">
        <v>54620</v>
      </c>
      <c r="F763" s="113"/>
      <c r="G763" s="294">
        <v>0</v>
      </c>
      <c r="H763" s="283">
        <f>H764</f>
        <v>0</v>
      </c>
      <c r="I763" s="119">
        <f t="shared" si="155"/>
        <v>0</v>
      </c>
    </row>
    <row r="764" spans="1:9" s="132" customFormat="1" ht="31.5" hidden="1" x14ac:dyDescent="0.25">
      <c r="A764" s="851" t="str">
        <f>IF(B764&gt;0,VLOOKUP(B764,КВСР!A255:B1420,2),IF(C764&gt;0,VLOOKUP(C764,КФСР!A255:B1767,2),IF(D764&gt;0,VLOOKUP(D764,Программа!A$1:B$5112,2),IF(F764&gt;0,VLOOKUP(F764,КВР!A$1:B$5001,2),IF(E764&gt;0,VLOOKUP(E764,Направление!A$1:B$4791,2))))))</f>
        <v>Социальное обеспечение и иные выплаты населению</v>
      </c>
      <c r="B764" s="116"/>
      <c r="C764" s="111"/>
      <c r="D764" s="113"/>
      <c r="E764" s="133"/>
      <c r="F764" s="113">
        <v>300</v>
      </c>
      <c r="G764" s="294">
        <v>0</v>
      </c>
      <c r="H764" s="283"/>
      <c r="I764" s="119">
        <f t="shared" si="155"/>
        <v>0</v>
      </c>
    </row>
    <row r="765" spans="1:9" s="132" customFormat="1" ht="94.5" hidden="1" x14ac:dyDescent="0.25">
      <c r="A765" s="851" t="str">
        <f>IF(B765&gt;0,VLOOKUP(B765,КВСР!A256:B1421,2),IF(C765&gt;0,VLOOKUP(C765,КФСР!A256:B1768,2),IF(D765&gt;0,VLOOKUP(D765,Программа!A$1:B$5112,2),IF(F765&gt;0,VLOOKUP(F765,КВР!A$1:B$5001,2),IF(E765&gt;0,VLOOKUP(E765,Направление!A$1:B$4791,2))))))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5" s="116"/>
      <c r="C765" s="111"/>
      <c r="D765" s="112"/>
      <c r="E765" s="111">
        <v>53850</v>
      </c>
      <c r="F765" s="113"/>
      <c r="G765" s="294">
        <v>0</v>
      </c>
      <c r="H765" s="283">
        <f>H766</f>
        <v>0</v>
      </c>
      <c r="I765" s="119">
        <f t="shared" si="155"/>
        <v>0</v>
      </c>
    </row>
    <row r="766" spans="1:9" s="132" customFormat="1" ht="31.5" hidden="1" x14ac:dyDescent="0.25">
      <c r="A766" s="851" t="str">
        <f>IF(B766&gt;0,VLOOKUP(B766,КВСР!A257:B1422,2),IF(C766&gt;0,VLOOKUP(C766,КФСР!A257:B1769,2),IF(D766&gt;0,VLOOKUP(D766,Программа!A$1:B$5112,2),IF(F766&gt;0,VLOOKUP(F766,КВР!A$1:B$5001,2),IF(E766&gt;0,VLOOKUP(E766,Направление!A$1:B$4791,2))))))</f>
        <v>Социальное обеспечение и иные выплаты населению</v>
      </c>
      <c r="B766" s="116"/>
      <c r="C766" s="111"/>
      <c r="D766" s="113"/>
      <c r="E766" s="133"/>
      <c r="F766" s="113">
        <v>300</v>
      </c>
      <c r="G766" s="294">
        <v>0</v>
      </c>
      <c r="H766" s="283"/>
      <c r="I766" s="119">
        <f t="shared" si="155"/>
        <v>0</v>
      </c>
    </row>
    <row r="767" spans="1:9" s="132" customFormat="1" ht="63" x14ac:dyDescent="0.25">
      <c r="A767" s="851" t="str">
        <f>IF(B767&gt;0,VLOOKUP(B767,КВСР!A258:B1423,2),IF(C767&gt;0,VLOOKUP(C767,КФСР!A258:B1770,2),IF(D767&gt;0,VLOOKUP(D767,Программа!A$1:B$5112,2),IF(F767&gt;0,VLOOKUP(F767,КВР!A$1:B$5001,2),IF(E767&gt;0,VLOOKUP(E767,Направление!A$1:B$4791,2))))))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7" s="116"/>
      <c r="C767" s="111"/>
      <c r="D767" s="112"/>
      <c r="E767" s="111">
        <v>70740</v>
      </c>
      <c r="F767" s="113"/>
      <c r="G767" s="294">
        <v>25274000</v>
      </c>
      <c r="H767" s="283">
        <f>SUM(H768:H769)</f>
        <v>0</v>
      </c>
      <c r="I767" s="119">
        <f t="shared" si="155"/>
        <v>25274000</v>
      </c>
    </row>
    <row r="768" spans="1:9" s="132" customFormat="1" ht="63" x14ac:dyDescent="0.25">
      <c r="A768" s="851" t="str">
        <f>IF(B768&gt;0,VLOOKUP(B768,КВСР!A258:B1423,2),IF(C768&gt;0,VLOOKUP(C768,КФСР!A258:B1770,2),IF(D768&gt;0,VLOOKUP(D768,Программа!A$1:B$5112,2),IF(F768&gt;0,VLOOKUP(F768,КВР!A$1:B$5001,2),IF(E768&gt;0,VLOOKUP(E768,Направление!A$1:B$4791,2))))))</f>
        <v xml:space="preserve">Закупка товаров, работ и услуг для обеспечения государственных (муниципальных) нужд
</v>
      </c>
      <c r="B768" s="116"/>
      <c r="C768" s="111"/>
      <c r="D768" s="113"/>
      <c r="E768" s="133"/>
      <c r="F768" s="113">
        <v>200</v>
      </c>
      <c r="G768" s="294">
        <v>322500</v>
      </c>
      <c r="H768" s="283"/>
      <c r="I768" s="119">
        <f t="shared" si="155"/>
        <v>322500</v>
      </c>
    </row>
    <row r="769" spans="1:9" s="132" customFormat="1" ht="31.5" x14ac:dyDescent="0.25">
      <c r="A769" s="851" t="str">
        <f>IF(B769&gt;0,VLOOKUP(B769,КВСР!A259:B1424,2),IF(C769&gt;0,VLOOKUP(C769,КФСР!A259:B1771,2),IF(D769&gt;0,VLOOKUP(D769,Программа!A$1:B$5112,2),IF(F769&gt;0,VLOOKUP(F769,КВР!A$1:B$5001,2),IF(E769&gt;0,VLOOKUP(E769,Направление!A$1:B$4791,2))))))</f>
        <v>Социальное обеспечение и иные выплаты населению</v>
      </c>
      <c r="B769" s="116"/>
      <c r="C769" s="111"/>
      <c r="D769" s="113"/>
      <c r="E769" s="133"/>
      <c r="F769" s="113">
        <v>300</v>
      </c>
      <c r="G769" s="294">
        <v>24951500</v>
      </c>
      <c r="H769" s="283"/>
      <c r="I769" s="119">
        <f t="shared" si="155"/>
        <v>24951500</v>
      </c>
    </row>
    <row r="770" spans="1:9" s="132" customFormat="1" ht="78.75" x14ac:dyDescent="0.25">
      <c r="A770" s="851" t="str">
        <f>IF(B770&gt;0,VLOOKUP(B770,КВСР!A260:B1425,2),IF(C770&gt;0,VLOOKUP(C770,КФСР!A260:B1772,2),IF(D770&gt;0,VLOOKUP(D770,Программа!A$1:B$5112,2),IF(F770&gt;0,VLOOKUP(F770,КВР!A$1:B$5001,2),IF(E770&gt;0,VLOOKUP(E770,Направление!A$1:B$4791,2))))))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70" s="116"/>
      <c r="C770" s="111"/>
      <c r="D770" s="112"/>
      <c r="E770" s="111">
        <v>70750</v>
      </c>
      <c r="F770" s="113"/>
      <c r="G770" s="294">
        <v>38100000</v>
      </c>
      <c r="H770" s="283">
        <f>H771+H772</f>
        <v>-600000</v>
      </c>
      <c r="I770" s="119">
        <f t="shared" si="155"/>
        <v>37500000</v>
      </c>
    </row>
    <row r="771" spans="1:9" s="132" customFormat="1" ht="63" x14ac:dyDescent="0.25">
      <c r="A771" s="851" t="str">
        <f>IF(B771&gt;0,VLOOKUP(B771,КВСР!A261:B1426,2),IF(C771&gt;0,VLOOKUP(C771,КФСР!A261:B1773,2),IF(D771&gt;0,VLOOKUP(D771,Программа!A$1:B$5112,2),IF(F771&gt;0,VLOOKUP(F771,КВР!A$1:B$5001,2),IF(E771&gt;0,VLOOKUP(E771,Направление!A$1:B$4791,2))))))</f>
        <v xml:space="preserve">Закупка товаров, работ и услуг для обеспечения государственных (муниципальных) нужд
</v>
      </c>
      <c r="B771" s="116"/>
      <c r="C771" s="111"/>
      <c r="D771" s="113"/>
      <c r="E771" s="133"/>
      <c r="F771" s="113">
        <v>200</v>
      </c>
      <c r="G771" s="294">
        <v>586000</v>
      </c>
      <c r="H771" s="283"/>
      <c r="I771" s="119">
        <f t="shared" si="155"/>
        <v>586000</v>
      </c>
    </row>
    <row r="772" spans="1:9" s="132" customFormat="1" ht="31.5" x14ac:dyDescent="0.25">
      <c r="A772" s="851" t="str">
        <f>IF(B772&gt;0,VLOOKUP(B772,КВСР!A261:B1426,2),IF(C772&gt;0,VLOOKUP(C772,КФСР!A261:B1773,2),IF(D772&gt;0,VLOOKUP(D772,Программа!A$1:B$5112,2),IF(F772&gt;0,VLOOKUP(F772,КВР!A$1:B$5001,2),IF(E772&gt;0,VLOOKUP(E772,Направление!A$1:B$4791,2))))))</f>
        <v>Социальное обеспечение и иные выплаты населению</v>
      </c>
      <c r="B772" s="116"/>
      <c r="C772" s="111"/>
      <c r="D772" s="113"/>
      <c r="E772" s="133"/>
      <c r="F772" s="113">
        <v>300</v>
      </c>
      <c r="G772" s="294">
        <v>37514000</v>
      </c>
      <c r="H772" s="283">
        <v>-600000</v>
      </c>
      <c r="I772" s="119">
        <f t="shared" si="155"/>
        <v>36914000</v>
      </c>
    </row>
    <row r="773" spans="1:9" s="132" customFormat="1" ht="110.25" x14ac:dyDescent="0.25">
      <c r="A773" s="851" t="str">
        <f>IF(B773&gt;0,VLOOKUP(B773,КВСР!A254:B1419,2),IF(C773&gt;0,VLOOKUP(C773,КФСР!A254:B1766,2),IF(D773&gt;0,VLOOKUP(D773,Программа!A$1:B$5112,2),IF(F773&gt;0,VLOOKUP(F773,КВР!A$1:B$5001,2),IF(E773&gt;0,VLOOKUP(E773,Направление!A$1:B$4791,2))))))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73" s="116"/>
      <c r="C773" s="111"/>
      <c r="D773" s="112"/>
      <c r="E773" s="111">
        <v>70840</v>
      </c>
      <c r="F773" s="113"/>
      <c r="G773" s="276">
        <v>68812000</v>
      </c>
      <c r="H773" s="338">
        <f>H775+H774</f>
        <v>0</v>
      </c>
      <c r="I773" s="119">
        <f t="shared" si="155"/>
        <v>68812000</v>
      </c>
    </row>
    <row r="774" spans="1:9" s="132" customFormat="1" ht="63" x14ac:dyDescent="0.25">
      <c r="A774" s="851" t="str">
        <f>IF(B774&gt;0,VLOOKUP(B774,КВСР!A254:B1419,2),IF(C774&gt;0,VLOOKUP(C774,КФСР!A254:B1766,2),IF(D774&gt;0,VLOOKUP(D774,Программа!A$1:B$5112,2),IF(F774&gt;0,VLOOKUP(F774,КВР!A$1:B$5001,2),IF(E774&gt;0,VLOOKUP(E774,Направление!A$1:B$4791,2))))))</f>
        <v xml:space="preserve">Закупка товаров, работ и услуг для обеспечения государственных (муниципальных) нужд
</v>
      </c>
      <c r="B774" s="116"/>
      <c r="C774" s="111"/>
      <c r="D774" s="113"/>
      <c r="E774" s="133"/>
      <c r="F774" s="113">
        <v>200</v>
      </c>
      <c r="G774" s="276">
        <v>1585000</v>
      </c>
      <c r="H774" s="338"/>
      <c r="I774" s="119">
        <f t="shared" si="155"/>
        <v>1585000</v>
      </c>
    </row>
    <row r="775" spans="1:9" s="132" customFormat="1" ht="31.5" x14ac:dyDescent="0.25">
      <c r="A775" s="851" t="str">
        <f>IF(B775&gt;0,VLOOKUP(B775,КВСР!A255:B1420,2),IF(C775&gt;0,VLOOKUP(C775,КФСР!A255:B1767,2),IF(D775&gt;0,VLOOKUP(D775,Программа!A$1:B$5112,2),IF(F775&gt;0,VLOOKUP(F775,КВР!A$1:B$5001,2),IF(E775&gt;0,VLOOKUP(E775,Направление!A$1:B$4791,2))))))</f>
        <v>Социальное обеспечение и иные выплаты населению</v>
      </c>
      <c r="B775" s="116"/>
      <c r="C775" s="111"/>
      <c r="D775" s="113"/>
      <c r="E775" s="133"/>
      <c r="F775" s="113">
        <v>300</v>
      </c>
      <c r="G775" s="276">
        <v>67227000</v>
      </c>
      <c r="H775" s="338"/>
      <c r="I775" s="119">
        <f t="shared" si="155"/>
        <v>67227000</v>
      </c>
    </row>
    <row r="776" spans="1:9" s="132" customFormat="1" ht="31.5" x14ac:dyDescent="0.25">
      <c r="A776" s="851" t="str">
        <f>IF(B776&gt;0,VLOOKUP(B776,КВСР!A256:B1421,2),IF(C776&gt;0,VLOOKUP(C776,КФСР!A256:B1768,2),IF(D776&gt;0,VLOOKUP(D776,Программа!A$1:B$5112,2),IF(F776&gt;0,VLOOKUP(F776,КВР!A$1:B$5001,2),IF(E776&gt;0,VLOOKUP(E776,Направление!A$1:B$4791,2))))))</f>
        <v>Денежные выплаты за счет средств областного бюджета</v>
      </c>
      <c r="B776" s="116"/>
      <c r="C776" s="111"/>
      <c r="D776" s="112"/>
      <c r="E776" s="111">
        <v>70860</v>
      </c>
      <c r="F776" s="113"/>
      <c r="G776" s="276">
        <v>21013000</v>
      </c>
      <c r="H776" s="338">
        <f>H777+H778</f>
        <v>0</v>
      </c>
      <c r="I776" s="119">
        <f t="shared" si="155"/>
        <v>21013000</v>
      </c>
    </row>
    <row r="777" spans="1:9" s="132" customFormat="1" ht="63" x14ac:dyDescent="0.25">
      <c r="A777" s="851" t="str">
        <f>IF(B777&gt;0,VLOOKUP(B777,КВСР!A257:B1422,2),IF(C777&gt;0,VLOOKUP(C777,КФСР!A257:B1769,2),IF(D777&gt;0,VLOOKUP(D777,Программа!A$1:B$5112,2),IF(F777&gt;0,VLOOKUP(F777,КВР!A$1:B$5001,2),IF(E777&gt;0,VLOOKUP(E777,Направление!A$1:B$4791,2))))))</f>
        <v xml:space="preserve">Закупка товаров, работ и услуг для обеспечения государственных (муниципальных) нужд
</v>
      </c>
      <c r="B777" s="116"/>
      <c r="C777" s="111"/>
      <c r="D777" s="113"/>
      <c r="E777" s="133"/>
      <c r="F777" s="113">
        <v>200</v>
      </c>
      <c r="G777" s="276">
        <v>478300</v>
      </c>
      <c r="H777" s="338"/>
      <c r="I777" s="119">
        <f t="shared" si="155"/>
        <v>478300</v>
      </c>
    </row>
    <row r="778" spans="1:9" s="132" customFormat="1" ht="31.5" x14ac:dyDescent="0.25">
      <c r="A778" s="851" t="str">
        <f>IF(B778&gt;0,VLOOKUP(B778,КВСР!A258:B1423,2),IF(C778&gt;0,VLOOKUP(C778,КФСР!A258:B1770,2),IF(D778&gt;0,VLOOKUP(D778,Программа!A$1:B$5112,2),IF(F778&gt;0,VLOOKUP(F778,КВР!A$1:B$5001,2),IF(E778&gt;0,VLOOKUP(E778,Направление!A$1:B$4791,2))))))</f>
        <v>Социальное обеспечение и иные выплаты населению</v>
      </c>
      <c r="B778" s="116"/>
      <c r="C778" s="111"/>
      <c r="D778" s="113"/>
      <c r="E778" s="133"/>
      <c r="F778" s="113">
        <v>300</v>
      </c>
      <c r="G778" s="276">
        <v>20534700</v>
      </c>
      <c r="H778" s="338"/>
      <c r="I778" s="119">
        <f t="shared" si="155"/>
        <v>20534700</v>
      </c>
    </row>
    <row r="779" spans="1:9" s="132" customFormat="1" ht="47.25" hidden="1" x14ac:dyDescent="0.25">
      <c r="A779" s="851" t="str">
        <f>IF(B779&gt;0,VLOOKUP(B779,КВСР!A259:B1424,2),IF(C779&gt;0,VLOOKUP(C779,КФСР!A259:B1771,2),IF(D779&gt;0,VLOOKUP(D779,Программа!A$1:B$5112,2),IF(F779&gt;0,VLOOKUP(F779,КВР!A$1:B$5001,2),IF(E779&gt;0,VLOOKUP(E779,Направление!A$1:B$4791,2))))))</f>
        <v>Оказание социальной помощи отдельным категориям граждан за счет средств областного бюджета</v>
      </c>
      <c r="B779" s="116"/>
      <c r="C779" s="111"/>
      <c r="D779" s="112"/>
      <c r="E779" s="111">
        <v>70890</v>
      </c>
      <c r="F779" s="113"/>
      <c r="G779" s="276">
        <v>0</v>
      </c>
      <c r="H779" s="338">
        <f>H780+H781</f>
        <v>0</v>
      </c>
      <c r="I779" s="119">
        <f t="shared" si="155"/>
        <v>0</v>
      </c>
    </row>
    <row r="780" spans="1:9" s="132" customFormat="1" ht="63" hidden="1" x14ac:dyDescent="0.25">
      <c r="A780" s="851" t="str">
        <f>IF(B780&gt;0,VLOOKUP(B780,КВСР!A260:B1425,2),IF(C780&gt;0,VLOOKUP(C780,КФСР!A260:B1772,2),IF(D780&gt;0,VLOOKUP(D780,Программа!A$1:B$5112,2),IF(F780&gt;0,VLOOKUP(F780,КВР!A$1:B$5001,2),IF(E780&gt;0,VLOOKUP(E780,Направление!A$1:B$4791,2))))))</f>
        <v xml:space="preserve">Закупка товаров, работ и услуг для обеспечения государственных (муниципальных) нужд
</v>
      </c>
      <c r="B780" s="116"/>
      <c r="C780" s="111"/>
      <c r="D780" s="112"/>
      <c r="E780" s="133"/>
      <c r="F780" s="113">
        <v>200</v>
      </c>
      <c r="G780" s="276">
        <v>0</v>
      </c>
      <c r="H780" s="338"/>
      <c r="I780" s="119">
        <f t="shared" si="155"/>
        <v>0</v>
      </c>
    </row>
    <row r="781" spans="1:9" s="132" customFormat="1" ht="31.5" hidden="1" x14ac:dyDescent="0.25">
      <c r="A781" s="851" t="str">
        <f>IF(B781&gt;0,VLOOKUP(B781,КВСР!A261:B1426,2),IF(C781&gt;0,VLOOKUP(C781,КФСР!A261:B1773,2),IF(D781&gt;0,VLOOKUP(D781,Программа!A$1:B$5112,2),IF(F781&gt;0,VLOOKUP(F781,КВР!A$1:B$5001,2),IF(E781&gt;0,VLOOKUP(E781,Направление!A$1:B$4791,2))))))</f>
        <v>Социальное обеспечение и иные выплаты населению</v>
      </c>
      <c r="B781" s="116"/>
      <c r="C781" s="111"/>
      <c r="D781" s="112"/>
      <c r="E781" s="133"/>
      <c r="F781" s="113">
        <v>300</v>
      </c>
      <c r="G781" s="276">
        <v>0</v>
      </c>
      <c r="H781" s="338"/>
      <c r="I781" s="119">
        <f t="shared" si="155"/>
        <v>0</v>
      </c>
    </row>
    <row r="782" spans="1:9" s="132" customFormat="1" ht="94.5" x14ac:dyDescent="0.25">
      <c r="A782" s="851" t="str">
        <f>IF(B782&gt;0,VLOOKUP(B782,КВСР!A262:B1427,2),IF(C782&gt;0,VLOOKUP(C782,КФСР!A262:B1774,2),IF(D782&gt;0,VLOOKUP(D782,Программа!A$1:B$5112,2),IF(F782&gt;0,VLOOKUP(F782,КВР!A$1:B$5001,2),IF(E782&gt;0,VLOOKUP(E782,Направление!A$1:B$4791,2))))))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82" s="116"/>
      <c r="C782" s="111"/>
      <c r="D782" s="112"/>
      <c r="E782" s="382">
        <v>72550</v>
      </c>
      <c r="F782" s="113"/>
      <c r="G782" s="276">
        <v>80668</v>
      </c>
      <c r="H782" s="338">
        <f>H783</f>
        <v>0</v>
      </c>
      <c r="I782" s="119">
        <f t="shared" si="155"/>
        <v>80668</v>
      </c>
    </row>
    <row r="783" spans="1:9" s="132" customFormat="1" ht="31.5" x14ac:dyDescent="0.25">
      <c r="A783" s="851" t="str">
        <f>IF(B783&gt;0,VLOOKUP(B783,КВСР!A263:B1428,2),IF(C783&gt;0,VLOOKUP(C783,КФСР!A263:B1775,2),IF(D783&gt;0,VLOOKUP(D783,Программа!A$1:B$5112,2),IF(F783&gt;0,VLOOKUP(F783,КВР!A$1:B$5001,2),IF(E783&gt;0,VLOOKUP(E783,Направление!A$1:B$4791,2))))))</f>
        <v>Социальное обеспечение и иные выплаты населению</v>
      </c>
      <c r="B783" s="116"/>
      <c r="C783" s="111"/>
      <c r="D783" s="112"/>
      <c r="E783" s="382"/>
      <c r="F783" s="113">
        <v>300</v>
      </c>
      <c r="G783" s="276">
        <v>80668</v>
      </c>
      <c r="H783" s="338"/>
      <c r="I783" s="119">
        <f t="shared" si="155"/>
        <v>80668</v>
      </c>
    </row>
    <row r="784" spans="1:9" s="132" customFormat="1" ht="78.75" x14ac:dyDescent="0.25">
      <c r="A784" s="851" t="str">
        <f>IF(B784&gt;0,VLOOKUP(B784,КВСР!A264:B1429,2),IF(C784&gt;0,VLOOKUP(C784,КФСР!A264:B1776,2),IF(D784&gt;0,VLOOKUP(D784,Программа!A$1:B$5112,2),IF(F784&gt;0,VLOOKUP(F784,КВР!A$1:B$5001,2),IF(E784&gt;0,VLOOKUP(E784,Направление!A$1:B$4791,2))))))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4" s="116"/>
      <c r="C784" s="111"/>
      <c r="D784" s="112"/>
      <c r="E784" s="382">
        <v>72560</v>
      </c>
      <c r="F784" s="113"/>
      <c r="G784" s="276">
        <v>2275344</v>
      </c>
      <c r="H784" s="338">
        <f>H785+H786</f>
        <v>0</v>
      </c>
      <c r="I784" s="338">
        <f>I785+I786</f>
        <v>2275344</v>
      </c>
    </row>
    <row r="785" spans="1:9" s="132" customFormat="1" ht="31.5" x14ac:dyDescent="0.25">
      <c r="A785" s="851" t="str">
        <f>IF(B785&gt;0,VLOOKUP(B785,КВСР!A265:B1430,2),IF(C785&gt;0,VLOOKUP(C785,КФСР!A265:B1777,2),IF(D785&gt;0,VLOOKUP(D785,Программа!A$1:B$5112,2),IF(F785&gt;0,VLOOKUP(F785,КВР!A$1:B$5001,2),IF(E785&gt;0,VLOOKUP(E785,Направление!A$1:B$4791,2))))))</f>
        <v>Социальное обеспечение и иные выплаты населению</v>
      </c>
      <c r="B785" s="116"/>
      <c r="C785" s="111"/>
      <c r="D785" s="112"/>
      <c r="E785" s="382"/>
      <c r="F785" s="113">
        <v>300</v>
      </c>
      <c r="G785" s="276"/>
      <c r="H785" s="338">
        <v>2249690</v>
      </c>
      <c r="I785" s="119">
        <f t="shared" si="155"/>
        <v>2249690</v>
      </c>
    </row>
    <row r="786" spans="1:9" s="132" customFormat="1" x14ac:dyDescent="0.25">
      <c r="A786" s="851" t="str">
        <f>IF(B786&gt;0,VLOOKUP(B786,КВСР!A265:B1430,2),IF(C786&gt;0,VLOOKUP(C786,КФСР!A265:B1777,2),IF(D786&gt;0,VLOOKUP(D786,Программа!A$1:B$5112,2),IF(F786&gt;0,VLOOKUP(F786,КВР!A$1:B$5001,2),IF(E786&gt;0,VLOOKUP(E786,Направление!A$1:B$4791,2))))))</f>
        <v>Иные бюджетные ассигнования</v>
      </c>
      <c r="B786" s="116"/>
      <c r="C786" s="111"/>
      <c r="D786" s="112"/>
      <c r="E786" s="133"/>
      <c r="F786" s="113">
        <v>800</v>
      </c>
      <c r="G786" s="276">
        <v>2275344</v>
      </c>
      <c r="H786" s="338">
        <v>-2249690</v>
      </c>
      <c r="I786" s="119">
        <f t="shared" si="155"/>
        <v>25654</v>
      </c>
    </row>
    <row r="787" spans="1:9" s="132" customFormat="1" ht="47.25" hidden="1" x14ac:dyDescent="0.25">
      <c r="A787" s="851" t="str">
        <f>IF(B787&gt;0,VLOOKUP(B787,КВСР!A256:B1421,2),IF(C787&gt;0,VLOOKUP(C787,КФСР!A256:B1768,2),IF(D787&gt;0,VLOOKUP(D787,Программа!A$1:B$5112,2),IF(F787&gt;0,VLOOKUP(F787,КВР!A$1:B$5001,2),IF(E787&gt;0,VLOOKUP(E787,Направление!A$1:B$4791,2))))))</f>
        <v>Расходы на социальную поддержку отдельных категорий граждан в части ежемесячного пособия на ребенка</v>
      </c>
      <c r="B787" s="116"/>
      <c r="C787" s="111"/>
      <c r="D787" s="112"/>
      <c r="E787" s="111">
        <v>73040</v>
      </c>
      <c r="F787" s="113"/>
      <c r="G787" s="294">
        <v>0</v>
      </c>
      <c r="H787" s="283">
        <f>H789+H788</f>
        <v>0</v>
      </c>
      <c r="I787" s="119">
        <f t="shared" si="155"/>
        <v>0</v>
      </c>
    </row>
    <row r="788" spans="1:9" s="132" customFormat="1" ht="63" hidden="1" x14ac:dyDescent="0.25">
      <c r="A788" s="851" t="str">
        <f>IF(B788&gt;0,VLOOKUP(B788,КВСР!A257:B1422,2),IF(C788&gt;0,VLOOKUP(C788,КФСР!A257:B1769,2),IF(D788&gt;0,VLOOKUP(D788,Программа!A$1:B$5112,2),IF(F788&gt;0,VLOOKUP(F788,КВР!A$1:B$5001,2),IF(E788&gt;0,VLOOKUP(E788,Направление!A$1:B$4791,2))))))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94">
        <v>0</v>
      </c>
      <c r="H788" s="283"/>
      <c r="I788" s="119">
        <f t="shared" si="155"/>
        <v>0</v>
      </c>
    </row>
    <row r="789" spans="1:9" s="132" customFormat="1" ht="31.5" hidden="1" x14ac:dyDescent="0.25">
      <c r="A789" s="851" t="str">
        <f>IF(B789&gt;0,VLOOKUP(B789,КВСР!A264:B1429,2),IF(C789&gt;0,VLOOKUP(C789,КФСР!A264:B1776,2),IF(D789&gt;0,VLOOKUP(D789,Программа!A$1:B$5112,2),IF(F789&gt;0,VLOOKUP(F789,КВР!A$1:B$5001,2),IF(E789&gt;0,VLOOKUP(E789,Направление!A$1:B$4791,2))))))</f>
        <v>Социальное обеспечение и иные выплаты населению</v>
      </c>
      <c r="B789" s="116"/>
      <c r="C789" s="111"/>
      <c r="D789" s="112"/>
      <c r="E789" s="111"/>
      <c r="F789" s="113">
        <v>300</v>
      </c>
      <c r="G789" s="276">
        <v>0</v>
      </c>
      <c r="H789" s="338"/>
      <c r="I789" s="119">
        <f t="shared" si="155"/>
        <v>0</v>
      </c>
    </row>
    <row r="790" spans="1:9" s="132" customFormat="1" ht="63" x14ac:dyDescent="0.25">
      <c r="A790" s="851" t="str">
        <f>IF(B790&gt;0,VLOOKUP(B790,КВСР!A265:B1430,2),IF(C790&gt;0,VLOOKUP(C790,КФСР!A265:B1777,2),IF(D790&gt;0,VLOOKUP(D790,Программа!A$1:B$5112,2),IF(F790&gt;0,VLOOKUP(F790,КВР!A$1:B$5001,2),IF(E790&gt;0,VLOOKUP(E790,Направление!A$1:B$4791,2))))))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90" s="116"/>
      <c r="C790" s="111"/>
      <c r="D790" s="112"/>
      <c r="E790" s="111" t="s">
        <v>1242</v>
      </c>
      <c r="F790" s="113"/>
      <c r="G790" s="276">
        <v>1685127</v>
      </c>
      <c r="H790" s="338">
        <f t="shared" ref="H790:I790" si="173">H791</f>
        <v>0</v>
      </c>
      <c r="I790" s="288">
        <f t="shared" si="173"/>
        <v>1685127</v>
      </c>
    </row>
    <row r="791" spans="1:9" s="132" customFormat="1" ht="31.5" x14ac:dyDescent="0.25">
      <c r="A791" s="851" t="str">
        <f>IF(B791&gt;0,VLOOKUP(B791,КВСР!A266:B1431,2),IF(C791&gt;0,VLOOKUP(C791,КФСР!A266:B1778,2),IF(D791&gt;0,VLOOKUP(D791,Программа!A$1:B$5112,2),IF(F791&gt;0,VLOOKUP(F791,КВР!A$1:B$5001,2),IF(E791&gt;0,VLOOKUP(E791,Направление!A$1:B$4791,2))))))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11"/>
      <c r="F791" s="113">
        <v>300</v>
      </c>
      <c r="G791" s="276">
        <v>1685127</v>
      </c>
      <c r="H791" s="338"/>
      <c r="I791" s="119">
        <f>SUM(G791:H791)</f>
        <v>1685127</v>
      </c>
    </row>
    <row r="792" spans="1:9" s="132" customFormat="1" ht="94.5" x14ac:dyDescent="0.25">
      <c r="A792" s="851" t="str">
        <f>IF(B792&gt;0,VLOOKUP(B792,КВСР!A267:B1432,2),IF(C792&gt;0,VLOOKUP(C792,КФСР!A267:B1779,2),IF(D792&gt;0,VLOOKUP(D792,Программа!A$1:B$5112,2),IF(F792&gt;0,VLOOKUP(F792,КВР!A$1:B$5001,2),IF(E792&gt;0,VLOOKUP(E792,Направление!A$1:B$4791,2))))))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92" s="116"/>
      <c r="C792" s="111"/>
      <c r="D792" s="112"/>
      <c r="E792" s="111">
        <v>75490</v>
      </c>
      <c r="F792" s="113"/>
      <c r="G792" s="276">
        <v>28647</v>
      </c>
      <c r="H792" s="338">
        <f t="shared" ref="H792:I792" si="174">H793</f>
        <v>0</v>
      </c>
      <c r="I792" s="288">
        <f t="shared" si="174"/>
        <v>28647</v>
      </c>
    </row>
    <row r="793" spans="1:9" s="132" customFormat="1" ht="63" x14ac:dyDescent="0.25">
      <c r="A793" s="851" t="str">
        <f>IF(B793&gt;0,VLOOKUP(B793,КВСР!A268:B1433,2),IF(C793&gt;0,VLOOKUP(C793,КФСР!A268:B1780,2),IF(D793&gt;0,VLOOKUP(D793,Программа!A$1:B$5112,2),IF(F793&gt;0,VLOOKUP(F793,КВР!A$1:B$5001,2),IF(E793&gt;0,VLOOKUP(E793,Направление!A$1:B$4791,2))))))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28647</v>
      </c>
      <c r="H793" s="338"/>
      <c r="I793" s="119">
        <f>SUM(G793:H793)</f>
        <v>28647</v>
      </c>
    </row>
    <row r="794" spans="1:9" s="132" customFormat="1" ht="63" x14ac:dyDescent="0.25">
      <c r="A794" s="851" t="str">
        <f>IF(B794&gt;0,VLOOKUP(B794,КВСР!A258:B1423,2),IF(C794&gt;0,VLOOKUP(C794,КФСР!A258:B1770,2),IF(D794&gt;0,VLOOKUP(D794,Программа!A$1:B$5112,2),IF(F794&gt;0,VLOOKUP(F794,КВР!A$1:B$5001,2),IF(E794&gt;0,VLOOKUP(E794,Направление!A$1:B$4791,2))))))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94" s="116"/>
      <c r="C794" s="111"/>
      <c r="D794" s="112" t="s">
        <v>540</v>
      </c>
      <c r="E794" s="111"/>
      <c r="F794" s="113"/>
      <c r="G794" s="276">
        <v>21627650</v>
      </c>
      <c r="H794" s="338">
        <f>H795+H797+H800+H802</f>
        <v>0</v>
      </c>
      <c r="I794" s="276">
        <f>I795+I797+I800+I802</f>
        <v>21627650</v>
      </c>
    </row>
    <row r="795" spans="1:9" s="132" customFormat="1" ht="47.25" x14ac:dyDescent="0.25">
      <c r="A795" s="851" t="str">
        <f>IF(B795&gt;0,VLOOKUP(B795,КВСР!A261:B1426,2),IF(C795&gt;0,VLOOKUP(C795,КФСР!A261:B1773,2),IF(D795&gt;0,VLOOKUP(D795,Программа!A$1:B$5112,2),IF(F795&gt;0,VLOOKUP(F795,КВР!A$1:B$5001,2),IF(E795&gt;0,VLOOKUP(E795,Направление!A$1:B$4791,2))))))</f>
        <v>Организация перевозок больных, нуждающихся в амбулаторном гемодиализе</v>
      </c>
      <c r="B795" s="116"/>
      <c r="C795" s="111"/>
      <c r="D795" s="112"/>
      <c r="E795" s="111">
        <v>16210</v>
      </c>
      <c r="F795" s="113"/>
      <c r="G795" s="276">
        <v>224000</v>
      </c>
      <c r="H795" s="389">
        <f>H796</f>
        <v>0</v>
      </c>
      <c r="I795" s="119">
        <f>SUM(G795:H795)</f>
        <v>224000</v>
      </c>
    </row>
    <row r="796" spans="1:9" s="132" customFormat="1" ht="31.5" x14ac:dyDescent="0.25">
      <c r="A796" s="851" t="str">
        <f>IF(B796&gt;0,VLOOKUP(B796,КВСР!A262:B1427,2),IF(C796&gt;0,VLOOKUP(C796,КФСР!A262:B1774,2),IF(D796&gt;0,VLOOKUP(D796,Программа!A$1:B$5112,2),IF(F796&gt;0,VLOOKUP(F796,КВР!A$1:B$5001,2),IF(E796&gt;0,VLOOKUP(E796,Направление!A$1:B$4791,2))))))</f>
        <v>Социальное обеспечение и иные выплаты населению</v>
      </c>
      <c r="B796" s="116"/>
      <c r="C796" s="111"/>
      <c r="D796" s="112"/>
      <c r="E796" s="133"/>
      <c r="F796" s="113">
        <v>300</v>
      </c>
      <c r="G796" s="276">
        <v>224000</v>
      </c>
      <c r="H796" s="338"/>
      <c r="I796" s="119">
        <f>SUM(G796:H796)</f>
        <v>224000</v>
      </c>
    </row>
    <row r="797" spans="1:9" s="132" customFormat="1" ht="47.25" x14ac:dyDescent="0.25">
      <c r="A797" s="851" t="str">
        <f>IF(B797&gt;0,VLOOKUP(B797,КВСР!A264:B1429,2),IF(C797&gt;0,VLOOKUP(C797,КФСР!A264:B1776,2),IF(D797&gt;0,VLOOKUP(D797,Программа!A$1:B$5112,2),IF(F797&gt;0,VLOOKUP(F797,КВР!A$1:B$5001,2),IF(E797&gt;0,VLOOKUP(E797,Направление!A$1:B$4791,2))))))</f>
        <v>Оказание социальной помощи отдельным категориям граждан за счет средств областного бюджета</v>
      </c>
      <c r="B797" s="116"/>
      <c r="C797" s="111"/>
      <c r="D797" s="112"/>
      <c r="E797" s="111">
        <v>70890</v>
      </c>
      <c r="F797" s="113"/>
      <c r="G797" s="276">
        <v>3072750</v>
      </c>
      <c r="H797" s="338">
        <f>H798+H799</f>
        <v>0</v>
      </c>
      <c r="I797" s="119">
        <f t="shared" si="155"/>
        <v>3072750</v>
      </c>
    </row>
    <row r="798" spans="1:9" s="132" customFormat="1" ht="63" x14ac:dyDescent="0.25">
      <c r="A798" s="851" t="str">
        <f>IF(B798&gt;0,VLOOKUP(B798,КВСР!A265:B1430,2),IF(C798&gt;0,VLOOKUP(C798,КФСР!A265:B1777,2),IF(D798&gt;0,VLOOKUP(D798,Программа!A$1:B$5112,2),IF(F798&gt;0,VLOOKUP(F798,КВР!A$1:B$5001,2),IF(E798&gt;0,VLOOKUP(E798,Направление!A$1:B$4791,2))))))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2"/>
      <c r="E798" s="111"/>
      <c r="F798" s="113">
        <v>200</v>
      </c>
      <c r="G798" s="276">
        <v>34300</v>
      </c>
      <c r="H798" s="338"/>
      <c r="I798" s="119">
        <f t="shared" ref="I798:I875" si="175">SUM(G798:H798)</f>
        <v>34300</v>
      </c>
    </row>
    <row r="799" spans="1:9" s="132" customFormat="1" ht="31.5" x14ac:dyDescent="0.25">
      <c r="A799" s="851" t="str">
        <f>IF(B799&gt;0,VLOOKUP(B799,КВСР!A266:B1431,2),IF(C799&gt;0,VLOOKUP(C799,КФСР!A266:B1778,2),IF(D799&gt;0,VLOOKUP(D799,Программа!A$1:B$5112,2),IF(F799&gt;0,VLOOKUP(F799,КВР!A$1:B$5001,2),IF(E799&gt;0,VLOOKUP(E799,Направление!A$1:B$4791,2))))))</f>
        <v>Социальное обеспечение и иные выплаты населению</v>
      </c>
      <c r="B799" s="116"/>
      <c r="C799" s="111"/>
      <c r="D799" s="112"/>
      <c r="E799" s="111"/>
      <c r="F799" s="113">
        <v>300</v>
      </c>
      <c r="G799" s="276">
        <v>3038450</v>
      </c>
      <c r="H799" s="338"/>
      <c r="I799" s="119">
        <f t="shared" si="175"/>
        <v>3038450</v>
      </c>
    </row>
    <row r="800" spans="1:9" s="132" customFormat="1" ht="63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00" s="116"/>
      <c r="C800" s="111"/>
      <c r="D800" s="112"/>
      <c r="E800" s="111">
        <v>75520</v>
      </c>
      <c r="F800" s="113"/>
      <c r="G800" s="276">
        <v>270900</v>
      </c>
      <c r="H800" s="338">
        <f t="shared" ref="H800:I800" si="176">H801</f>
        <v>0</v>
      </c>
      <c r="I800" s="276">
        <f t="shared" si="176"/>
        <v>270900</v>
      </c>
    </row>
    <row r="801" spans="1:9" s="132" customFormat="1" ht="63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11"/>
      <c r="F801" s="113">
        <v>200</v>
      </c>
      <c r="G801" s="276">
        <v>270900</v>
      </c>
      <c r="H801" s="338"/>
      <c r="I801" s="119">
        <f>G801+H801</f>
        <v>270900</v>
      </c>
    </row>
    <row r="802" spans="1:9" s="132" customFormat="1" ht="63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802" s="116"/>
      <c r="C802" s="111"/>
      <c r="D802" s="112"/>
      <c r="E802" s="111" t="s">
        <v>1813</v>
      </c>
      <c r="F802" s="113"/>
      <c r="G802" s="276">
        <v>18060000</v>
      </c>
      <c r="H802" s="338">
        <f t="shared" ref="H802:I802" si="177">H803</f>
        <v>0</v>
      </c>
      <c r="I802" s="276">
        <f t="shared" si="177"/>
        <v>18060000</v>
      </c>
    </row>
    <row r="803" spans="1:9" s="132" customFormat="1" ht="31.5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18060000</v>
      </c>
      <c r="H803" s="338"/>
      <c r="I803" s="119">
        <f>G803+H803</f>
        <v>18060000</v>
      </c>
    </row>
    <row r="804" spans="1:9" s="132" customFormat="1" x14ac:dyDescent="0.25">
      <c r="A804" s="851" t="str">
        <f>IF(B804&gt;0,VLOOKUP(B804,КВСР!A267:B1432,2),IF(C804&gt;0,VLOOKUP(C804,КФСР!A267:B1779,2),IF(D804&gt;0,VLOOKUP(D804,Программа!A$1:B$5112,2),IF(F804&gt;0,VLOOKUP(F804,КВР!A$1:B$5001,2),IF(E804&gt;0,VLOOKUP(E804,Направление!A$1:B$4791,2))))))</f>
        <v>Непрограммные расходы бюджета</v>
      </c>
      <c r="B804" s="116"/>
      <c r="C804" s="111"/>
      <c r="D804" s="112" t="s">
        <v>383</v>
      </c>
      <c r="E804" s="111"/>
      <c r="F804" s="113"/>
      <c r="G804" s="276">
        <v>40000</v>
      </c>
      <c r="H804" s="338">
        <f t="shared" ref="H804:I804" si="178">H805+H807</f>
        <v>25000</v>
      </c>
      <c r="I804" s="276">
        <f t="shared" si="178"/>
        <v>65000</v>
      </c>
    </row>
    <row r="805" spans="1:9" s="132" customFormat="1" ht="31.5" x14ac:dyDescent="0.25">
      <c r="A805" s="851" t="str">
        <f>IF(B805&gt;0,VLOOKUP(B805,КВСР!A267:B1432,2),IF(C805&gt;0,VLOOKUP(C805,КФСР!A267:B1779,2),IF(D805&gt;0,VLOOKUP(D805,Программа!A$1:B$5112,2),IF(F805&gt;0,VLOOKUP(F805,КВР!A$1:B$5001,2),IF(E805&gt;0,VLOOKUP(E805,Направление!A$1:B$4791,2))))))</f>
        <v>Резервные фонды местных администраций</v>
      </c>
      <c r="B805" s="116"/>
      <c r="C805" s="111"/>
      <c r="D805" s="112"/>
      <c r="E805" s="111">
        <v>12900</v>
      </c>
      <c r="F805" s="113"/>
      <c r="G805" s="276">
        <v>40000</v>
      </c>
      <c r="H805" s="338">
        <f t="shared" ref="H805:I805" si="179">H806</f>
        <v>25000</v>
      </c>
      <c r="I805" s="276">
        <f t="shared" si="179"/>
        <v>65000</v>
      </c>
    </row>
    <row r="806" spans="1:9" s="132" customFormat="1" ht="31.5" x14ac:dyDescent="0.25">
      <c r="A806" s="851" t="str">
        <f>IF(B806&gt;0,VLOOKUP(B806,КВСР!A268:B1433,2),IF(C806&gt;0,VLOOKUP(C806,КФСР!A268:B1780,2),IF(D806&gt;0,VLOOKUP(D806,Программа!A$1:B$5112,2),IF(F806&gt;0,VLOOKUP(F806,КВР!A$1:B$5001,2),IF(E806&gt;0,VLOOKUP(E806,Направление!A$1:B$4791,2))))))</f>
        <v>Социальное обеспечение и иные выплаты населению</v>
      </c>
      <c r="B806" s="116"/>
      <c r="C806" s="111"/>
      <c r="D806" s="112"/>
      <c r="E806" s="111"/>
      <c r="F806" s="113">
        <v>300</v>
      </c>
      <c r="G806" s="276">
        <v>40000</v>
      </c>
      <c r="H806" s="338">
        <v>25000</v>
      </c>
      <c r="I806" s="119">
        <f>G806+H806</f>
        <v>65000</v>
      </c>
    </row>
    <row r="807" spans="1:9" s="132" customFormat="1" ht="47.25" hidden="1" x14ac:dyDescent="0.25">
      <c r="A807" s="851" t="str">
        <f>IF(B807&gt;0,VLOOKUP(B807,КВСР!A269:B1434,2),IF(C807&gt;0,VLOOKUP(C807,КФСР!A269:B1781,2),IF(D807&gt;0,VLOOKUP(D807,Программа!A$1:B$5112,2),IF(F807&gt;0,VLOOKUP(F807,КВР!A$1:B$5001,2),IF(E807&gt;0,VLOOKUP(E807,Направление!A$1:B$4791,2))))))</f>
        <v>Резервные фонды исполнительных органов государственной власти субъектов Российской Федерации</v>
      </c>
      <c r="B807" s="116"/>
      <c r="C807" s="111"/>
      <c r="D807" s="112"/>
      <c r="E807" s="111">
        <v>80120</v>
      </c>
      <c r="F807" s="113"/>
      <c r="G807" s="276">
        <v>0</v>
      </c>
      <c r="H807" s="338">
        <f t="shared" ref="H807:I807" si="180">H808</f>
        <v>0</v>
      </c>
      <c r="I807" s="276">
        <f t="shared" si="180"/>
        <v>0</v>
      </c>
    </row>
    <row r="808" spans="1:9" s="132" customFormat="1" ht="31.5" hidden="1" x14ac:dyDescent="0.25">
      <c r="A808" s="851" t="str">
        <f>IF(B808&gt;0,VLOOKUP(B808,КВСР!A270:B1435,2),IF(C808&gt;0,VLOOKUP(C808,КФСР!A270:B1782,2),IF(D808&gt;0,VLOOKUP(D808,Программа!A$1:B$5112,2),IF(F808&gt;0,VLOOKUP(F808,КВР!A$1:B$5001,2),IF(E808&gt;0,VLOOKUP(E808,Направление!A$1:B$4791,2))))))</f>
        <v>Социальное обеспечение и иные выплаты населению</v>
      </c>
      <c r="B808" s="116"/>
      <c r="C808" s="111"/>
      <c r="D808" s="112"/>
      <c r="E808" s="111"/>
      <c r="F808" s="113">
        <v>300</v>
      </c>
      <c r="G808" s="276">
        <v>0</v>
      </c>
      <c r="H808" s="338"/>
      <c r="I808" s="119">
        <f>G808+H808</f>
        <v>0</v>
      </c>
    </row>
    <row r="809" spans="1:9" s="121" customFormat="1" x14ac:dyDescent="0.25">
      <c r="A809" s="851" t="str">
        <f>IF(B809&gt;0,VLOOKUP(B809,КВСР!A303:B1468,2),IF(C809&gt;0,VLOOKUP(C809,КФСР!A303:B1815,2),IF(D809&gt;0,VLOOKUP(D809,Программа!A$1:B$5112,2),IF(F809&gt;0,VLOOKUP(F809,КВР!A$1:B$5001,2),IF(E809&gt;0,VLOOKUP(E809,Направление!A$1:B$4791,2))))))</f>
        <v>Охрана семьи и детства</v>
      </c>
      <c r="B809" s="116"/>
      <c r="C809" s="111">
        <v>1004</v>
      </c>
      <c r="D809" s="112"/>
      <c r="E809" s="111"/>
      <c r="F809" s="113"/>
      <c r="G809" s="119">
        <v>252528958</v>
      </c>
      <c r="H809" s="338">
        <f>H810</f>
        <v>800000</v>
      </c>
      <c r="I809" s="119">
        <f t="shared" si="175"/>
        <v>253328958</v>
      </c>
    </row>
    <row r="810" spans="1:9" s="121" customFormat="1" ht="47.25" x14ac:dyDescent="0.25">
      <c r="A810" s="851" t="str">
        <f>IF(B810&gt;0,VLOOKUP(B810,КВСР!A304:B1469,2),IF(C810&gt;0,VLOOKUP(C810,КФСР!A304:B1816,2),IF(D810&gt;0,VLOOKUP(D810,Программа!A$1:B$5112,2),IF(F810&gt;0,VLOOKUP(F810,КВР!A$1:B$5001,2),IF(E810&gt;0,VLOOKUP(E810,Направление!A$1:B$4791,2))))))</f>
        <v>Муниципальная программа "Социальная поддержка населения Тутаевского муниципального района"</v>
      </c>
      <c r="B810" s="116"/>
      <c r="C810" s="111"/>
      <c r="D810" s="112" t="s">
        <v>450</v>
      </c>
      <c r="E810" s="111"/>
      <c r="F810" s="113"/>
      <c r="G810" s="119">
        <v>252528958</v>
      </c>
      <c r="H810" s="338">
        <f>H811</f>
        <v>800000</v>
      </c>
      <c r="I810" s="119">
        <f t="shared" si="175"/>
        <v>253328958</v>
      </c>
    </row>
    <row r="811" spans="1:9" s="121" customFormat="1" ht="47.25" x14ac:dyDescent="0.25">
      <c r="A811" s="851" t="str">
        <f>IF(B811&gt;0,VLOOKUP(B811,КВСР!A305:B1470,2),IF(C811&gt;0,VLOOKUP(C811,КФСР!A305:B1817,2),IF(D811&gt;0,VLOOKUP(D811,Программа!A$1:B$5112,2),IF(F811&gt;0,VLOOKUP(F811,КВР!A$1:B$5001,2),IF(E811&gt;0,VLOOKUP(E811,Направление!A$1:B$4791,2))))))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11" s="116"/>
      <c r="C811" s="111"/>
      <c r="D811" s="112" t="s">
        <v>520</v>
      </c>
      <c r="E811" s="111"/>
      <c r="F811" s="113"/>
      <c r="G811" s="276">
        <v>252528958</v>
      </c>
      <c r="H811" s="338">
        <f t="shared" ref="H811:I811" si="181">H812+H834+H837</f>
        <v>800000</v>
      </c>
      <c r="I811" s="276">
        <f t="shared" si="181"/>
        <v>253328958</v>
      </c>
    </row>
    <row r="812" spans="1:9" s="121" customFormat="1" ht="47.25" x14ac:dyDescent="0.25">
      <c r="A812" s="851" t="str">
        <f>IF(B812&gt;0,VLOOKUP(B812,КВСР!A306:B1471,2),IF(C812&gt;0,VLOOKUP(C812,КФСР!A306:B1818,2),IF(D812&gt;0,VLOOKUP(D812,Программа!A$1:B$5112,2),IF(F812&gt;0,VLOOKUP(F812,КВР!A$1:B$5001,2),IF(E812&gt;0,VLOOKUP(E812,Направление!A$1:B$4791,2))))))</f>
        <v>Исполнение публичных обязательств по предоставлению выплат, пособий и компенсаций</v>
      </c>
      <c r="B812" s="116"/>
      <c r="C812" s="111"/>
      <c r="D812" s="128" t="s">
        <v>522</v>
      </c>
      <c r="E812" s="129"/>
      <c r="F812" s="113"/>
      <c r="G812" s="276">
        <v>169015574</v>
      </c>
      <c r="H812" s="338">
        <f t="shared" ref="H812:I812" si="182">H815+H813+H821+H817+H831+H819+H829+H824+H826</f>
        <v>800000</v>
      </c>
      <c r="I812" s="276">
        <f t="shared" si="182"/>
        <v>169815574</v>
      </c>
    </row>
    <row r="813" spans="1:9" s="121" customFormat="1" hidden="1" x14ac:dyDescent="0.25">
      <c r="A813" s="851" t="str">
        <f>IF(B813&gt;0,VLOOKUP(B813,КВСР!A308:B1473,2),IF(C813&gt;0,VLOOKUP(C813,КФСР!A308:B1820,2),IF(D813&gt;0,VLOOKUP(D813,Программа!A$1:B$5112,2),IF(F813&gt;0,VLOOKUP(F813,КВР!A$1:B$5001,2),IF(E813&gt;0,VLOOKUP(E813,Направление!A$1:B$4791,2))))))</f>
        <v>Содержание центрального аппарата</v>
      </c>
      <c r="B813" s="116"/>
      <c r="C813" s="111"/>
      <c r="D813" s="128"/>
      <c r="E813" s="129">
        <v>12010</v>
      </c>
      <c r="F813" s="113"/>
      <c r="G813" s="276">
        <v>0</v>
      </c>
      <c r="H813" s="338">
        <f>H814</f>
        <v>0</v>
      </c>
      <c r="I813" s="119">
        <f t="shared" si="175"/>
        <v>0</v>
      </c>
    </row>
    <row r="814" spans="1:9" s="121" customFormat="1" ht="110.25" hidden="1" x14ac:dyDescent="0.25">
      <c r="A814" s="851" t="str">
        <f>IF(B814&gt;0,VLOOKUP(B814,КВСР!A309:B1474,2),IF(C814&gt;0,VLOOKUP(C814,КФСР!A309:B1821,2),IF(D814&gt;0,VLOOKUP(D814,Программа!A$1:B$5112,2),IF(F814&gt;0,VLOOKUP(F814,КВР!A$1:B$5001,2),IF(E814&gt;0,VLOOKUP(E814,Направление!A$1:B$4791,2))))))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4" s="116"/>
      <c r="C814" s="111"/>
      <c r="D814" s="131"/>
      <c r="E814" s="129"/>
      <c r="F814" s="113">
        <v>100</v>
      </c>
      <c r="G814" s="276">
        <v>0</v>
      </c>
      <c r="H814" s="338"/>
      <c r="I814" s="119">
        <f t="shared" si="175"/>
        <v>0</v>
      </c>
    </row>
    <row r="815" spans="1:9" s="121" customFormat="1" ht="126" x14ac:dyDescent="0.25">
      <c r="A815" s="851" t="str">
        <f>IF(B815&gt;0,VLOOKUP(B815,КВСР!A308:B1473,2),IF(C815&gt;0,VLOOKUP(C815,КФСР!A308:B1820,2),IF(D815&gt;0,VLOOKUP(D815,Программа!A$1:B$5112,2),IF(F815&gt;0,VLOOKUP(F815,КВР!A$1:B$5001,2),IF(E815&gt;0,VLOOKUP(E815,Направление!A$1:B$4791,2))))))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5" s="116"/>
      <c r="C815" s="111"/>
      <c r="D815" s="128"/>
      <c r="E815" s="129">
        <v>52700</v>
      </c>
      <c r="F815" s="113"/>
      <c r="G815" s="276">
        <v>361521</v>
      </c>
      <c r="H815" s="338">
        <f>H816</f>
        <v>0</v>
      </c>
      <c r="I815" s="119">
        <f t="shared" si="175"/>
        <v>361521</v>
      </c>
    </row>
    <row r="816" spans="1:9" s="121" customFormat="1" ht="31.5" x14ac:dyDescent="0.25">
      <c r="A816" s="851" t="str">
        <f>IF(B816&gt;0,VLOOKUP(B816,КВСР!A309:B1474,2),IF(C816&gt;0,VLOOKUP(C816,КФСР!A309:B1821,2),IF(D816&gt;0,VLOOKUP(D816,Программа!A$1:B$5112,2),IF(F816&gt;0,VLOOKUP(F816,КВР!A$1:B$5001,2),IF(E816&gt;0,VLOOKUP(E816,Направление!A$1:B$4791,2))))))</f>
        <v>Социальное обеспечение и иные выплаты населению</v>
      </c>
      <c r="B816" s="116"/>
      <c r="C816" s="111"/>
      <c r="D816" s="131"/>
      <c r="E816" s="129"/>
      <c r="F816" s="113">
        <v>300</v>
      </c>
      <c r="G816" s="276">
        <v>361521</v>
      </c>
      <c r="H816" s="338"/>
      <c r="I816" s="119">
        <f t="shared" si="175"/>
        <v>361521</v>
      </c>
    </row>
    <row r="817" spans="1:9" s="121" customFormat="1" ht="141.75" x14ac:dyDescent="0.25">
      <c r="A817" s="851" t="str">
        <f>IF(B817&gt;0,VLOOKUP(B817,КВСР!A310:B1475,2),IF(C817&gt;0,VLOOKUP(C817,КФСР!A310:B1822,2),IF(D817&gt;0,VLOOKUP(D817,Программа!A$1:B$5112,2),IF(F817&gt;0,VLOOKUP(F817,КВР!A$1:B$5001,2),IF(E817&gt;0,VLOOKUP(E817,Направление!A$1:B$4791,2))))))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7" s="116"/>
      <c r="C817" s="111"/>
      <c r="D817" s="131"/>
      <c r="E817" s="129">
        <v>53800</v>
      </c>
      <c r="F817" s="113"/>
      <c r="G817" s="276">
        <v>22331314</v>
      </c>
      <c r="H817" s="338">
        <f>H818</f>
        <v>0</v>
      </c>
      <c r="I817" s="119">
        <f t="shared" si="175"/>
        <v>22331314</v>
      </c>
    </row>
    <row r="818" spans="1:9" s="121" customFormat="1" ht="31.5" x14ac:dyDescent="0.25">
      <c r="A818" s="851" t="str">
        <f>IF(B818&gt;0,VLOOKUP(B818,КВСР!A311:B1476,2),IF(C818&gt;0,VLOOKUP(C818,КФСР!A311:B1823,2),IF(D818&gt;0,VLOOKUP(D818,Программа!A$1:B$5112,2),IF(F818&gt;0,VLOOKUP(F818,КВР!A$1:B$5001,2),IF(E818&gt;0,VLOOKUP(E818,Направление!A$1:B$4791,2))))))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22331314</v>
      </c>
      <c r="H818" s="338"/>
      <c r="I818" s="119">
        <f t="shared" si="175"/>
        <v>22331314</v>
      </c>
    </row>
    <row r="819" spans="1:9" s="121" customFormat="1" ht="78.75" hidden="1" x14ac:dyDescent="0.25">
      <c r="A819" s="851" t="str">
        <f>IF(B819&gt;0,VLOOKUP(B819,КВСР!A312:B1477,2),IF(C819&gt;0,VLOOKUP(C819,КФСР!A312:B1824,2),IF(D819&gt;0,VLOOKUP(D819,Программа!A$1:B$5112,2),IF(F819&gt;0,VLOOKUP(F819,КВР!A$1:B$5001,2),IF(E819&gt;0,VLOOKUP(E819,Направление!A$1:B$4791,2))))))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9" s="116"/>
      <c r="C819" s="111"/>
      <c r="D819" s="131"/>
      <c r="E819" s="111" t="s">
        <v>1809</v>
      </c>
      <c r="F819" s="113"/>
      <c r="G819" s="276">
        <v>0</v>
      </c>
      <c r="H819" s="338">
        <f>H820</f>
        <v>0</v>
      </c>
      <c r="I819" s="119">
        <f t="shared" si="175"/>
        <v>0</v>
      </c>
    </row>
    <row r="820" spans="1:9" s="121" customFormat="1" ht="31.5" hidden="1" x14ac:dyDescent="0.25">
      <c r="A820" s="851" t="str">
        <f>IF(B820&gt;0,VLOOKUP(B820,КВСР!A313:B1478,2),IF(C820&gt;0,VLOOKUP(C820,КФСР!A313:B1825,2),IF(D820&gt;0,VLOOKUP(D820,Программа!A$1:B$5112,2),IF(F820&gt;0,VLOOKUP(F820,КВР!A$1:B$5001,2),IF(E820&gt;0,VLOOKUP(E820,Направление!A$1:B$4791,2))))))</f>
        <v>Социальное обеспечение и иные выплаты населению</v>
      </c>
      <c r="B820" s="116"/>
      <c r="C820" s="111"/>
      <c r="D820" s="131"/>
      <c r="E820" s="129"/>
      <c r="F820" s="113">
        <v>300</v>
      </c>
      <c r="G820" s="276">
        <v>0</v>
      </c>
      <c r="H820" s="338"/>
      <c r="I820" s="119">
        <f t="shared" si="175"/>
        <v>0</v>
      </c>
    </row>
    <row r="821" spans="1:9" s="121" customFormat="1" ht="63" hidden="1" x14ac:dyDescent="0.25">
      <c r="A821" s="851" t="str">
        <f>IF(B821&gt;0,VLOOKUP(B821,КВСР!A310:B1475,2),IF(C821&gt;0,VLOOKUP(C821,КФСР!A310:B1822,2),IF(D821&gt;0,VLOOKUP(D821,Программа!A$1:B$5112,2),IF(F821&gt;0,VLOOKUP(F821,КВР!A$1:B$5001,2),IF(E821&gt;0,VLOOKUP(E821,Направление!A$1:B$4791,2))))))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21" s="116"/>
      <c r="C821" s="111"/>
      <c r="D821" s="128"/>
      <c r="E821" s="129">
        <v>55730</v>
      </c>
      <c r="F821" s="113"/>
      <c r="G821" s="276">
        <v>0</v>
      </c>
      <c r="H821" s="338">
        <f>H822+H823</f>
        <v>0</v>
      </c>
      <c r="I821" s="119">
        <f t="shared" si="175"/>
        <v>0</v>
      </c>
    </row>
    <row r="822" spans="1:9" s="121" customFormat="1" ht="63" hidden="1" x14ac:dyDescent="0.25">
      <c r="A822" s="851" t="str">
        <f>IF(B822&gt;0,VLOOKUP(B822,КВСР!A311:B1476,2),IF(C822&gt;0,VLOOKUP(C822,КФСР!A311:B1823,2),IF(D822&gt;0,VLOOKUP(D822,Программа!A$1:B$5112,2),IF(F822&gt;0,VLOOKUP(F822,КВР!A$1:B$5001,2),IF(E822&gt;0,VLOOKUP(E822,Направление!A$1:B$4791,2))))))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0</v>
      </c>
      <c r="H822" s="338"/>
      <c r="I822" s="119">
        <f t="shared" si="175"/>
        <v>0</v>
      </c>
    </row>
    <row r="823" spans="1:9" s="121" customFormat="1" ht="31.5" hidden="1" x14ac:dyDescent="0.25">
      <c r="A823" s="851" t="str">
        <f>IF(B823&gt;0,VLOOKUP(B823,КВСР!A312:B1477,2),IF(C823&gt;0,VLOOKUP(C823,КФСР!A312:B1824,2),IF(D823&gt;0,VLOOKUP(D823,Программа!A$1:B$5112,2),IF(F823&gt;0,VLOOKUP(F823,КВР!A$1:B$5001,2),IF(E823&gt;0,VLOOKUP(E823,Направление!A$1:B$4791,2))))))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0</v>
      </c>
      <c r="H823" s="338"/>
      <c r="I823" s="119">
        <f t="shared" si="175"/>
        <v>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4" s="116"/>
      <c r="C824" s="111"/>
      <c r="D824" s="131"/>
      <c r="E824" s="129">
        <v>70870</v>
      </c>
      <c r="F824" s="113"/>
      <c r="G824" s="276">
        <v>2400</v>
      </c>
      <c r="H824" s="338">
        <f t="shared" ref="H824:I824" si="183">H825</f>
        <v>0</v>
      </c>
      <c r="I824" s="276">
        <f t="shared" si="183"/>
        <v>2400</v>
      </c>
    </row>
    <row r="825" spans="1:9" s="121" customFormat="1" ht="110.25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5" s="116"/>
      <c r="C825" s="111"/>
      <c r="D825" s="131"/>
      <c r="E825" s="129"/>
      <c r="F825" s="113">
        <v>100</v>
      </c>
      <c r="G825" s="276">
        <v>2400</v>
      </c>
      <c r="H825" s="338"/>
      <c r="I825" s="119">
        <f>G825+H825</f>
        <v>2400</v>
      </c>
    </row>
    <row r="826" spans="1:9" s="121" customFormat="1" ht="47.25" x14ac:dyDescent="0.25">
      <c r="A826" s="851" t="str">
        <f>IF(B826&gt;0,VLOOKUP(B826,КВСР!A315:B1480,2),IF(C826&gt;0,VLOOKUP(C826,КФСР!A315:B1827,2),IF(D826&gt;0,VLOOKUP(D826,Программа!A$1:B$5112,2),IF(F826&gt;0,VLOOKUP(F826,КВР!A$1:B$5001,2),IF(E826&gt;0,VLOOKUP(E826,Направление!A$1:B$4791,2))))))</f>
        <v>Расходы на социальную поддержку отдельных категорий граждан в части ежемесячного пособия на ребенка</v>
      </c>
      <c r="B826" s="116"/>
      <c r="C826" s="111"/>
      <c r="D826" s="131"/>
      <c r="E826" s="129">
        <v>73040</v>
      </c>
      <c r="F826" s="113"/>
      <c r="G826" s="276">
        <v>29000000</v>
      </c>
      <c r="H826" s="338">
        <f t="shared" ref="H826:I826" si="184">H827+H828</f>
        <v>0</v>
      </c>
      <c r="I826" s="276">
        <f t="shared" si="184"/>
        <v>29000000</v>
      </c>
    </row>
    <row r="827" spans="1:9" s="121" customFormat="1" ht="63" x14ac:dyDescent="0.25">
      <c r="A827" s="851" t="str">
        <f>IF(B827&gt;0,VLOOKUP(B827,КВСР!A316:B1481,2),IF(C827&gt;0,VLOOKUP(C827,КФСР!A316:B1828,2),IF(D827&gt;0,VLOOKUP(D827,Программа!A$1:B$5112,2),IF(F827&gt;0,VLOOKUP(F827,КВР!A$1:B$5001,2),IF(E827&gt;0,VLOOKUP(E827,Направление!A$1:B$4791,2))))))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2850</v>
      </c>
      <c r="H827" s="338"/>
      <c r="I827" s="119">
        <f>G827+H827</f>
        <v>2850</v>
      </c>
    </row>
    <row r="828" spans="1:9" s="121" customFormat="1" ht="31.5" x14ac:dyDescent="0.25">
      <c r="A828" s="851" t="str">
        <f>IF(B828&gt;0,VLOOKUP(B828,КВСР!A317:B1482,2),IF(C828&gt;0,VLOOKUP(C828,КФСР!A317:B1829,2),IF(D828&gt;0,VLOOKUP(D828,Программа!A$1:B$5112,2),IF(F828&gt;0,VLOOKUP(F828,КВР!A$1:B$5001,2),IF(E828&gt;0,VLOOKUP(E828,Направление!A$1:B$4791,2))))))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28997150</v>
      </c>
      <c r="H828" s="338"/>
      <c r="I828" s="119">
        <f>G828+H828</f>
        <v>28997150</v>
      </c>
    </row>
    <row r="829" spans="1:9" s="121" customFormat="1" ht="63" x14ac:dyDescent="0.25">
      <c r="A829" s="851" t="str">
        <f>IF(B829&gt;0,VLOOKUP(B829,КВСР!A313:B1478,2),IF(C829&gt;0,VLOOKUP(C829,КФСР!A313:B1825,2),IF(D829&gt;0,VLOOKUP(D829,Программа!A$1:B$5112,2),IF(F829&gt;0,VLOOKUP(F829,КВР!A$1:B$5001,2),IF(E829&gt;0,VLOOKUP(E829,Направление!A$1:B$4791,2))))))</f>
        <v>Ежемесячная выплата на детей в возрасте от трех до семи лет включительно в части расходов по доставке</v>
      </c>
      <c r="B829" s="116"/>
      <c r="C829" s="111"/>
      <c r="D829" s="131"/>
      <c r="E829" s="129">
        <v>75510</v>
      </c>
      <c r="F829" s="113"/>
      <c r="G829" s="276">
        <v>902639</v>
      </c>
      <c r="H829" s="338">
        <f t="shared" ref="H829:I829" si="185">H830</f>
        <v>800000</v>
      </c>
      <c r="I829" s="288">
        <f t="shared" si="185"/>
        <v>1702639</v>
      </c>
    </row>
    <row r="830" spans="1:9" s="121" customFormat="1" ht="63" x14ac:dyDescent="0.25">
      <c r="A830" s="851" t="str">
        <f>IF(B830&gt;0,VLOOKUP(B830,КВСР!A314:B1479,2),IF(C830&gt;0,VLOOKUP(C830,КФСР!A314:B1826,2),IF(D830&gt;0,VLOOKUP(D830,Программа!A$1:B$5112,2),IF(F830&gt;0,VLOOKUP(F830,КВР!A$1:B$5001,2),IF(E830&gt;0,VLOOKUP(E830,Направление!A$1:B$4791,2))))))</f>
        <v xml:space="preserve">Закупка товаров, работ и услуг для обеспечения государственных (муниципальных) нужд
</v>
      </c>
      <c r="B830" s="116"/>
      <c r="C830" s="111"/>
      <c r="D830" s="131"/>
      <c r="E830" s="129"/>
      <c r="F830" s="113">
        <v>200</v>
      </c>
      <c r="G830" s="276">
        <v>902639</v>
      </c>
      <c r="H830" s="338">
        <v>800000</v>
      </c>
      <c r="I830" s="119">
        <f>G830+H830</f>
        <v>1702639</v>
      </c>
    </row>
    <row r="831" spans="1:9" s="121" customFormat="1" ht="31.5" x14ac:dyDescent="0.25">
      <c r="A831" s="851" t="str">
        <f>IF(B831&gt;0,VLOOKUP(B831,КВСР!A313:B1478,2),IF(C831&gt;0,VLOOKUP(C831,КФСР!A313:B1825,2),IF(D831&gt;0,VLOOKUP(D831,Программа!A$1:B$5112,2),IF(F831&gt;0,VLOOKUP(F831,КВР!A$1:B$5001,2),IF(E831&gt;0,VLOOKUP(E831,Направление!A$1:B$4791,2))))))</f>
        <v>Ежемесячная выплата на детей в возрасте от 3 до 7 лет включительно</v>
      </c>
      <c r="B831" s="116"/>
      <c r="C831" s="111"/>
      <c r="D831" s="113"/>
      <c r="E831" s="111" t="s">
        <v>1790</v>
      </c>
      <c r="F831" s="113"/>
      <c r="G831" s="276">
        <v>116417700</v>
      </c>
      <c r="H831" s="338">
        <f>H832+H833</f>
        <v>0</v>
      </c>
      <c r="I831" s="119">
        <f t="shared" si="175"/>
        <v>116417700</v>
      </c>
    </row>
    <row r="832" spans="1:9" s="121" customFormat="1" ht="63" hidden="1" x14ac:dyDescent="0.25">
      <c r="A832" s="851" t="str">
        <f>IF(B832&gt;0,VLOOKUP(B832,КВСР!A314:B1479,2),IF(C832&gt;0,VLOOKUP(C832,КФСР!A314:B1826,2),IF(D832&gt;0,VLOOKUP(D832,Программа!A$1:B$5112,2),IF(F832&gt;0,VLOOKUP(F832,КВР!A$1:B$5001,2),IF(E832&gt;0,VLOOKUP(E832,Направление!A$1:B$4791,2))))))</f>
        <v xml:space="preserve">Закупка товаров, работ и услуг для обеспечения государственных (муниципальных) нужд
</v>
      </c>
      <c r="B832" s="116"/>
      <c r="C832" s="111"/>
      <c r="D832" s="131"/>
      <c r="E832" s="129"/>
      <c r="F832" s="113">
        <v>200</v>
      </c>
      <c r="G832" s="276">
        <v>0</v>
      </c>
      <c r="H832" s="338"/>
      <c r="I832" s="119">
        <f t="shared" si="175"/>
        <v>0</v>
      </c>
    </row>
    <row r="833" spans="1:9" s="121" customFormat="1" ht="31.5" x14ac:dyDescent="0.25">
      <c r="A833" s="851" t="str">
        <f>IF(B833&gt;0,VLOOKUP(B833,КВСР!A315:B1480,2),IF(C833&gt;0,VLOOKUP(C833,КФСР!A315:B1827,2),IF(D833&gt;0,VLOOKUP(D833,Программа!A$1:B$5112,2),IF(F833&gt;0,VLOOKUP(F833,КВР!A$1:B$5001,2),IF(E833&gt;0,VLOOKUP(E833,Направление!A$1:B$4791,2))))))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31"/>
      <c r="E833" s="129"/>
      <c r="F833" s="113">
        <v>300</v>
      </c>
      <c r="G833" s="276">
        <v>116417700</v>
      </c>
      <c r="H833" s="338"/>
      <c r="I833" s="119">
        <f t="shared" si="175"/>
        <v>116417700</v>
      </c>
    </row>
    <row r="834" spans="1:9" s="121" customFormat="1" ht="63" hidden="1" x14ac:dyDescent="0.25">
      <c r="A834" s="851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34" s="116"/>
      <c r="C834" s="111"/>
      <c r="D834" s="128" t="s">
        <v>540</v>
      </c>
      <c r="E834" s="129"/>
      <c r="F834" s="113"/>
      <c r="G834" s="294">
        <v>0</v>
      </c>
      <c r="H834" s="283">
        <f t="shared" ref="H834:I834" si="186">H835</f>
        <v>0</v>
      </c>
      <c r="I834" s="294">
        <f t="shared" si="186"/>
        <v>0</v>
      </c>
    </row>
    <row r="835" spans="1:9" s="121" customFormat="1" ht="31.5" hidden="1" x14ac:dyDescent="0.25">
      <c r="A835" s="851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IF(B835&gt;0,VLOOKUP(B835,КВСР!A309:B1474,2),IF(C835&gt;0,VLOOKUP(C835,КФСР!A309:B1821,2),IF(D835&gt;0,VLOOKUP(D835,Программа!A$1:B$5112,2),IF(F835&gt;0,VLOOKUP(F835,КВР!A$1:B$5001,2),IF(E835&gt;0,VLOOKUP(E835,Направление!A$1:B$4791,2))))))</f>
        <v>Оказание адресной материальной помощи</v>
      </c>
      <c r="B835" s="116"/>
      <c r="C835" s="111"/>
      <c r="D835" s="128"/>
      <c r="E835" s="129">
        <v>16220</v>
      </c>
      <c r="F835" s="113"/>
      <c r="G835" s="294">
        <v>0</v>
      </c>
      <c r="H835" s="283">
        <f>H836</f>
        <v>0</v>
      </c>
      <c r="I835" s="119">
        <f t="shared" si="175"/>
        <v>0</v>
      </c>
    </row>
    <row r="836" spans="1:9" s="121" customFormat="1" ht="31.5" hidden="1" x14ac:dyDescent="0.25">
      <c r="A836" s="851" t="str">
        <f>IF(B836&gt;0,VLOOKUP(B836,КВСР!A310:B1475,2),IF(C836&gt;0,VLOOKUP(C836,КФСР!A310:B1822,2),IF(D836&gt;0,VLOOKUP(D836,Программа!A$1:B$5112,2),IF(F836&gt;0,VLOOKUP(F836,КВР!A$1:B$5001,2),IF(E836&gt;0,VLOOKUP(E836,Направление!A$1:B$4791,2))))))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31"/>
      <c r="E836" s="129"/>
      <c r="F836" s="113">
        <v>300</v>
      </c>
      <c r="G836" s="294">
        <v>0</v>
      </c>
      <c r="H836" s="283"/>
      <c r="I836" s="119">
        <f t="shared" si="175"/>
        <v>0</v>
      </c>
    </row>
    <row r="837" spans="1:9" s="121" customFormat="1" ht="31.5" x14ac:dyDescent="0.25">
      <c r="A837" s="851" t="str">
        <f>IF(B837&gt;0,VLOOKUP(B837,КВСР!A311:B1476,2),IF(C837&gt;0,VLOOKUP(C837,КФСР!A311:B1823,2),IF(D837&gt;0,VLOOKUP(D837,Программа!A$1:B$5112,2),IF(F837&gt;0,VLOOKUP(F837,КВР!A$1:B$5001,2),IF(E837&gt;0,VLOOKUP(E837,Направление!A$1:B$4791,2))))))</f>
        <v>Федеральный проект "Финансовая поддержка при рождении детей"</v>
      </c>
      <c r="B837" s="116"/>
      <c r="C837" s="111"/>
      <c r="D837" s="113" t="s">
        <v>1522</v>
      </c>
      <c r="E837" s="129"/>
      <c r="F837" s="113"/>
      <c r="G837" s="294">
        <v>83513384</v>
      </c>
      <c r="H837" s="283">
        <f>H838+H840+H842</f>
        <v>0</v>
      </c>
      <c r="I837" s="294">
        <f>I838+I840+I842</f>
        <v>83513384</v>
      </c>
    </row>
    <row r="838" spans="1:9" s="121" customFormat="1" ht="63" x14ac:dyDescent="0.25">
      <c r="A838" s="851" t="str">
        <f>IF(B838&gt;0,VLOOKUP(B838,КВСР!A312:B1477,2),IF(C838&gt;0,VLOOKUP(C838,КФСР!A312:B1824,2),IF(D838&gt;0,VLOOKUP(D838,Программа!A$1:B$5112,2),IF(F838&gt;0,VLOOKUP(F838,КВР!A$1:B$5001,2),IF(E838&gt;0,VLOOKUP(E838,Направление!A$1:B$4791,2))))))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8" s="116"/>
      <c r="C838" s="111"/>
      <c r="D838" s="113"/>
      <c r="E838" s="111">
        <v>50840</v>
      </c>
      <c r="F838" s="113"/>
      <c r="G838" s="294">
        <v>42477084</v>
      </c>
      <c r="H838" s="283">
        <f>H839</f>
        <v>0</v>
      </c>
      <c r="I838" s="119">
        <f t="shared" si="175"/>
        <v>42477084</v>
      </c>
    </row>
    <row r="839" spans="1:9" s="121" customFormat="1" ht="31.5" x14ac:dyDescent="0.25">
      <c r="A839" s="851" t="str">
        <f>IF(B839&gt;0,VLOOKUP(B839,КВСР!A312:B1477,2),IF(C839&gt;0,VLOOKUP(C839,КФСР!A312:B1824,2),IF(D839&gt;0,VLOOKUP(D839,Программа!A$1:B$5112,2),IF(F839&gt;0,VLOOKUP(F839,КВР!A$1:B$5001,2),IF(E839&gt;0,VLOOKUP(E839,Направление!A$1:B$4791,2))))))</f>
        <v>Социальное обеспечение и иные выплаты населению</v>
      </c>
      <c r="B839" s="116"/>
      <c r="C839" s="111"/>
      <c r="D839" s="113"/>
      <c r="E839" s="111"/>
      <c r="F839" s="113">
        <v>300</v>
      </c>
      <c r="G839" s="294">
        <v>42477084</v>
      </c>
      <c r="H839" s="283"/>
      <c r="I839" s="119">
        <f t="shared" si="175"/>
        <v>42477084</v>
      </c>
    </row>
    <row r="840" spans="1:9" s="121" customFormat="1" ht="63" x14ac:dyDescent="0.25">
      <c r="A840" s="851" t="str">
        <f>IF(B840&gt;0,VLOOKUP(B840,КВСР!A313:B1478,2),IF(C840&gt;0,VLOOKUP(C840,КФСР!A313:B1825,2),IF(D840&gt;0,VLOOKUP(D840,Программа!A$1:B$5112,2),IF(F840&gt;0,VLOOKUP(F840,КВР!A$1:B$5001,2),IF(E840&gt;0,VLOOKUP(E840,Направление!A$1:B$4791,2))))))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40" s="116"/>
      <c r="C840" s="111"/>
      <c r="D840" s="113"/>
      <c r="E840" s="111">
        <v>55730</v>
      </c>
      <c r="F840" s="113"/>
      <c r="G840" s="294">
        <v>40436400</v>
      </c>
      <c r="H840" s="283">
        <f t="shared" ref="H840:I840" si="187">H841</f>
        <v>0</v>
      </c>
      <c r="I840" s="294">
        <f t="shared" si="187"/>
        <v>40436400</v>
      </c>
    </row>
    <row r="841" spans="1:9" s="121" customFormat="1" ht="31.5" x14ac:dyDescent="0.25">
      <c r="A841" s="851" t="str">
        <f>IF(B841&gt;0,VLOOKUP(B841,КВСР!A314:B1479,2),IF(C841&gt;0,VLOOKUP(C841,КФСР!A314:B1826,2),IF(D841&gt;0,VLOOKUP(D841,Программа!A$1:B$5112,2),IF(F841&gt;0,VLOOKUP(F841,КВР!A$1:B$5001,2),IF(E841&gt;0,VLOOKUP(E841,Направление!A$1:B$4791,2))))))</f>
        <v>Социальное обеспечение и иные выплаты населению</v>
      </c>
      <c r="B841" s="116"/>
      <c r="C841" s="111"/>
      <c r="D841" s="113"/>
      <c r="E841" s="111"/>
      <c r="F841" s="113">
        <v>300</v>
      </c>
      <c r="G841" s="294">
        <v>40436400</v>
      </c>
      <c r="H841" s="283"/>
      <c r="I841" s="119">
        <f>G841+H841</f>
        <v>40436400</v>
      </c>
    </row>
    <row r="842" spans="1:9" s="121" customFormat="1" ht="94.5" x14ac:dyDescent="0.25">
      <c r="A842" s="851" t="str">
        <f>IF(B842&gt;0,VLOOKUP(B842,КВСР!A315:B1480,2),IF(C842&gt;0,VLOOKUP(C842,КФСР!A315:B1827,2),IF(D842&gt;0,VLOOKUP(D842,Программа!A$1:B$5112,2),IF(F842&gt;0,VLOOKUP(F842,КВР!A$1:B$5001,2),IF(E842&gt;0,VLOOKUP(E842,Направление!A$1:B$4791,2))))))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42" s="116"/>
      <c r="C842" s="111"/>
      <c r="D842" s="113"/>
      <c r="E842" s="111">
        <v>75480</v>
      </c>
      <c r="F842" s="113"/>
      <c r="G842" s="294">
        <v>599900</v>
      </c>
      <c r="H842" s="283">
        <f t="shared" ref="H842:I842" si="188">H843</f>
        <v>0</v>
      </c>
      <c r="I842" s="294">
        <f t="shared" si="188"/>
        <v>599900</v>
      </c>
    </row>
    <row r="843" spans="1:9" s="121" customFormat="1" ht="63" x14ac:dyDescent="0.25">
      <c r="A843" s="851" t="str">
        <f>IF(B843&gt;0,VLOOKUP(B843,КВСР!A316:B1481,2),IF(C843&gt;0,VLOOKUP(C843,КФСР!A316:B1828,2),IF(D843&gt;0,VLOOKUP(D843,Программа!A$1:B$5112,2),IF(F843&gt;0,VLOOKUP(F843,КВР!A$1:B$5001,2),IF(E843&gt;0,VLOOKUP(E843,Направление!A$1:B$4791,2))))))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13"/>
      <c r="E843" s="111"/>
      <c r="F843" s="113">
        <v>200</v>
      </c>
      <c r="G843" s="294">
        <v>599900</v>
      </c>
      <c r="H843" s="283"/>
      <c r="I843" s="119">
        <f>G843+H843</f>
        <v>599900</v>
      </c>
    </row>
    <row r="844" spans="1:9" s="121" customFormat="1" ht="31.5" x14ac:dyDescent="0.25">
      <c r="A844" s="851" t="str">
        <f>IF(B844&gt;0,VLOOKUP(B844,КВСР!A308:B1473,2),IF(C844&gt;0,VLOOKUP(C844,КФСР!A308:B1820,2),IF(D844&gt;0,VLOOKUP(D844,Программа!A$1:B$5112,2),IF(F844&gt;0,VLOOKUP(F844,КВР!A$1:B$5001,2),IF(E844&gt;0,VLOOKUP(E844,Направление!A$1:B$4791,2))))))</f>
        <v>Другие вопросы в области социальной политики</v>
      </c>
      <c r="B844" s="116"/>
      <c r="C844" s="111">
        <v>1006</v>
      </c>
      <c r="D844" s="112"/>
      <c r="E844" s="111"/>
      <c r="F844" s="113"/>
      <c r="G844" s="276">
        <v>16625436</v>
      </c>
      <c r="H844" s="338">
        <f>H845+H860+H864</f>
        <v>238696</v>
      </c>
      <c r="I844" s="276">
        <f>I845+I860+I864</f>
        <v>16864132</v>
      </c>
    </row>
    <row r="845" spans="1:9" s="121" customFormat="1" ht="47.25" x14ac:dyDescent="0.25">
      <c r="A845" s="851" t="str">
        <f>IF(B845&gt;0,VLOOKUP(B845,КВСР!A309:B1474,2),IF(C845&gt;0,VLOOKUP(C845,КФСР!A309:B1821,2),IF(D845&gt;0,VLOOKUP(D845,Программа!A$1:B$5112,2),IF(F845&gt;0,VLOOKUP(F845,КВР!A$1:B$5001,2),IF(E845&gt;0,VLOOKUP(E845,Направление!A$1:B$4791,2))))))</f>
        <v>Муниципальная программа "Социальная поддержка населения Тутаевского муниципального района"</v>
      </c>
      <c r="B845" s="116"/>
      <c r="C845" s="111"/>
      <c r="D845" s="112" t="s">
        <v>450</v>
      </c>
      <c r="E845" s="111"/>
      <c r="F845" s="113"/>
      <c r="G845" s="276">
        <v>16589490</v>
      </c>
      <c r="H845" s="338">
        <f>H846</f>
        <v>238696</v>
      </c>
      <c r="I845" s="119">
        <f t="shared" si="175"/>
        <v>16828186</v>
      </c>
    </row>
    <row r="846" spans="1:9" s="121" customFormat="1" ht="47.25" x14ac:dyDescent="0.25">
      <c r="A846" s="851" t="str">
        <f>IF(B846&gt;0,VLOOKUP(B846,КВСР!A310:B1475,2),IF(C846&gt;0,VLOOKUP(C846,КФСР!A310:B1822,2),IF(D846&gt;0,VLOOKUP(D846,Программа!A$1:B$5112,2),IF(F846&gt;0,VLOOKUP(F846,КВР!A$1:B$5001,2),IF(E846&gt;0,VLOOKUP(E846,Направление!A$1:B$4791,2))))))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6" s="116"/>
      <c r="C846" s="111"/>
      <c r="D846" s="112" t="s">
        <v>520</v>
      </c>
      <c r="E846" s="111"/>
      <c r="F846" s="113"/>
      <c r="G846" s="276">
        <v>16589490</v>
      </c>
      <c r="H846" s="338">
        <f>H847+H857</f>
        <v>238696</v>
      </c>
      <c r="I846" s="119">
        <f t="shared" si="175"/>
        <v>16828186</v>
      </c>
    </row>
    <row r="847" spans="1:9" s="121" customFormat="1" ht="47.25" x14ac:dyDescent="0.25">
      <c r="A847" s="851" t="str">
        <f>IF(B847&gt;0,VLOOKUP(B847,КВСР!A311:B1476,2),IF(C847&gt;0,VLOOKUP(C847,КФСР!A311:B1823,2),IF(D847&gt;0,VLOOKUP(D847,Программа!A$1:B$5112,2),IF(F847&gt;0,VLOOKUP(F847,КВР!A$1:B$5001,2),IF(E847&gt;0,VLOOKUP(E847,Направление!A$1:B$4791,2))))))</f>
        <v>Исполнение публичных обязательств по предоставлению выплат, пособий и компенсаций</v>
      </c>
      <c r="B847" s="116"/>
      <c r="C847" s="111"/>
      <c r="D847" s="112" t="s">
        <v>522</v>
      </c>
      <c r="E847" s="111"/>
      <c r="F847" s="113"/>
      <c r="G847" s="276">
        <v>15133490</v>
      </c>
      <c r="H847" s="338">
        <f>H848+H853+H851</f>
        <v>238696</v>
      </c>
      <c r="I847" s="119">
        <f t="shared" si="175"/>
        <v>15372186</v>
      </c>
    </row>
    <row r="848" spans="1:9" s="121" customFormat="1" x14ac:dyDescent="0.25">
      <c r="A848" s="851" t="str">
        <f>IF(B848&gt;0,VLOOKUP(B848,КВСР!A312:B1477,2),IF(C848&gt;0,VLOOKUP(C848,КФСР!A312:B1824,2),IF(D848&gt;0,VLOOKUP(D848,Программа!A$1:B$5112,2),IF(F848&gt;0,VLOOKUP(F848,КВР!A$1:B$5001,2),IF(E848&gt;0,VLOOKUP(E848,Направление!A$1:B$4791,2))))))</f>
        <v>Содержание центрального аппарата</v>
      </c>
      <c r="B848" s="116"/>
      <c r="C848" s="111"/>
      <c r="D848" s="112"/>
      <c r="E848" s="111">
        <v>12010</v>
      </c>
      <c r="F848" s="113"/>
      <c r="G848" s="276">
        <v>521370</v>
      </c>
      <c r="H848" s="338">
        <f>H849+H850</f>
        <v>0</v>
      </c>
      <c r="I848" s="119">
        <f t="shared" si="175"/>
        <v>521370</v>
      </c>
    </row>
    <row r="849" spans="1:9" s="121" customFormat="1" ht="110.25" x14ac:dyDescent="0.25">
      <c r="A849" s="851" t="str">
        <f>IF(B849&gt;0,VLOOKUP(B849,КВСР!A312:B1477,2),IF(C849&gt;0,VLOOKUP(C849,КФСР!A312:B1824,2),IF(D849&gt;0,VLOOKUP(D849,Программа!A$1:B$5112,2),IF(F849&gt;0,VLOOKUP(F849,КВР!A$1:B$5001,2),IF(E849&gt;0,VLOOKUP(E849,Направление!A$1:B$4791,2))))))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521370</v>
      </c>
      <c r="H849" s="338"/>
      <c r="I849" s="119">
        <f t="shared" si="175"/>
        <v>521370</v>
      </c>
    </row>
    <row r="850" spans="1:9" s="121" customFormat="1" ht="63" hidden="1" x14ac:dyDescent="0.25">
      <c r="A850" s="851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0</v>
      </c>
      <c r="H850" s="338"/>
      <c r="I850" s="119">
        <f t="shared" si="175"/>
        <v>0</v>
      </c>
    </row>
    <row r="851" spans="1:9" s="121" customFormat="1" ht="31.5" x14ac:dyDescent="0.25">
      <c r="A851" s="851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IF(B851&gt;0,VLOOKUP(B851,КВСР!A314:B1479,2),IF(C851&gt;0,VLOOKUP(C851,КФСР!A314:B1826,2),IF(D851&gt;0,VLOOKUP(D851,Программа!A$1:B$5112,2),IF(F851&gt;0,VLOOKUP(F851,КВР!A$1:B$5001,2),IF(E851&gt;0,VLOOKUP(E851,Направление!A$1:B$4791,2))))))</f>
        <v>Выполнение других обязательств органов местного самоуправления</v>
      </c>
      <c r="B851" s="116"/>
      <c r="C851" s="111"/>
      <c r="D851" s="113"/>
      <c r="E851" s="111">
        <v>12080</v>
      </c>
      <c r="F851" s="113"/>
      <c r="G851" s="276">
        <v>0</v>
      </c>
      <c r="H851" s="338">
        <f>H852</f>
        <v>238696</v>
      </c>
      <c r="I851" s="119">
        <f t="shared" si="175"/>
        <v>238696</v>
      </c>
    </row>
    <row r="852" spans="1:9" s="121" customFormat="1" ht="63" x14ac:dyDescent="0.25">
      <c r="A852" s="851" t="str">
        <f>IF(B852&gt;0,VLOOKUP(B852,КВСР!A315:B1480,2),IF(C852&gt;0,VLOOKUP(C852,КФСР!A315:B1827,2),IF(D852&gt;0,VLOOKUP(D852,Программа!A$1:B$5112,2),IF(F852&gt;0,VLOOKUP(F852,КВР!A$1:B$5001,2),IF(E852&gt;0,VLOOKUP(E852,Направление!A$1:B$4791,2))))))</f>
        <v xml:space="preserve">Закупка товаров, работ и услуг для обеспечения государственных (муниципальных) нужд
</v>
      </c>
      <c r="B852" s="116"/>
      <c r="C852" s="111"/>
      <c r="D852" s="113"/>
      <c r="E852" s="111"/>
      <c r="F852" s="113">
        <v>200</v>
      </c>
      <c r="G852" s="276">
        <v>0</v>
      </c>
      <c r="H852" s="338">
        <v>238696</v>
      </c>
      <c r="I852" s="119">
        <f t="shared" si="175"/>
        <v>238696</v>
      </c>
    </row>
    <row r="853" spans="1:9" s="121" customFormat="1" ht="63" x14ac:dyDescent="0.25">
      <c r="A853" s="851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14612120</v>
      </c>
      <c r="H853" s="338">
        <f>H854+H855+H856</f>
        <v>0</v>
      </c>
      <c r="I853" s="119">
        <f t="shared" si="175"/>
        <v>14612120</v>
      </c>
    </row>
    <row r="854" spans="1:9" s="121" customFormat="1" ht="110.25" x14ac:dyDescent="0.25">
      <c r="A854" s="851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4" s="116"/>
      <c r="C854" s="111"/>
      <c r="D854" s="113"/>
      <c r="E854" s="111"/>
      <c r="F854" s="113">
        <v>100</v>
      </c>
      <c r="G854" s="276">
        <v>12790120</v>
      </c>
      <c r="H854" s="338"/>
      <c r="I854" s="119">
        <f t="shared" si="175"/>
        <v>12790120</v>
      </c>
    </row>
    <row r="855" spans="1:9" s="121" customFormat="1" ht="63" x14ac:dyDescent="0.25">
      <c r="A855" s="851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IF(B855&gt;0,VLOOKUP(B855,КВСР!A316:B1481,2),IF(C855&gt;0,VLOOKUP(C855,КФСР!A316:B1828,2),IF(D855&gt;0,VLOOKUP(D855,Программа!A$1:B$5112,2),IF(F855&gt;0,VLOOKUP(F855,КВР!A$1:B$5001,2),IF(E855&gt;0,VLOOKUP(E855,Направление!A$1:B$4791,2))))))</f>
        <v xml:space="preserve">Закупка товаров, работ и услуг для обеспечения государственных (муниципальных) нужд
</v>
      </c>
      <c r="B855" s="116"/>
      <c r="C855" s="111"/>
      <c r="D855" s="113"/>
      <c r="E855" s="111"/>
      <c r="F855" s="113">
        <v>200</v>
      </c>
      <c r="G855" s="276">
        <v>1814000</v>
      </c>
      <c r="H855" s="338"/>
      <c r="I855" s="119">
        <f t="shared" si="175"/>
        <v>1814000</v>
      </c>
    </row>
    <row r="856" spans="1:9" s="121" customFormat="1" x14ac:dyDescent="0.25">
      <c r="A856" s="851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IF(B856&gt;0,VLOOKUP(B856,КВСР!A317:B1482,2),IF(C856&gt;0,VLOOKUP(C856,КФСР!A317:B1829,2),IF(D856&gt;0,VLOOKUP(D856,Программа!A$1:B$5112,2),IF(F856&gt;0,VLOOKUP(F856,КВР!A$1:B$5001,2),IF(E856&gt;0,VLOOKUP(E856,Направление!A$1:B$4791,2))))))</f>
        <v>Иные бюджетные ассигнования</v>
      </c>
      <c r="B856" s="116"/>
      <c r="C856" s="111"/>
      <c r="D856" s="113"/>
      <c r="E856" s="111"/>
      <c r="F856" s="113">
        <v>800</v>
      </c>
      <c r="G856" s="276">
        <v>8000</v>
      </c>
      <c r="H856" s="338"/>
      <c r="I856" s="119">
        <f t="shared" si="175"/>
        <v>8000</v>
      </c>
    </row>
    <row r="857" spans="1:9" s="121" customFormat="1" ht="31.5" x14ac:dyDescent="0.25">
      <c r="A857" s="851" t="str">
        <f>IF(B857&gt;0,VLOOKUP(B857,КВСР!A318:B1483,2),IF(C857&gt;0,VLOOKUP(C857,КФСР!A318:B1830,2),IF(D857&gt;0,VLOOKUP(D857,Программа!A$1:B$5112,2),IF(F857&gt;0,VLOOKUP(F857,КВР!A$1:B$5001,2),IF(E857&gt;0,VLOOKUP(E857,Направление!A$1:B$4791,2))))))</f>
        <v>Информационное обеспечение реализации мероприятий программы</v>
      </c>
      <c r="B857" s="116"/>
      <c r="C857" s="111"/>
      <c r="D857" s="112" t="s">
        <v>1263</v>
      </c>
      <c r="E857" s="111"/>
      <c r="F857" s="113"/>
      <c r="G857" s="276">
        <v>1456000</v>
      </c>
      <c r="H857" s="338">
        <f>H858</f>
        <v>0</v>
      </c>
      <c r="I857" s="119">
        <f t="shared" si="175"/>
        <v>1456000</v>
      </c>
    </row>
    <row r="858" spans="1:9" s="121" customFormat="1" ht="63" x14ac:dyDescent="0.25">
      <c r="A858" s="851" t="str">
        <f>IF(B858&gt;0,VLOOKUP(B858,КВСР!A319:B1484,2),IF(C858&gt;0,VLOOKUP(C858,КФСР!A319:B1831,2),IF(D858&gt;0,VLOOKUP(D858,Программа!A$1:B$5112,2),IF(F858&gt;0,VLOOKUP(F858,КВР!A$1:B$5001,2),IF(E858&gt;0,VLOOKUP(E858,Направление!A$1:B$4791,2))))))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8" s="116"/>
      <c r="C858" s="111"/>
      <c r="D858" s="112"/>
      <c r="E858" s="111">
        <v>70870</v>
      </c>
      <c r="F858" s="113"/>
      <c r="G858" s="276">
        <v>1456000</v>
      </c>
      <c r="H858" s="338">
        <f>H859</f>
        <v>0</v>
      </c>
      <c r="I858" s="119">
        <f t="shared" si="175"/>
        <v>1456000</v>
      </c>
    </row>
    <row r="859" spans="1:9" s="121" customFormat="1" ht="63" x14ac:dyDescent="0.25">
      <c r="A859" s="851" t="str">
        <f>IF(B859&gt;0,VLOOKUP(B859,КВСР!A320:B1485,2),IF(C859&gt;0,VLOOKUP(C859,КФСР!A320:B1832,2),IF(D859&gt;0,VLOOKUP(D859,Программа!A$1:B$5112,2),IF(F859&gt;0,VLOOKUP(F859,КВР!A$1:B$5001,2),IF(E859&gt;0,VLOOKUP(E859,Направление!A$1:B$4791,2))))))</f>
        <v xml:space="preserve">Закупка товаров, работ и услуг для обеспечения государственных (муниципальных) нужд
</v>
      </c>
      <c r="B859" s="116"/>
      <c r="C859" s="111"/>
      <c r="D859" s="113"/>
      <c r="E859" s="111"/>
      <c r="F859" s="113">
        <v>200</v>
      </c>
      <c r="G859" s="276">
        <v>1456000</v>
      </c>
      <c r="H859" s="338"/>
      <c r="I859" s="119">
        <f t="shared" si="175"/>
        <v>1456000</v>
      </c>
    </row>
    <row r="860" spans="1:9" s="121" customFormat="1" ht="94.5" x14ac:dyDescent="0.25">
      <c r="A860" s="851" t="str">
        <f>IF(B860&gt;0,VLOOKUP(B860,КВСР!A321:B1486,2),IF(C860&gt;0,VLOOKUP(C860,КФСР!A321:B1833,2),IF(D860&gt;0,VLOOKUP(D860,Программа!A$1:B$5112,2),IF(F860&gt;0,VLOOKUP(F860,КВР!A$1:B$5001,2),IF(E860&gt;0,VLOOKUP(E860,Направление!A$1:B$4791,2))))))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0" s="116"/>
      <c r="C860" s="111"/>
      <c r="D860" s="113" t="s">
        <v>394</v>
      </c>
      <c r="E860" s="111"/>
      <c r="F860" s="113"/>
      <c r="G860" s="276">
        <v>29946</v>
      </c>
      <c r="H860" s="338">
        <f t="shared" ref="H860:I862" si="189">H861</f>
        <v>0</v>
      </c>
      <c r="I860" s="288">
        <f t="shared" si="189"/>
        <v>29946</v>
      </c>
    </row>
    <row r="861" spans="1:9" s="121" customFormat="1" ht="78.75" x14ac:dyDescent="0.25">
      <c r="A861" s="851" t="str">
        <f>IF(B861&gt;0,VLOOKUP(B861,КВСР!A322:B1487,2),IF(C861&gt;0,VLOOKUP(C861,КФСР!A322:B1834,2),IF(D861&gt;0,VLOOKUP(D861,Программа!A$1:B$5112,2),IF(F861&gt;0,VLOOKUP(F861,КВР!A$1:B$5001,2),IF(E861&gt;0,VLOOKUP(E861,Направление!A$1:B$4791,2))))))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61" s="116"/>
      <c r="C861" s="111"/>
      <c r="D861" s="113" t="s">
        <v>1792</v>
      </c>
      <c r="E861" s="111"/>
      <c r="F861" s="113"/>
      <c r="G861" s="276">
        <v>29946</v>
      </c>
      <c r="H861" s="338">
        <f t="shared" si="189"/>
        <v>0</v>
      </c>
      <c r="I861" s="288">
        <f t="shared" si="189"/>
        <v>29946</v>
      </c>
    </row>
    <row r="862" spans="1:9" s="121" customFormat="1" ht="31.5" x14ac:dyDescent="0.25">
      <c r="A862" s="851" t="str">
        <f>IF(B862&gt;0,VLOOKUP(B862,КВСР!A323:B1488,2),IF(C862&gt;0,VLOOKUP(C862,КФСР!A323:B1835,2),IF(D862&gt;0,VLOOKUP(D862,Программа!A$1:B$5112,2),IF(F862&gt;0,VLOOKUP(F862,КВР!A$1:B$5001,2),IF(E862&gt;0,VLOOKUP(E862,Направление!A$1:B$4791,2))))))</f>
        <v>Внедрение проектной деятельности и бережливых технологий</v>
      </c>
      <c r="B862" s="116"/>
      <c r="C862" s="111"/>
      <c r="D862" s="113"/>
      <c r="E862" s="111">
        <v>12300</v>
      </c>
      <c r="F862" s="113"/>
      <c r="G862" s="276">
        <v>29946</v>
      </c>
      <c r="H862" s="338">
        <f t="shared" si="189"/>
        <v>0</v>
      </c>
      <c r="I862" s="288">
        <f t="shared" si="189"/>
        <v>29946</v>
      </c>
    </row>
    <row r="863" spans="1:9" s="121" customFormat="1" ht="110.25" x14ac:dyDescent="0.25">
      <c r="A863" s="851" t="str">
        <f>IF(B863&gt;0,VLOOKUP(B863,КВСР!A324:B1489,2),IF(C863&gt;0,VLOOKUP(C863,КФСР!A324:B1836,2),IF(D863&gt;0,VLOOKUP(D863,Программа!A$1:B$5112,2),IF(F863&gt;0,VLOOKUP(F863,КВР!A$1:B$5001,2),IF(E863&gt;0,VLOOKUP(E863,Направление!A$1:B$4791,2))))))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16"/>
      <c r="C863" s="111"/>
      <c r="D863" s="113"/>
      <c r="E863" s="111"/>
      <c r="F863" s="113">
        <v>100</v>
      </c>
      <c r="G863" s="276">
        <v>29946</v>
      </c>
      <c r="H863" s="338"/>
      <c r="I863" s="119">
        <f>G863+H863</f>
        <v>29946</v>
      </c>
    </row>
    <row r="864" spans="1:9" s="121" customFormat="1" ht="63" x14ac:dyDescent="0.25">
      <c r="A864" s="851" t="str">
        <f>IF(B864&gt;0,VLOOKUP(B864,КВСР!A321:B1486,2),IF(C864&gt;0,VLOOKUP(C864,КФСР!A321:B1833,2),IF(D864&gt;0,VLOOKUP(D864,Программа!A$1:B$5112,2),IF(F864&gt;0,VLOOKUP(F864,КВР!A$1:B$5001,2),IF(E864&gt;0,VLOOKUP(E864,Направление!A$1:B$4791,2))))))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16"/>
      <c r="C864" s="111"/>
      <c r="D864" s="113" t="s">
        <v>500</v>
      </c>
      <c r="E864" s="111"/>
      <c r="F864" s="113"/>
      <c r="G864" s="276">
        <v>6000</v>
      </c>
      <c r="H864" s="338">
        <f t="shared" ref="H864:I865" si="190">H865</f>
        <v>0</v>
      </c>
      <c r="I864" s="288">
        <f t="shared" si="190"/>
        <v>6000</v>
      </c>
    </row>
    <row r="865" spans="1:9" s="121" customFormat="1" ht="31.5" x14ac:dyDescent="0.25">
      <c r="A865" s="851" t="str">
        <f>IF(B865&gt;0,VLOOKUP(B865,КВСР!A322:B1487,2),IF(C865&gt;0,VLOOKUP(C865,КФСР!A322:B1834,2),IF(D865&gt;0,VLOOKUP(D865,Программа!A$1:B$5112,2),IF(F865&gt;0,VLOOKUP(F865,КВР!A$1:B$5001,2),IF(E865&gt;0,VLOOKUP(E865,Направление!A$1:B$4791,2))))))</f>
        <v>Реализация мероприятий по профилактике правонарушений</v>
      </c>
      <c r="B865" s="116"/>
      <c r="C865" s="111"/>
      <c r="D865" s="113" t="s">
        <v>502</v>
      </c>
      <c r="E865" s="111"/>
      <c r="F865" s="113"/>
      <c r="G865" s="276">
        <v>6000</v>
      </c>
      <c r="H865" s="338">
        <f t="shared" si="190"/>
        <v>0</v>
      </c>
      <c r="I865" s="288">
        <f t="shared" si="190"/>
        <v>6000</v>
      </c>
    </row>
    <row r="866" spans="1:9" s="121" customFormat="1" ht="47.25" x14ac:dyDescent="0.25">
      <c r="A866" s="851" t="str">
        <f>IF(B866&gt;0,VLOOKUP(B866,КВСР!A323:B1488,2),IF(C866&gt;0,VLOOKUP(C866,КФСР!A323:B1835,2),IF(D866&gt;0,VLOOKUP(D866,Программа!A$1:B$5112,2),IF(F866&gt;0,VLOOKUP(F866,КВР!A$1:B$5001,2),IF(E866&gt;0,VLOOKUP(E866,Направление!A$1:B$4791,2))))))</f>
        <v>Расходы на профилактику правонарушений и усиления борьбы с преступностью</v>
      </c>
      <c r="B866" s="116"/>
      <c r="C866" s="111"/>
      <c r="D866" s="113"/>
      <c r="E866" s="111">
        <v>12250</v>
      </c>
      <c r="F866" s="113"/>
      <c r="G866" s="276">
        <v>6000</v>
      </c>
      <c r="H866" s="338">
        <f t="shared" ref="H866:I866" si="191">H867</f>
        <v>0</v>
      </c>
      <c r="I866" s="288">
        <f t="shared" si="191"/>
        <v>6000</v>
      </c>
    </row>
    <row r="867" spans="1:9" s="121" customFormat="1" ht="47.25" x14ac:dyDescent="0.25">
      <c r="A867" s="851" t="str">
        <f>IF(B867&gt;0,VLOOKUP(B867,КВСР!A324:B1489,2),IF(C867&gt;0,VLOOKUP(C867,КФСР!A324:B1836,2),IF(D867&gt;0,VLOOKUP(D867,Программа!A$1:B$5112,2),IF(F867&gt;0,VLOOKUP(F867,КВР!A$1:B$5001,2),IF(E867&gt;0,VLOOKUP(E867,Направление!A$1:B$4791,2))))))</f>
        <v>Предоставление субсидий бюджетным, автономным учреждениям и иным некоммерческим организациям</v>
      </c>
      <c r="B867" s="116"/>
      <c r="C867" s="111"/>
      <c r="D867" s="113"/>
      <c r="E867" s="111"/>
      <c r="F867" s="113">
        <v>600</v>
      </c>
      <c r="G867" s="276">
        <v>6000</v>
      </c>
      <c r="H867" s="338"/>
      <c r="I867" s="119">
        <f>G867+H867</f>
        <v>6000</v>
      </c>
    </row>
    <row r="868" spans="1:9" s="121" customFormat="1" ht="31.5" x14ac:dyDescent="0.25">
      <c r="A868" s="850" t="str">
        <f>IF(B868&gt;0,VLOOKUP(B868,КВСР!A318:B1483,2),IF(C868&gt;0,VLOOKUP(C868,КФСР!A318:B1830,2),IF(D868&gt;0,VLOOKUP(D868,Программа!A$1:B$5112,2),IF(F868&gt;0,VLOOKUP(F868,КВР!A$1:B$5001,2),IF(E868&gt;0,VLOOKUP(E868,Направление!A$1:B$4791,2))))))</f>
        <v>Департамент финансов администрации ТМР</v>
      </c>
      <c r="B868" s="110">
        <v>955</v>
      </c>
      <c r="C868" s="111"/>
      <c r="D868" s="112"/>
      <c r="E868" s="111"/>
      <c r="F868" s="113"/>
      <c r="G868" s="383">
        <v>29732867</v>
      </c>
      <c r="H868" s="337">
        <f>H869+H876+H905+H909+H897</f>
        <v>-25939</v>
      </c>
      <c r="I868" s="383">
        <f>I869+I876+I905+I909+I897</f>
        <v>29706928</v>
      </c>
    </row>
    <row r="869" spans="1:9" s="121" customFormat="1" ht="63" x14ac:dyDescent="0.25">
      <c r="A869" s="851" t="str">
        <f>IF(B869&gt;0,VLOOKUP(B869,КВСР!A319:B1484,2),IF(C869&gt;0,VLOOKUP(C869,КФСР!A319:B1831,2),IF(D869&gt;0,VLOOKUP(D869,Программа!A$1:B$5112,2),IF(F869&gt;0,VLOOKUP(F869,КВР!A$1:B$5001,2),IF(E869&gt;0,VLOOKUP(E869,Направление!A$1:B$4791,2))))))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9" s="116"/>
      <c r="C869" s="111">
        <v>106</v>
      </c>
      <c r="D869" s="112"/>
      <c r="E869" s="111"/>
      <c r="F869" s="113"/>
      <c r="G869" s="276">
        <v>17389582</v>
      </c>
      <c r="H869" s="338">
        <f t="shared" ref="H869:I869" si="192">H870</f>
        <v>0</v>
      </c>
      <c r="I869" s="338">
        <f t="shared" si="192"/>
        <v>17389582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Непрограммные расходы бюджета</v>
      </c>
      <c r="B870" s="116"/>
      <c r="C870" s="111"/>
      <c r="D870" s="113" t="s">
        <v>383</v>
      </c>
      <c r="E870" s="111"/>
      <c r="F870" s="113"/>
      <c r="G870" s="294">
        <v>17389582</v>
      </c>
      <c r="H870" s="283">
        <f>H871</f>
        <v>0</v>
      </c>
      <c r="I870" s="119">
        <f t="shared" si="175"/>
        <v>17389582</v>
      </c>
    </row>
    <row r="871" spans="1:9" x14ac:dyDescent="0.25">
      <c r="A871" s="851" t="str">
        <f>IF(B871&gt;0,VLOOKUP(B871,КВСР!A329:B1494,2),IF(C871&gt;0,VLOOKUP(C871,КФСР!A329:B1841,2),IF(D871&gt;0,VLOOKUP(D871,Программа!A$1:B$5112,2),IF(F871&gt;0,VLOOKUP(F871,КВР!A$1:B$5001,2),IF(E871&gt;0,VLOOKUP(E871,Направление!A$1:B$4791,2))))))</f>
        <v>Содержание центрального аппарата</v>
      </c>
      <c r="B871" s="116"/>
      <c r="C871" s="111"/>
      <c r="D871" s="113"/>
      <c r="E871" s="111">
        <v>12010</v>
      </c>
      <c r="F871" s="113"/>
      <c r="G871" s="294">
        <v>17389582</v>
      </c>
      <c r="H871" s="283">
        <f>H872+H873+H875+H874</f>
        <v>0</v>
      </c>
      <c r="I871" s="283">
        <f>I872+I873+I875+I874</f>
        <v>17389582</v>
      </c>
    </row>
    <row r="872" spans="1:9" ht="110.25" x14ac:dyDescent="0.25">
      <c r="A872" s="851" t="str">
        <f>IF(B872&gt;0,VLOOKUP(B872,КВСР!A330:B1495,2),IF(C872&gt;0,VLOOKUP(C872,КФСР!A330:B1842,2),IF(D872&gt;0,VLOOKUP(D872,Программа!A$1:B$5112,2),IF(F872&gt;0,VLOOKUP(F872,КВР!A$1:B$5001,2),IF(E872&gt;0,VLOOKUP(E872,Направление!A$1:B$4791,2))))))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6"/>
      <c r="C872" s="111"/>
      <c r="D872" s="113"/>
      <c r="E872" s="111"/>
      <c r="F872" s="113">
        <v>100</v>
      </c>
      <c r="G872" s="294">
        <v>15785948</v>
      </c>
      <c r="H872" s="283">
        <f>-304274+9000-23000+193061</f>
        <v>-125213</v>
      </c>
      <c r="I872" s="119">
        <f t="shared" si="175"/>
        <v>15660735</v>
      </c>
    </row>
    <row r="873" spans="1:9" ht="63" x14ac:dyDescent="0.25">
      <c r="A873" s="851" t="str">
        <f>IF(B873&gt;0,VLOOKUP(B873,КВСР!A331:B1496,2),IF(C873&gt;0,VLOOKUP(C873,КФСР!A331:B1843,2),IF(D873&gt;0,VLOOKUP(D873,Программа!A$1:B$5112,2),IF(F873&gt;0,VLOOKUP(F873,КВР!A$1:B$5001,2),IF(E873&gt;0,VLOOKUP(E873,Направление!A$1:B$4791,2))))))</f>
        <v xml:space="preserve">Закупка товаров, работ и услуг для обеспечения государственных (муниципальных) нужд
</v>
      </c>
      <c r="B873" s="116"/>
      <c r="C873" s="111"/>
      <c r="D873" s="113"/>
      <c r="E873" s="111"/>
      <c r="F873" s="113">
        <v>200</v>
      </c>
      <c r="G873" s="294">
        <v>1507773</v>
      </c>
      <c r="H873" s="283">
        <v>125213</v>
      </c>
      <c r="I873" s="119">
        <f t="shared" si="175"/>
        <v>1632986</v>
      </c>
    </row>
    <row r="874" spans="1:9" ht="31.5" x14ac:dyDescent="0.25">
      <c r="A874" s="851" t="str">
        <f>IF(B874&gt;0,VLOOKUP(B874,КВСР!A332:B1497,2),IF(C874&gt;0,VLOOKUP(C874,КФСР!A332:B1844,2),IF(D874&gt;0,VLOOKUP(D874,Программа!A$1:B$5112,2),IF(F874&gt;0,VLOOKUP(F874,КВР!A$1:B$5001,2),IF(E874&gt;0,VLOOKUP(E874,Направление!A$1:B$4791,2))))))</f>
        <v>Социальное обеспечение и иные выплаты населению</v>
      </c>
      <c r="B874" s="116"/>
      <c r="C874" s="111"/>
      <c r="D874" s="113"/>
      <c r="E874" s="111"/>
      <c r="F874" s="113">
        <v>300</v>
      </c>
      <c r="G874" s="294">
        <v>62361</v>
      </c>
      <c r="H874" s="283"/>
      <c r="I874" s="119">
        <f t="shared" si="175"/>
        <v>62361</v>
      </c>
    </row>
    <row r="875" spans="1:9" x14ac:dyDescent="0.25">
      <c r="A875" s="851" t="str">
        <f>IF(B875&gt;0,VLOOKUP(B875,КВСР!A332:B1497,2),IF(C875&gt;0,VLOOKUP(C875,КФСР!A332:B1844,2),IF(D875&gt;0,VLOOKUP(D875,Программа!A$1:B$5112,2),IF(F875&gt;0,VLOOKUP(F875,КВР!A$1:B$5001,2),IF(E875&gt;0,VLOOKUP(E875,Направление!A$1:B$4791,2))))))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94">
        <v>33500</v>
      </c>
      <c r="H875" s="283"/>
      <c r="I875" s="119">
        <f t="shared" si="175"/>
        <v>33500</v>
      </c>
    </row>
    <row r="876" spans="1:9" x14ac:dyDescent="0.25">
      <c r="A876" s="851" t="str">
        <f>IF(B876&gt;0,VLOOKUP(B876,КВСР!A328:B1493,2),IF(C876&gt;0,VLOOKUP(C876,КФСР!A328:B1840,2),IF(D876&gt;0,VLOOKUP(D876,Программа!A$1:B$5112,2),IF(F876&gt;0,VLOOKUP(F876,КВР!A$1:B$5001,2),IF(E876&gt;0,VLOOKUP(E876,Направление!A$1:B$4791,2))))))</f>
        <v>Другие общегосударственные вопросы</v>
      </c>
      <c r="B876" s="116"/>
      <c r="C876" s="111">
        <v>113</v>
      </c>
      <c r="D876" s="113"/>
      <c r="E876" s="111"/>
      <c r="F876" s="113"/>
      <c r="G876" s="294">
        <v>11743285</v>
      </c>
      <c r="H876" s="283">
        <f t="shared" ref="H876:I876" si="193">H884+H877+H891</f>
        <v>324061</v>
      </c>
      <c r="I876" s="283">
        <f t="shared" si="193"/>
        <v>12067346</v>
      </c>
    </row>
    <row r="877" spans="1:9" ht="94.5" x14ac:dyDescent="0.25">
      <c r="A877" s="851" t="str">
        <f>IF(B877&gt;0,VLOOKUP(B877,КВСР!A334:B1499,2),IF(C877&gt;0,VLOOKUP(C877,КФСР!A334:B1846,2),IF(D877&gt;0,VLOOKUP(D877,Программа!A$1:B$5112,2),IF(F877&gt;0,VLOOKUP(F877,КВР!A$1:B$5001,2),IF(E877&gt;0,VLOOKUP(E877,Направление!A$1:B$4791,2))))))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7" s="116"/>
      <c r="C877" s="111"/>
      <c r="D877" s="113" t="s">
        <v>394</v>
      </c>
      <c r="E877" s="111"/>
      <c r="F877" s="113"/>
      <c r="G877" s="117">
        <v>665969</v>
      </c>
      <c r="H877" s="283">
        <f>H878+H881</f>
        <v>50000</v>
      </c>
      <c r="I877" s="119">
        <f t="shared" ref="I877:I973" si="194">SUM(G877:H877)</f>
        <v>715969</v>
      </c>
    </row>
    <row r="878" spans="1:9" ht="63" x14ac:dyDescent="0.25">
      <c r="A878" s="851" t="str">
        <f>IF(B878&gt;0,VLOOKUP(B878,КВСР!A335:B1500,2),IF(C878&gt;0,VLOOKUP(C878,КФСР!A335:B1847,2),IF(D878&gt;0,VLOOKUP(D878,Программа!A$1:B$5112,2),IF(F878&gt;0,VLOOKUP(F878,КВР!A$1:B$5001,2),IF(E878&gt;0,VLOOKUP(E878,Направление!A$1:B$4791,2))))))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8" s="116"/>
      <c r="C878" s="111"/>
      <c r="D878" s="113" t="s">
        <v>395</v>
      </c>
      <c r="E878" s="111"/>
      <c r="F878" s="113"/>
      <c r="G878" s="117">
        <v>20000</v>
      </c>
      <c r="H878" s="283">
        <f t="shared" ref="H878:H879" si="195">H879</f>
        <v>50000</v>
      </c>
      <c r="I878" s="119">
        <f t="shared" si="194"/>
        <v>70000</v>
      </c>
    </row>
    <row r="879" spans="1:9" ht="31.5" x14ac:dyDescent="0.25">
      <c r="A879" s="851" t="str">
        <f>IF(B879&gt;0,VLOOKUP(B879,КВСР!A336:B1501,2),IF(C879&gt;0,VLOOKUP(C879,КФСР!A336:B1848,2),IF(D879&gt;0,VLOOKUP(D879,Программа!A$1:B$5112,2),IF(F879&gt;0,VLOOKUP(F879,КВР!A$1:B$5001,2),IF(E879&gt;0,VLOOKUP(E879,Направление!A$1:B$4791,2))))))</f>
        <v>Расходы на развитие муниципальной службы</v>
      </c>
      <c r="B879" s="116"/>
      <c r="C879" s="111"/>
      <c r="D879" s="113"/>
      <c r="E879" s="111">
        <v>12200</v>
      </c>
      <c r="F879" s="113"/>
      <c r="G879" s="117">
        <v>20000</v>
      </c>
      <c r="H879" s="283">
        <f t="shared" si="195"/>
        <v>50000</v>
      </c>
      <c r="I879" s="119">
        <f t="shared" si="194"/>
        <v>70000</v>
      </c>
    </row>
    <row r="880" spans="1:9" ht="63" x14ac:dyDescent="0.25">
      <c r="A880" s="851" t="str">
        <f>IF(B880&gt;0,VLOOKUP(B880,КВСР!A337:B1502,2),IF(C880&gt;0,VLOOKUP(C880,КФСР!A337:B1849,2),IF(D880&gt;0,VLOOKUP(D880,Программа!A$1:B$5112,2),IF(F880&gt;0,VLOOKUP(F880,КВР!A$1:B$5001,2),IF(E880&gt;0,VLOOKUP(E880,Направление!A$1:B$4791,2))))))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94">
        <v>20000</v>
      </c>
      <c r="H880" s="283">
        <v>50000</v>
      </c>
      <c r="I880" s="119">
        <f t="shared" si="194"/>
        <v>70000</v>
      </c>
    </row>
    <row r="881" spans="1:9" ht="78.75" x14ac:dyDescent="0.25">
      <c r="A881" s="851" t="str">
        <f>IF(B881&gt;0,VLOOKUP(B881,КВСР!A338:B1503,2),IF(C881&gt;0,VLOOKUP(C881,КФСР!A338:B1850,2),IF(D881&gt;0,VLOOKUP(D881,Программа!A$1:B$5112,2),IF(F881&gt;0,VLOOKUP(F881,КВР!A$1:B$5001,2),IF(E881&gt;0,VLOOKUP(E881,Направление!A$1:B$4791,2))))))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1" s="116"/>
      <c r="C881" s="111"/>
      <c r="D881" s="113" t="s">
        <v>1792</v>
      </c>
      <c r="E881" s="111"/>
      <c r="F881" s="113"/>
      <c r="G881" s="294">
        <v>645969</v>
      </c>
      <c r="H881" s="283">
        <f t="shared" ref="H881:I882" si="196">H882</f>
        <v>0</v>
      </c>
      <c r="I881" s="294">
        <f t="shared" si="196"/>
        <v>645969</v>
      </c>
    </row>
    <row r="882" spans="1:9" ht="31.5" x14ac:dyDescent="0.25">
      <c r="A882" s="851" t="str">
        <f>IF(B882&gt;0,VLOOKUP(B882,КВСР!A339:B1504,2),IF(C882&gt;0,VLOOKUP(C882,КФСР!A339:B1851,2),IF(D882&gt;0,VLOOKUP(D882,Программа!A$1:B$5112,2),IF(F882&gt;0,VLOOKUP(F882,КВР!A$1:B$5001,2),IF(E882&gt;0,VLOOKUP(E882,Направление!A$1:B$4791,2))))))</f>
        <v>Внедрение проектной деятельности и бережливых технологий</v>
      </c>
      <c r="B882" s="116"/>
      <c r="C882" s="111"/>
      <c r="D882" s="113"/>
      <c r="E882" s="111">
        <v>12300</v>
      </c>
      <c r="F882" s="113"/>
      <c r="G882" s="294">
        <v>645969</v>
      </c>
      <c r="H882" s="283">
        <f t="shared" si="196"/>
        <v>0</v>
      </c>
      <c r="I882" s="294">
        <f t="shared" si="196"/>
        <v>645969</v>
      </c>
    </row>
    <row r="883" spans="1:9" ht="110.25" x14ac:dyDescent="0.25">
      <c r="A883" s="851" t="str">
        <f>IF(B883&gt;0,VLOOKUP(B883,КВСР!A340:B1505,2),IF(C883&gt;0,VLOOKUP(C883,КФСР!A340:B1852,2),IF(D883&gt;0,VLOOKUP(D883,Программа!A$1:B$5112,2),IF(F883&gt;0,VLOOKUP(F883,КВР!A$1:B$5001,2),IF(E883&gt;0,VLOOKUP(E883,Направление!A$1:B$4791,2))))))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3" s="116"/>
      <c r="C883" s="111"/>
      <c r="D883" s="113"/>
      <c r="E883" s="111"/>
      <c r="F883" s="113">
        <v>100</v>
      </c>
      <c r="G883" s="294">
        <v>645969</v>
      </c>
      <c r="H883" s="283"/>
      <c r="I883" s="119">
        <f>G883+H883</f>
        <v>645969</v>
      </c>
    </row>
    <row r="884" spans="1:9" ht="63" x14ac:dyDescent="0.25">
      <c r="A884" s="851" t="str">
        <f>IF(B884&gt;0,VLOOKUP(B884,КВСР!A329:B1494,2),IF(C884&gt;0,VLOOKUP(C884,КФСР!A329:B1841,2),IF(D884&gt;0,VLOOKUP(D884,Программа!A$1:B$5112,2),IF(F884&gt;0,VLOOKUP(F884,КВР!A$1:B$5001,2),IF(E884&gt;0,VLOOKUP(E884,Направление!A$1:B$4791,2))))))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84" s="116"/>
      <c r="C884" s="111"/>
      <c r="D884" s="113" t="s">
        <v>398</v>
      </c>
      <c r="E884" s="111"/>
      <c r="F884" s="113"/>
      <c r="G884" s="117">
        <v>1691700</v>
      </c>
      <c r="H884" s="283">
        <f>H885+H888</f>
        <v>81000</v>
      </c>
      <c r="I884" s="119">
        <f t="shared" si="194"/>
        <v>1772700</v>
      </c>
    </row>
    <row r="885" spans="1:9" ht="31.5" x14ac:dyDescent="0.25">
      <c r="A885" s="851" t="str">
        <f>IF(B885&gt;0,VLOOKUP(B885,КВСР!A330:B1495,2),IF(C885&gt;0,VLOOKUP(C885,КФСР!A330:B1842,2),IF(D885&gt;0,VLOOKUP(D885,Программа!A$1:B$5112,2),IF(F885&gt;0,VLOOKUP(F885,КВР!A$1:B$5001,2),IF(E885&gt;0,VLOOKUP(E885,Направление!A$1:B$4791,2))))))</f>
        <v>Бесперебойное функционирование информационных систем</v>
      </c>
      <c r="B885" s="116"/>
      <c r="C885" s="111"/>
      <c r="D885" s="113" t="s">
        <v>434</v>
      </c>
      <c r="E885" s="111"/>
      <c r="F885" s="113"/>
      <c r="G885" s="117">
        <v>1691700</v>
      </c>
      <c r="H885" s="283">
        <f>H886</f>
        <v>0</v>
      </c>
      <c r="I885" s="119">
        <f t="shared" si="194"/>
        <v>1691700</v>
      </c>
    </row>
    <row r="886" spans="1:9" ht="31.5" x14ac:dyDescent="0.25">
      <c r="A886" s="851" t="str">
        <f>IF(B886&gt;0,VLOOKUP(B886,КВСР!A331:B1496,2),IF(C886&gt;0,VLOOKUP(C886,КФСР!A331:B1843,2),IF(D886&gt;0,VLOOKUP(D886,Программа!A$1:B$5112,2),IF(F886&gt;0,VLOOKUP(F886,КВР!A$1:B$5001,2),IF(E886&gt;0,VLOOKUP(E886,Направление!A$1:B$4791,2))))))</f>
        <v>Расходы на проведение мероприятий по информатизации</v>
      </c>
      <c r="B886" s="116"/>
      <c r="C886" s="111"/>
      <c r="D886" s="113"/>
      <c r="E886" s="111">
        <v>12210</v>
      </c>
      <c r="F886" s="113"/>
      <c r="G886" s="117">
        <v>1691700</v>
      </c>
      <c r="H886" s="283">
        <f>H887</f>
        <v>0</v>
      </c>
      <c r="I886" s="119">
        <f t="shared" si="194"/>
        <v>1691700</v>
      </c>
    </row>
    <row r="887" spans="1:9" ht="63" x14ac:dyDescent="0.25">
      <c r="A887" s="851" t="str">
        <f>IF(B887&gt;0,VLOOKUP(B887,КВСР!A332:B1497,2),IF(C887&gt;0,VLOOKUP(C887,КФСР!A332:B1844,2),IF(D887&gt;0,VLOOKUP(D887,Программа!A$1:B$5112,2),IF(F887&gt;0,VLOOKUP(F887,КВР!A$1:B$5001,2),IF(E887&gt;0,VLOOKUP(E887,Направление!A$1:B$4791,2))))))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1691700</v>
      </c>
      <c r="H887" s="283"/>
      <c r="I887" s="119">
        <f t="shared" si="194"/>
        <v>1691700</v>
      </c>
    </row>
    <row r="888" spans="1:9" ht="63" x14ac:dyDescent="0.25">
      <c r="A888" s="851" t="str">
        <f>IF(B888&gt;0,VLOOKUP(B888,КВСР!A333:B1498,2),IF(C888&gt;0,VLOOKUP(C888,КФСР!A333:B1845,2),IF(D888&gt;0,VLOOKUP(D888,Программа!A$1:B$5112,2),IF(F888&gt;0,VLOOKUP(F888,КВР!A$1:B$5001,2),IF(E888&gt;0,VLOOKUP(E888,Направление!A$1:B$4791,2))))))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8" s="116"/>
      <c r="C888" s="111"/>
      <c r="D888" s="113" t="s">
        <v>400</v>
      </c>
      <c r="E888" s="111"/>
      <c r="F888" s="113"/>
      <c r="G888" s="294">
        <v>0</v>
      </c>
      <c r="H888" s="283">
        <f>H889</f>
        <v>81000</v>
      </c>
      <c r="I888" s="119">
        <f t="shared" si="194"/>
        <v>81000</v>
      </c>
    </row>
    <row r="889" spans="1:9" ht="31.5" x14ac:dyDescent="0.25">
      <c r="A889" s="851" t="str">
        <f>IF(B889&gt;0,VLOOKUP(B889,КВСР!A334:B1499,2),IF(C889&gt;0,VLOOKUP(C889,КФСР!A334:B1846,2),IF(D889&gt;0,VLOOKUP(D889,Программа!A$1:B$5112,2),IF(F889&gt;0,VLOOKUP(F889,КВР!A$1:B$5001,2),IF(E889&gt;0,VLOOKUP(E889,Направление!A$1:B$4791,2))))))</f>
        <v>Расходы на проведение мероприятий по информатизации</v>
      </c>
      <c r="B889" s="116"/>
      <c r="C889" s="111"/>
      <c r="D889" s="113"/>
      <c r="E889" s="111">
        <v>12210</v>
      </c>
      <c r="F889" s="113"/>
      <c r="G889" s="294">
        <v>0</v>
      </c>
      <c r="H889" s="283">
        <f>H890</f>
        <v>81000</v>
      </c>
      <c r="I889" s="119">
        <f t="shared" si="194"/>
        <v>81000</v>
      </c>
    </row>
    <row r="890" spans="1:9" ht="63" x14ac:dyDescent="0.25">
      <c r="A890" s="851" t="str">
        <f>IF(B890&gt;0,VLOOKUP(B890,КВСР!A335:B1500,2),IF(C890&gt;0,VLOOKUP(C890,КФСР!A335:B1847,2),IF(D890&gt;0,VLOOKUP(D890,Программа!A$1:B$5112,2),IF(F890&gt;0,VLOOKUP(F890,КВР!A$1:B$5001,2),IF(E890&gt;0,VLOOKUP(E890,Направление!A$1:B$4791,2))))))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0</v>
      </c>
      <c r="H890" s="283">
        <v>81000</v>
      </c>
      <c r="I890" s="119">
        <f t="shared" si="194"/>
        <v>81000</v>
      </c>
    </row>
    <row r="891" spans="1:9" x14ac:dyDescent="0.25">
      <c r="A891" s="851" t="str">
        <f>IF(B891&gt;0,VLOOKUP(B891,КВСР!A336:B1501,2),IF(C891&gt;0,VLOOKUP(C891,КФСР!A336:B1848,2),IF(D891&gt;0,VLOOKUP(D891,Программа!A$1:B$5112,2),IF(F891&gt;0,VLOOKUP(F891,КВР!A$1:B$5001,2),IF(E891&gt;0,VLOOKUP(E891,Направление!A$1:B$4791,2))))))</f>
        <v>Непрограммные расходы бюджета</v>
      </c>
      <c r="B891" s="116"/>
      <c r="C891" s="111"/>
      <c r="D891" s="113" t="s">
        <v>383</v>
      </c>
      <c r="E891" s="111"/>
      <c r="F891" s="113"/>
      <c r="G891" s="282">
        <v>9385616</v>
      </c>
      <c r="H891" s="283">
        <f t="shared" ref="H891:I891" si="197">H892+H894</f>
        <v>193061</v>
      </c>
      <c r="I891" s="282">
        <f t="shared" si="197"/>
        <v>9578677</v>
      </c>
    </row>
    <row r="892" spans="1:9" ht="31.5" x14ac:dyDescent="0.25">
      <c r="A892" s="851" t="str">
        <f>IF(B892&gt;0,VLOOKUP(B892,КВСР!A337:B1502,2),IF(C892&gt;0,VLOOKUP(C892,КФСР!A337:B1849,2),IF(D892&gt;0,VLOOKUP(D892,Программа!A$1:B$5112,2),IF(F892&gt;0,VLOOKUP(F892,КВР!A$1:B$5001,2),IF(E892&gt;0,VLOOKUP(E892,Направление!A$1:B$4791,2))))))</f>
        <v>Выполнение других обязательств органов местного самоуправления</v>
      </c>
      <c r="B892" s="116"/>
      <c r="C892" s="111"/>
      <c r="D892" s="113"/>
      <c r="E892" s="111">
        <v>12080</v>
      </c>
      <c r="F892" s="113"/>
      <c r="G892" s="294">
        <v>0</v>
      </c>
      <c r="H892" s="283">
        <f t="shared" ref="H892:I892" si="198">H893</f>
        <v>193061</v>
      </c>
      <c r="I892" s="294">
        <f t="shared" si="198"/>
        <v>193061</v>
      </c>
    </row>
    <row r="893" spans="1:9" ht="63" x14ac:dyDescent="0.25">
      <c r="A893" s="851" t="str">
        <f>IF(B893&gt;0,VLOOKUP(B893,КВСР!A338:B1503,2),IF(C893&gt;0,VLOOKUP(C893,КФСР!A338:B1850,2),IF(D893&gt;0,VLOOKUP(D893,Программа!A$1:B$5112,2),IF(F893&gt;0,VLOOKUP(F893,КВР!A$1:B$5001,2),IF(E893&gt;0,VLOOKUP(E893,Направление!A$1:B$4791,2))))))</f>
        <v xml:space="preserve">Закупка товаров, работ и услуг для обеспечения государственных (муниципальных) нужд
</v>
      </c>
      <c r="B893" s="116"/>
      <c r="C893" s="111"/>
      <c r="D893" s="113"/>
      <c r="E893" s="111"/>
      <c r="F893" s="113">
        <v>200</v>
      </c>
      <c r="G893" s="294">
        <v>0</v>
      </c>
      <c r="H893" s="283">
        <v>193061</v>
      </c>
      <c r="I893" s="119">
        <f t="shared" si="194"/>
        <v>193061</v>
      </c>
    </row>
    <row r="894" spans="1:9" ht="47.25" x14ac:dyDescent="0.25">
      <c r="A894" s="851" t="str">
        <f>IF(B894&gt;0,VLOOKUP(B894,КВСР!A339:B1504,2),IF(C894&gt;0,VLOOKUP(C894,КФСР!A339:B1851,2),IF(D894&gt;0,VLOOKUP(D894,Программа!A$1:B$5112,2),IF(F894&gt;0,VLOOKUP(F894,КВР!A$1:B$5001,2),IF(E894&gt;0,VLOOKUP(E894,Направление!A$1:B$4791,2))))))</f>
        <v>Обеспечение деятельности подведомственных учреждений органов местного самоуправления</v>
      </c>
      <c r="B894" s="116"/>
      <c r="C894" s="111"/>
      <c r="D894" s="113"/>
      <c r="E894" s="111">
        <v>12100</v>
      </c>
      <c r="F894" s="113"/>
      <c r="G894" s="294">
        <v>9385616</v>
      </c>
      <c r="H894" s="283">
        <f t="shared" ref="H894:I894" si="199">H895+H896</f>
        <v>0</v>
      </c>
      <c r="I894" s="282">
        <f t="shared" si="199"/>
        <v>9385616</v>
      </c>
    </row>
    <row r="895" spans="1:9" ht="110.25" x14ac:dyDescent="0.25">
      <c r="A895" s="851" t="str">
        <f>IF(B895&gt;0,VLOOKUP(B895,КВСР!A340:B1505,2),IF(C895&gt;0,VLOOKUP(C895,КФСР!A340:B1852,2),IF(D895&gt;0,VLOOKUP(D895,Программа!A$1:B$5112,2),IF(F895&gt;0,VLOOKUP(F895,КВР!A$1:B$5001,2),IF(E895&gt;0,VLOOKUP(E895,Направление!A$1:B$4791,2))))))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6"/>
      <c r="C895" s="111"/>
      <c r="D895" s="113"/>
      <c r="E895" s="111"/>
      <c r="F895" s="113">
        <v>100</v>
      </c>
      <c r="G895" s="294">
        <v>8374464</v>
      </c>
      <c r="H895" s="283">
        <v>11165</v>
      </c>
      <c r="I895" s="119">
        <f>G895+H895</f>
        <v>8385629</v>
      </c>
    </row>
    <row r="896" spans="1:9" ht="63" x14ac:dyDescent="0.25">
      <c r="A896" s="851" t="str">
        <f>IF(B896&gt;0,VLOOKUP(B896,КВСР!A340:B1505,2),IF(C896&gt;0,VLOOKUP(C896,КФСР!A340:B1852,2),IF(D896&gt;0,VLOOKUP(D896,Программа!A$1:B$5112,2),IF(F896&gt;0,VLOOKUP(F896,КВР!A$1:B$5001,2),IF(E896&gt;0,VLOOKUP(E896,Направление!A$1:B$4791,2))))))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1011152</v>
      </c>
      <c r="H896" s="283">
        <v>-11165</v>
      </c>
      <c r="I896" s="119">
        <f>G896+H896</f>
        <v>999987</v>
      </c>
    </row>
    <row r="897" spans="1:9" ht="47.25" hidden="1" x14ac:dyDescent="0.25">
      <c r="A897" s="851" t="str">
        <f>IF(B897&gt;0,VLOOKUP(B897,КВСР!A338:B1503,2),IF(C897&gt;0,VLOOKUP(C897,КФСР!A338:B1850,2),IF(D897&gt;0,VLOOKUP(D897,Программа!A$1:B$5112,2),IF(F897&gt;0,VLOOKUP(F897,КВР!A$1:B$5001,2),IF(E897&gt;0,VLOOKUP(E897,Направление!A$1:B$4791,2))))))</f>
        <v>Профессиональная подготовка, переподготовка и повышение квалификации</v>
      </c>
      <c r="B897" s="116"/>
      <c r="C897" s="111">
        <v>705</v>
      </c>
      <c r="D897" s="113"/>
      <c r="E897" s="111"/>
      <c r="F897" s="113"/>
      <c r="G897" s="294">
        <v>0</v>
      </c>
      <c r="H897" s="283">
        <f t="shared" ref="H897:I897" si="200">H898+H902</f>
        <v>0</v>
      </c>
      <c r="I897" s="294">
        <f t="shared" si="200"/>
        <v>0</v>
      </c>
    </row>
    <row r="898" spans="1:9" ht="94.5" hidden="1" x14ac:dyDescent="0.25">
      <c r="A898" s="851" t="str">
        <f>IF(B898&gt;0,VLOOKUP(B898,КВСР!A339:B1504,2),IF(C898&gt;0,VLOOKUP(C898,КФСР!A339:B1851,2),IF(D898&gt;0,VLOOKUP(D898,Программа!A$1:B$5112,2),IF(F898&gt;0,VLOOKUP(F898,КВР!A$1:B$5001,2),IF(E898&gt;0,VLOOKUP(E898,Направление!A$1:B$4791,2))))))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8" s="116"/>
      <c r="C898" s="111"/>
      <c r="D898" s="113" t="s">
        <v>394</v>
      </c>
      <c r="E898" s="111"/>
      <c r="F898" s="113"/>
      <c r="G898" s="294">
        <v>0</v>
      </c>
      <c r="H898" s="283">
        <f t="shared" ref="H898:I900" si="201">H899</f>
        <v>0</v>
      </c>
      <c r="I898" s="294">
        <f t="shared" si="201"/>
        <v>0</v>
      </c>
    </row>
    <row r="899" spans="1:9" ht="63" hidden="1" x14ac:dyDescent="0.25">
      <c r="A899" s="851" t="str">
        <f>IF(B899&gt;0,VLOOKUP(B899,КВСР!A340:B1505,2),IF(C899&gt;0,VLOOKUP(C899,КФСР!A340:B1852,2),IF(D899&gt;0,VLOOKUP(D899,Программа!A$1:B$5112,2),IF(F899&gt;0,VLOOKUP(F899,КВР!A$1:B$5001,2),IF(E899&gt;0,VLOOKUP(E899,Направление!A$1:B$4791,2))))))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9" s="116"/>
      <c r="C899" s="111"/>
      <c r="D899" s="113" t="s">
        <v>395</v>
      </c>
      <c r="E899" s="111"/>
      <c r="F899" s="113"/>
      <c r="G899" s="294">
        <v>0</v>
      </c>
      <c r="H899" s="283">
        <f t="shared" si="201"/>
        <v>0</v>
      </c>
      <c r="I899" s="294">
        <f t="shared" si="201"/>
        <v>0</v>
      </c>
    </row>
    <row r="900" spans="1:9" ht="31.5" hidden="1" x14ac:dyDescent="0.25">
      <c r="A900" s="851" t="str">
        <f>IF(B900&gt;0,VLOOKUP(B900,КВСР!A341:B1506,2),IF(C900&gt;0,VLOOKUP(C900,КФСР!A341:B1853,2),IF(D900&gt;0,VLOOKUP(D900,Программа!A$1:B$5112,2),IF(F900&gt;0,VLOOKUP(F900,КВР!A$1:B$5001,2),IF(E900&gt;0,VLOOKUP(E900,Направление!A$1:B$4791,2))))))</f>
        <v>Расходы на развитие муниципальной службы</v>
      </c>
      <c r="B900" s="116"/>
      <c r="C900" s="111"/>
      <c r="D900" s="113"/>
      <c r="E900" s="111">
        <v>12200</v>
      </c>
      <c r="F900" s="113"/>
      <c r="G900" s="294">
        <v>0</v>
      </c>
      <c r="H900" s="283">
        <f t="shared" si="201"/>
        <v>0</v>
      </c>
      <c r="I900" s="294">
        <f t="shared" si="201"/>
        <v>0</v>
      </c>
    </row>
    <row r="901" spans="1:9" ht="63" hidden="1" x14ac:dyDescent="0.25">
      <c r="A901" s="851" t="str">
        <f>IF(B901&gt;0,VLOOKUP(B901,КВСР!A342:B1507,2),IF(C901&gt;0,VLOOKUP(C901,КФСР!A342:B1854,2),IF(D901&gt;0,VLOOKUP(D901,Программа!A$1:B$5112,2),IF(F901&gt;0,VLOOKUP(F901,КВР!A$1:B$5001,2),IF(E901&gt;0,VLOOKUP(E901,Направление!A$1:B$4791,2))))))</f>
        <v xml:space="preserve">Закупка товаров, работ и услуг для обеспечения государственных (муниципальных) нужд
</v>
      </c>
      <c r="B901" s="116"/>
      <c r="C901" s="111"/>
      <c r="D901" s="113"/>
      <c r="E901" s="111"/>
      <c r="F901" s="113">
        <v>200</v>
      </c>
      <c r="G901" s="294">
        <v>0</v>
      </c>
      <c r="H901" s="283"/>
      <c r="I901" s="119">
        <f>G901+H901</f>
        <v>0</v>
      </c>
    </row>
    <row r="902" spans="1:9" hidden="1" x14ac:dyDescent="0.25">
      <c r="A902" s="851" t="str">
        <f>IF(B902&gt;0,VLOOKUP(B902,КВСР!A343:B1508,2),IF(C902&gt;0,VLOOKUP(C902,КФСР!A343:B1855,2),IF(D902&gt;0,VLOOKUP(D902,Программа!A$1:B$5112,2),IF(F902&gt;0,VLOOKUP(F902,КВР!A$1:B$5001,2),IF(E902&gt;0,VLOOKUP(E902,Направление!A$1:B$4791,2))))))</f>
        <v>Непрограммные расходы бюджета</v>
      </c>
      <c r="B902" s="116"/>
      <c r="C902" s="111"/>
      <c r="D902" s="113" t="s">
        <v>383</v>
      </c>
      <c r="E902" s="111"/>
      <c r="F902" s="113"/>
      <c r="G902" s="294">
        <v>0</v>
      </c>
      <c r="H902" s="283">
        <f t="shared" ref="H902:I903" si="202">H903</f>
        <v>0</v>
      </c>
      <c r="I902" s="294">
        <f t="shared" si="202"/>
        <v>0</v>
      </c>
    </row>
    <row r="903" spans="1:9" ht="47.25" hidden="1" x14ac:dyDescent="0.25">
      <c r="A903" s="851" t="str">
        <f>IF(B903&gt;0,VLOOKUP(B903,КВСР!A344:B1509,2),IF(C903&gt;0,VLOOKUP(C903,КФСР!A344:B1856,2),IF(D903&gt;0,VLOOKUP(D903,Программа!A$1:B$5112,2),IF(F903&gt;0,VLOOKUP(F903,КВР!A$1:B$5001,2),IF(E903&gt;0,VLOOKUP(E903,Направление!A$1:B$4791,2))))))</f>
        <v>Обеспечение деятельности подведомственных учреждений органов местного самоуправления</v>
      </c>
      <c r="B903" s="116"/>
      <c r="C903" s="111"/>
      <c r="D903" s="113"/>
      <c r="E903" s="111">
        <v>12100</v>
      </c>
      <c r="F903" s="113"/>
      <c r="G903" s="294">
        <v>0</v>
      </c>
      <c r="H903" s="283">
        <f t="shared" si="202"/>
        <v>0</v>
      </c>
      <c r="I903" s="294">
        <f t="shared" si="202"/>
        <v>0</v>
      </c>
    </row>
    <row r="904" spans="1:9" ht="63" hidden="1" x14ac:dyDescent="0.25">
      <c r="A904" s="851" t="str">
        <f>IF(B904&gt;0,VLOOKUP(B904,КВСР!A345:B1510,2),IF(C904&gt;0,VLOOKUP(C904,КФСР!A345:B1857,2),IF(D904&gt;0,VLOOKUP(D904,Программа!A$1:B$5112,2),IF(F904&gt;0,VLOOKUP(F904,КВР!A$1:B$5001,2),IF(E904&gt;0,VLOOKUP(E904,Направление!A$1:B$4791,2))))))</f>
        <v xml:space="preserve">Закупка товаров, работ и услуг для обеспечения государственных (муниципальных) нужд
</v>
      </c>
      <c r="B904" s="116"/>
      <c r="C904" s="111"/>
      <c r="D904" s="113"/>
      <c r="E904" s="111"/>
      <c r="F904" s="113">
        <v>200</v>
      </c>
      <c r="G904" s="294">
        <v>0</v>
      </c>
      <c r="H904" s="283"/>
      <c r="I904" s="119">
        <f>G904+H904</f>
        <v>0</v>
      </c>
    </row>
    <row r="905" spans="1:9" ht="31.5" x14ac:dyDescent="0.25">
      <c r="A905" s="851" t="str">
        <f>IF(B905&gt;0,VLOOKUP(B905,КВСР!A338:B1503,2),IF(C905&gt;0,VLOOKUP(C905,КФСР!A338:B1850,2),IF(D905&gt;0,VLOOKUP(D905,Программа!A$1:B$5112,2),IF(F905&gt;0,VLOOKUP(F905,КВР!A$1:B$5001,2),IF(E905&gt;0,VLOOKUP(E905,Направление!A$1:B$4791,2))))))</f>
        <v>Обслуживание государственного (муниципального) внутреннего долга</v>
      </c>
      <c r="B905" s="116"/>
      <c r="C905" s="111">
        <v>1301</v>
      </c>
      <c r="D905" s="112"/>
      <c r="E905" s="111"/>
      <c r="F905" s="113"/>
      <c r="G905" s="276">
        <v>500000</v>
      </c>
      <c r="H905" s="338">
        <f t="shared" ref="H905:I905" si="203">H906</f>
        <v>-350000</v>
      </c>
      <c r="I905" s="338">
        <f t="shared" si="203"/>
        <v>150000</v>
      </c>
    </row>
    <row r="906" spans="1:9" x14ac:dyDescent="0.25">
      <c r="A906" s="851" t="str">
        <f>IF(B906&gt;0,VLOOKUP(B906,КВСР!A339:B1504,2),IF(C906&gt;0,VLOOKUP(C906,КФСР!A339:B1851,2),IF(D906&gt;0,VLOOKUP(D906,Программа!A$1:B$5112,2),IF(F906&gt;0,VLOOKUP(F906,КВР!A$1:B$5001,2),IF(E906&gt;0,VLOOKUP(E906,Направление!A$1:B$4791,2))))))</f>
        <v>Непрограммные расходы бюджета</v>
      </c>
      <c r="B906" s="116"/>
      <c r="C906" s="111"/>
      <c r="D906" s="112" t="s">
        <v>383</v>
      </c>
      <c r="E906" s="111"/>
      <c r="F906" s="113"/>
      <c r="G906" s="276">
        <v>500000</v>
      </c>
      <c r="H906" s="338">
        <f t="shared" ref="H906:I906" si="204">H907</f>
        <v>-350000</v>
      </c>
      <c r="I906" s="338">
        <f t="shared" si="204"/>
        <v>150000</v>
      </c>
    </row>
    <row r="907" spans="1:9" ht="31.5" x14ac:dyDescent="0.25">
      <c r="A907" s="851" t="str">
        <f>IF(B907&gt;0,VLOOKUP(B907,КВСР!A340:B1505,2),IF(C907&gt;0,VLOOKUP(C907,КФСР!A340:B1852,2),IF(D907&gt;0,VLOOKUP(D907,Программа!A$1:B$5112,2),IF(F907&gt;0,VLOOKUP(F907,КВР!A$1:B$5001,2),IF(E907&gt;0,VLOOKUP(E907,Направление!A$1:B$4791,2))))))</f>
        <v>Процентные платежи по обслуживанию муниципального долга</v>
      </c>
      <c r="B907" s="116"/>
      <c r="C907" s="111"/>
      <c r="D907" s="112"/>
      <c r="E907" s="111">
        <v>12800</v>
      </c>
      <c r="F907" s="113"/>
      <c r="G907" s="276">
        <v>500000</v>
      </c>
      <c r="H907" s="338">
        <f t="shared" ref="H907" si="205">H908</f>
        <v>-350000</v>
      </c>
      <c r="I907" s="119">
        <f t="shared" si="194"/>
        <v>150000</v>
      </c>
    </row>
    <row r="908" spans="1:9" ht="31.5" x14ac:dyDescent="0.25">
      <c r="A908" s="851" t="str">
        <f>IF(B908&gt;0,VLOOKUP(B908,КВСР!A341:B1506,2),IF(C908&gt;0,VLOOKUP(C908,КФСР!A341:B1853,2),IF(D908&gt;0,VLOOKUP(D908,Программа!A$1:B$5112,2),IF(F908&gt;0,VLOOKUP(F908,КВР!A$1:B$5001,2),IF(E908&gt;0,VLOOKUP(E908,Направление!A$1:B$4791,2))))))</f>
        <v>Обслуживание государственного долга Российской Федерации</v>
      </c>
      <c r="B908" s="116"/>
      <c r="C908" s="111"/>
      <c r="D908" s="113"/>
      <c r="E908" s="111"/>
      <c r="F908" s="113">
        <v>700</v>
      </c>
      <c r="G908" s="294">
        <v>500000</v>
      </c>
      <c r="H908" s="283">
        <v>-350000</v>
      </c>
      <c r="I908" s="119">
        <f t="shared" si="194"/>
        <v>150000</v>
      </c>
    </row>
    <row r="909" spans="1:9" ht="63" x14ac:dyDescent="0.25">
      <c r="A909" s="851" t="str">
        <f>IF(B909&gt;0,VLOOKUP(B909,КВСР!A342:B1507,2),IF(C909&gt;0,VLOOKUP(C909,КФСР!A342:B1854,2),IF(D909&gt;0,VLOOKUP(D909,Программа!A$1:B$5112,2),IF(F909&gt;0,VLOOKUP(F909,КВР!A$1:B$5001,2),IF(E909&gt;0,VLOOKUP(E909,Направление!A$1:B$4791,2))))))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9" s="116"/>
      <c r="C909" s="111">
        <v>1401</v>
      </c>
      <c r="D909" s="112"/>
      <c r="E909" s="111"/>
      <c r="F909" s="113"/>
      <c r="G909" s="276">
        <v>100000</v>
      </c>
      <c r="H909" s="338">
        <f t="shared" ref="H909:I909" si="206">H910</f>
        <v>0</v>
      </c>
      <c r="I909" s="338">
        <f t="shared" si="206"/>
        <v>100000</v>
      </c>
    </row>
    <row r="910" spans="1:9" ht="31.5" x14ac:dyDescent="0.25">
      <c r="A910" s="851" t="str">
        <f>IF(B910&gt;0,VLOOKUP(B910,КВСР!A343:B1508,2),IF(C910&gt;0,VLOOKUP(C910,КФСР!A343:B1855,2),IF(D910&gt;0,VLOOKUP(D910,Программа!A$1:B$5112,2),IF(F910&gt;0,VLOOKUP(F910,КВР!A$1:B$5001,2),IF(E910&gt;0,VLOOKUP(E910,Направление!A$1:B$4791,2))))))</f>
        <v>Межбюджетные трансферты  поселениям района</v>
      </c>
      <c r="B910" s="116"/>
      <c r="C910" s="111"/>
      <c r="D910" s="112" t="s">
        <v>552</v>
      </c>
      <c r="E910" s="111"/>
      <c r="F910" s="113"/>
      <c r="G910" s="276">
        <v>100000</v>
      </c>
      <c r="H910" s="338">
        <f>H911</f>
        <v>0</v>
      </c>
      <c r="I910" s="276">
        <f>I911</f>
        <v>100000</v>
      </c>
    </row>
    <row r="911" spans="1:9" ht="47.25" x14ac:dyDescent="0.25">
      <c r="A911" s="851" t="str">
        <f>IF(B911&gt;0,VLOOKUP(B911,КВСР!A347:B1512,2),IF(C911&gt;0,VLOOKUP(C911,КФСР!A347:B1859,2),IF(D911&gt;0,VLOOKUP(D911,Программа!A$1:B$5112,2),IF(F911&gt;0,VLOOKUP(F911,КВР!A$1:B$5001,2),IF(E911&gt;0,VLOOKUP(E911,Направление!A$1:B$4791,2))))))</f>
        <v>Дотации поселениям района  на выравнивание бюджетной обеспеченности</v>
      </c>
      <c r="B911" s="116"/>
      <c r="C911" s="111"/>
      <c r="D911" s="112"/>
      <c r="E911" s="111">
        <v>10800</v>
      </c>
      <c r="F911" s="113"/>
      <c r="G911" s="276">
        <v>100000</v>
      </c>
      <c r="H911" s="338">
        <f>H912</f>
        <v>0</v>
      </c>
      <c r="I911" s="119">
        <f t="shared" si="194"/>
        <v>100000</v>
      </c>
    </row>
    <row r="912" spans="1:9" x14ac:dyDescent="0.25">
      <c r="A912" s="851" t="str">
        <f>IF(B912&gt;0,VLOOKUP(B912,КВСР!A348:B1513,2),IF(C912&gt;0,VLOOKUP(C912,КФСР!A348:B1860,2),IF(D912&gt;0,VLOOKUP(D912,Программа!A$1:B$5112,2),IF(F912&gt;0,VLOOKUP(F912,КВР!A$1:B$5001,2),IF(E912&gt;0,VLOOKUP(E912,Направление!A$1:B$4791,2))))))</f>
        <v xml:space="preserve"> Межбюджетные трансферты</v>
      </c>
      <c r="B912" s="116"/>
      <c r="C912" s="111"/>
      <c r="D912" s="113"/>
      <c r="E912" s="111"/>
      <c r="F912" s="113">
        <v>500</v>
      </c>
      <c r="G912" s="276">
        <v>100000</v>
      </c>
      <c r="H912" s="338"/>
      <c r="I912" s="119">
        <f t="shared" si="194"/>
        <v>100000</v>
      </c>
    </row>
    <row r="913" spans="1:9" ht="47.25" x14ac:dyDescent="0.25">
      <c r="A913" s="850" t="str">
        <f>IF(B913&gt;0,VLOOKUP(B913,КВСР!A352:B1517,2),IF(C913&gt;0,VLOOKUP(C913,КФСР!A352:B1864,2),IF(D913&gt;0,VLOOKUP(D913,Программа!A$1:B$5112,2),IF(F913&gt;0,VLOOKUP(F913,КВР!A$1:B$5001,2),IF(E913&gt;0,VLOOKUP(E913,Направление!A$1:B$4791,2))))))</f>
        <v>Департамент культуры, туризма и молодежной политики Администрации ТМР</v>
      </c>
      <c r="B913" s="110">
        <v>956</v>
      </c>
      <c r="C913" s="111"/>
      <c r="D913" s="112"/>
      <c r="E913" s="111"/>
      <c r="F913" s="113"/>
      <c r="G913" s="383">
        <v>196499982</v>
      </c>
      <c r="H913" s="337">
        <f>H927+H931+H955+H991+H1056+H1107+H914+H1101+H919</f>
        <v>1216430</v>
      </c>
      <c r="I913" s="383">
        <f>I927+I931+I955+I991+I1056+I1107+I914+I1101+I919</f>
        <v>197716412</v>
      </c>
    </row>
    <row r="914" spans="1:9" ht="47.25" x14ac:dyDescent="0.25">
      <c r="A914" s="851" t="str">
        <f>IF(B914&gt;0,VLOOKUP(B914,КВСР!A349:B1514,2),IF(C914&gt;0,VLOOKUP(C914,КФСР!A349:B1861,2),IF(D914&gt;0,VLOOKUP(D914,Программа!A$1:B$5112,2),IF(F914&gt;0,VLOOKUP(F914,КВР!A$1:B$5001,2),IF(E914&gt;0,VLOOKUP(E914,Направление!A$1:B$4791,2))))))</f>
        <v>Другие вопросы в области национальной безопасности и правоохранительной деятельности</v>
      </c>
      <c r="B914" s="110"/>
      <c r="C914" s="111">
        <v>314</v>
      </c>
      <c r="D914" s="112"/>
      <c r="E914" s="111"/>
      <c r="F914" s="113"/>
      <c r="G914" s="444">
        <v>150000</v>
      </c>
      <c r="H914" s="745">
        <f t="shared" ref="H914:I917" si="207">H915</f>
        <v>0</v>
      </c>
      <c r="I914" s="444">
        <f t="shared" si="207"/>
        <v>150000</v>
      </c>
    </row>
    <row r="915" spans="1:9" ht="63" x14ac:dyDescent="0.25">
      <c r="A915" s="851" t="str">
        <f>IF(B915&gt;0,VLOOKUP(B915,КВСР!A350:B1515,2),IF(C915&gt;0,VLOOKUP(C915,КФСР!A350:B1862,2),IF(D915&gt;0,VLOOKUP(D915,Программа!A$1:B$5112,2),IF(F915&gt;0,VLOOKUP(F915,КВР!A$1:B$5001,2),IF(E915&gt;0,VLOOKUP(E915,Направление!A$1:B$4791,2))))))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5" s="110"/>
      <c r="C915" s="111"/>
      <c r="D915" s="112" t="s">
        <v>500</v>
      </c>
      <c r="E915" s="111"/>
      <c r="F915" s="113"/>
      <c r="G915" s="444">
        <v>150000</v>
      </c>
      <c r="H915" s="745">
        <f t="shared" si="207"/>
        <v>0</v>
      </c>
      <c r="I915" s="444">
        <f t="shared" si="207"/>
        <v>150000</v>
      </c>
    </row>
    <row r="916" spans="1:9" ht="31.5" x14ac:dyDescent="0.25">
      <c r="A916" s="851" t="str">
        <f>IF(B916&gt;0,VLOOKUP(B916,КВСР!A351:B1516,2),IF(C916&gt;0,VLOOKUP(C916,КФСР!A351:B1863,2),IF(D916&gt;0,VLOOKUP(D916,Программа!A$1:B$5112,2),IF(F916&gt;0,VLOOKUP(F916,КВР!A$1:B$5001,2),IF(E916&gt;0,VLOOKUP(E916,Направление!A$1:B$4791,2))))))</f>
        <v>Реализация мероприятий по профилактике правонарушений</v>
      </c>
      <c r="B916" s="110"/>
      <c r="C916" s="111"/>
      <c r="D916" s="112" t="s">
        <v>502</v>
      </c>
      <c r="E916" s="111"/>
      <c r="F916" s="113"/>
      <c r="G916" s="444">
        <v>150000</v>
      </c>
      <c r="H916" s="745">
        <f t="shared" si="207"/>
        <v>0</v>
      </c>
      <c r="I916" s="444">
        <f t="shared" si="207"/>
        <v>150000</v>
      </c>
    </row>
    <row r="917" spans="1:9" ht="31.5" x14ac:dyDescent="0.25">
      <c r="A917" s="851" t="str">
        <f>IF(B917&gt;0,VLOOKUP(B917,КВСР!A352:B1517,2),IF(C917&gt;0,VLOOKUP(C917,КФСР!A352:B1864,2),IF(D917&gt;0,VLOOKUP(D917,Программа!A$1:B$5112,2),IF(F917&gt;0,VLOOKUP(F917,КВР!A$1:B$5001,2),IF(E917&gt;0,VLOOKUP(E917,Направление!A$1:B$4791,2))))))</f>
        <v>Обеспечение деятельности народных дружин</v>
      </c>
      <c r="B917" s="110"/>
      <c r="C917" s="111"/>
      <c r="D917" s="112"/>
      <c r="E917" s="111">
        <v>29486</v>
      </c>
      <c r="F917" s="113"/>
      <c r="G917" s="444">
        <v>150000</v>
      </c>
      <c r="H917" s="745">
        <f t="shared" si="207"/>
        <v>0</v>
      </c>
      <c r="I917" s="444">
        <f t="shared" si="207"/>
        <v>150000</v>
      </c>
    </row>
    <row r="918" spans="1:9" ht="47.25" x14ac:dyDescent="0.25">
      <c r="A918" s="851" t="str">
        <f>IF(B918&gt;0,VLOOKUP(B918,КВСР!A353:B1518,2),IF(C918&gt;0,VLOOKUP(C918,КФСР!A353:B1865,2),IF(D918&gt;0,VLOOKUP(D918,Программа!A$1:B$5112,2),IF(F918&gt;0,VLOOKUP(F918,КВР!A$1:B$5001,2),IF(E918&gt;0,VLOOKUP(E918,Направление!A$1:B$4791,2))))))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150000</v>
      </c>
      <c r="H918" s="745"/>
      <c r="I918" s="445">
        <f>G918+H918</f>
        <v>150000</v>
      </c>
    </row>
    <row r="919" spans="1:9" x14ac:dyDescent="0.25">
      <c r="A919" s="851" t="str">
        <f>IF(B919&gt;0,VLOOKUP(B919,КВСР!A354:B1519,2),IF(C919&gt;0,VLOOKUP(C919,КФСР!A354:B1866,2),IF(D919&gt;0,VLOOKUP(D919,Программа!A$1:B$5112,2),IF(F919&gt;0,VLOOKUP(F919,КВР!A$1:B$5001,2),IF(E919&gt;0,VLOOKUP(E919,Направление!A$1:B$4791,2))))))</f>
        <v xml:space="preserve"> Общеэкономические вопросы</v>
      </c>
      <c r="B919" s="110"/>
      <c r="C919" s="111">
        <v>401</v>
      </c>
      <c r="D919" s="112"/>
      <c r="E919" s="111"/>
      <c r="F919" s="113"/>
      <c r="G919" s="444">
        <v>581416</v>
      </c>
      <c r="H919" s="745">
        <f>H920</f>
        <v>-133241</v>
      </c>
      <c r="I919" s="444">
        <f t="shared" ref="H919:I925" si="208">I920</f>
        <v>448175</v>
      </c>
    </row>
    <row r="920" spans="1:9" ht="63" x14ac:dyDescent="0.25">
      <c r="A920" s="851" t="str">
        <f>IF(B920&gt;0,VLOOKUP(B920,КВСР!A355:B1520,2),IF(C920&gt;0,VLOOKUP(C920,КФСР!A355:B1867,2),IF(D920&gt;0,VLOOKUP(D920,Программа!A$1:B$5112,2),IF(F920&gt;0,VLOOKUP(F920,КВР!A$1:B$5001,2),IF(E920&gt;0,VLOOKUP(E920,Направление!A$1:B$4791,2))))))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0" s="110"/>
      <c r="C920" s="111"/>
      <c r="D920" s="112" t="s">
        <v>470</v>
      </c>
      <c r="E920" s="111"/>
      <c r="F920" s="113"/>
      <c r="G920" s="444">
        <v>581416</v>
      </c>
      <c r="H920" s="745">
        <f>H921</f>
        <v>-133241</v>
      </c>
      <c r="I920" s="444">
        <f t="shared" si="208"/>
        <v>448175</v>
      </c>
    </row>
    <row r="921" spans="1:9" ht="31.5" x14ac:dyDescent="0.25">
      <c r="A921" s="851" t="str">
        <f>IF(B921&gt;0,VLOOKUP(B921,КВСР!A356:B1521,2),IF(C921&gt;0,VLOOKUP(C921,КФСР!A356:B1868,2),IF(D921&gt;0,VLOOKUP(D921,Программа!A$1:B$5112,2),IF(F921&gt;0,VLOOKUP(F921,КВР!A$1:B$5001,2),IF(E921&gt;0,VLOOKUP(E921,Направление!A$1:B$4791,2))))))</f>
        <v>Ведомственная целевая программа «Молодежь»</v>
      </c>
      <c r="B921" s="110"/>
      <c r="C921" s="111"/>
      <c r="D921" s="112" t="s">
        <v>573</v>
      </c>
      <c r="E921" s="111"/>
      <c r="F921" s="113"/>
      <c r="G921" s="444">
        <v>581416</v>
      </c>
      <c r="H921" s="745">
        <f t="shared" si="208"/>
        <v>-133241</v>
      </c>
      <c r="I921" s="444">
        <f t="shared" si="208"/>
        <v>448175</v>
      </c>
    </row>
    <row r="922" spans="1:9" ht="47.25" x14ac:dyDescent="0.25">
      <c r="A922" s="851" t="str">
        <f>IF(B922&gt;0,VLOOKUP(B922,КВСР!A357:B1522,2),IF(C922&gt;0,VLOOKUP(C922,КФСР!A357:B1869,2),IF(D922&gt;0,VLOOKUP(D922,Программа!A$1:B$5112,2),IF(F922&gt;0,VLOOKUP(F922,КВР!A$1:B$5001,2),IF(E922&gt;0,VLOOKUP(E922,Направление!A$1:B$4791,2))))))</f>
        <v>Обеспечение качества и доступности услуг(работ) в сфере молодежной политики</v>
      </c>
      <c r="B922" s="110"/>
      <c r="C922" s="111"/>
      <c r="D922" s="112" t="s">
        <v>1179</v>
      </c>
      <c r="E922" s="111"/>
      <c r="F922" s="113"/>
      <c r="G922" s="444">
        <v>581416</v>
      </c>
      <c r="H922" s="745">
        <f>H925+H923</f>
        <v>-133241</v>
      </c>
      <c r="I922" s="444">
        <f>I925+I923</f>
        <v>448175</v>
      </c>
    </row>
    <row r="923" spans="1:9" ht="63" x14ac:dyDescent="0.25">
      <c r="A923" s="851" t="str">
        <f>IF(B923&gt;0,VLOOKUP(B923,КВСР!A358:B1523,2),IF(C923&gt;0,VLOOKUP(C923,КФСР!A358:B1870,2),IF(D923&gt;0,VLOOKUP(D923,Программа!A$1:B$5112,2),IF(F923&gt;0,VLOOKUP(F923,КВР!A$1:B$5001,2),IF(E923&gt;0,VLOOKUP(E923,Направление!A$1:B$4791,2))))))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23" s="110"/>
      <c r="C923" s="111"/>
      <c r="D923" s="112"/>
      <c r="E923" s="111">
        <v>16950</v>
      </c>
      <c r="F923" s="113"/>
      <c r="G923" s="444">
        <v>48450</v>
      </c>
      <c r="H923" s="745">
        <f t="shared" ref="H923:I923" si="209">H924</f>
        <v>0</v>
      </c>
      <c r="I923" s="444">
        <f t="shared" si="209"/>
        <v>48450</v>
      </c>
    </row>
    <row r="924" spans="1:9" ht="47.25" x14ac:dyDescent="0.25">
      <c r="A924" s="851" t="str">
        <f>IF(B924&gt;0,VLOOKUP(B924,КВСР!A359:B1524,2),IF(C924&gt;0,VLOOKUP(C924,КФСР!A359:B1871,2),IF(D924&gt;0,VLOOKUP(D924,Программа!A$1:B$5112,2),IF(F924&gt;0,VLOOKUP(F924,КВР!A$1:B$5001,2),IF(E924&gt;0,VLOOKUP(E924,Направление!A$1:B$4791,2))))))</f>
        <v>Предоставление субсидий бюджетным, автономным учреждениям и иным некоммерческим организациям</v>
      </c>
      <c r="B924" s="110"/>
      <c r="C924" s="111"/>
      <c r="D924" s="112"/>
      <c r="E924" s="111"/>
      <c r="F924" s="113">
        <v>600</v>
      </c>
      <c r="G924" s="444">
        <v>48450</v>
      </c>
      <c r="H924" s="745"/>
      <c r="I924" s="444">
        <f>G924+H924</f>
        <v>48450</v>
      </c>
    </row>
    <row r="925" spans="1:9" ht="47.25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Расходы на обеспечение трудоустройства несовершеннолетних граждан на временные рабочие места</v>
      </c>
      <c r="B925" s="110"/>
      <c r="C925" s="111"/>
      <c r="D925" s="112"/>
      <c r="E925" s="111">
        <v>76950</v>
      </c>
      <c r="F925" s="113"/>
      <c r="G925" s="444">
        <v>532966</v>
      </c>
      <c r="H925" s="745">
        <f t="shared" si="208"/>
        <v>-133241</v>
      </c>
      <c r="I925" s="444">
        <f t="shared" si="208"/>
        <v>399725</v>
      </c>
    </row>
    <row r="926" spans="1:9" ht="47.25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Предоставление субсидий бюджетным, автономным учреждениям и иным некоммерческим организациям</v>
      </c>
      <c r="B926" s="110"/>
      <c r="C926" s="111"/>
      <c r="D926" s="112"/>
      <c r="E926" s="111"/>
      <c r="F926" s="113">
        <v>600</v>
      </c>
      <c r="G926" s="444">
        <v>532966</v>
      </c>
      <c r="H926" s="745">
        <v>-133241</v>
      </c>
      <c r="I926" s="445">
        <f>G926+H926</f>
        <v>399725</v>
      </c>
    </row>
    <row r="927" spans="1:9" hidden="1" x14ac:dyDescent="0.25">
      <c r="A927" s="851" t="str">
        <f>IF(B927&gt;0,VLOOKUP(B927,КВСР!A353:B1518,2),IF(C927&gt;0,VLOOKUP(C927,КФСР!A353:B1865,2),IF(D927&gt;0,VLOOKUP(D927,Программа!A$1:B$5112,2),IF(F927&gt;0,VLOOKUP(F927,КВР!A$1:B$5001,2),IF(E927&gt;0,VLOOKUP(E927,Направление!A$1:B$4791,2))))))</f>
        <v>Благоустройство</v>
      </c>
      <c r="B927" s="110"/>
      <c r="C927" s="111">
        <v>503</v>
      </c>
      <c r="D927" s="113"/>
      <c r="E927" s="111"/>
      <c r="F927" s="113"/>
      <c r="G927" s="294">
        <v>0</v>
      </c>
      <c r="H927" s="283">
        <f>H928</f>
        <v>0</v>
      </c>
      <c r="I927" s="119">
        <f t="shared" si="194"/>
        <v>0</v>
      </c>
    </row>
    <row r="928" spans="1:9" ht="31.5" hidden="1" x14ac:dyDescent="0.25">
      <c r="A928" s="851" t="str">
        <f>IF(B928&gt;0,VLOOKUP(B928,КВСР!A354:B1519,2),IF(C928&gt;0,VLOOKUP(C928,КФСР!A354:B1866,2),IF(D928&gt;0,VLOOKUP(D928,Программа!A$1:B$5112,2),IF(F928&gt;0,VLOOKUP(F928,КВР!A$1:B$5001,2),IF(E928&gt;0,VLOOKUP(E928,Направление!A$1:B$4791,2))))))</f>
        <v>Межбюджетные трансферты  поселениям района</v>
      </c>
      <c r="B928" s="110"/>
      <c r="C928" s="111"/>
      <c r="D928" s="112" t="s">
        <v>552</v>
      </c>
      <c r="E928" s="111"/>
      <c r="F928" s="113"/>
      <c r="G928" s="294">
        <v>0</v>
      </c>
      <c r="H928" s="283">
        <f>H929</f>
        <v>0</v>
      </c>
      <c r="I928" s="119">
        <f t="shared" si="194"/>
        <v>0</v>
      </c>
    </row>
    <row r="929" spans="1:9" ht="78.75" hidden="1" x14ac:dyDescent="0.25">
      <c r="A929" s="851" t="str">
        <f>IF(B929&gt;0,VLOOKUP(B929,КВСР!A355:B1520,2),IF(C929&gt;0,VLOOKUP(C929,КФСР!A355:B1867,2),IF(D929&gt;0,VLOOKUP(D929,Программа!A$1:B$5112,2),IF(F929&gt;0,VLOOKUP(F929,КВР!A$1:B$5001,2),IF(E929&gt;0,VLOOKUP(E929,Направление!A$1:B$4791,2))))))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9" s="110"/>
      <c r="C929" s="111"/>
      <c r="D929" s="113"/>
      <c r="E929" s="111">
        <v>71750</v>
      </c>
      <c r="F929" s="113"/>
      <c r="G929" s="294">
        <v>0</v>
      </c>
      <c r="H929" s="283">
        <f>SUM(H930:H930)</f>
        <v>0</v>
      </c>
      <c r="I929" s="119">
        <f t="shared" si="194"/>
        <v>0</v>
      </c>
    </row>
    <row r="930" spans="1:9" hidden="1" x14ac:dyDescent="0.25">
      <c r="A930" s="851" t="str">
        <f>IF(B930&gt;0,VLOOKUP(B930,КВСР!A357:B1522,2),IF(C930&gt;0,VLOOKUP(C930,КФСР!A357:B1869,2),IF(D930&gt;0,VLOOKUP(D930,Программа!A$1:B$5112,2),IF(F930&gt;0,VLOOKUP(F930,КВР!A$1:B$5001,2),IF(E930&gt;0,VLOOKUP(E930,Направление!A$1:B$4791,2))))))</f>
        <v xml:space="preserve"> Межбюджетные трансферты</v>
      </c>
      <c r="B930" s="110"/>
      <c r="C930" s="111"/>
      <c r="D930" s="113"/>
      <c r="E930" s="111"/>
      <c r="F930" s="113">
        <v>500</v>
      </c>
      <c r="G930" s="294">
        <v>0</v>
      </c>
      <c r="H930" s="283"/>
      <c r="I930" s="119">
        <f t="shared" si="194"/>
        <v>0</v>
      </c>
    </row>
    <row r="931" spans="1:9" s="132" customFormat="1" x14ac:dyDescent="0.25">
      <c r="A931" s="851" t="str">
        <f>IF(B931&gt;0,VLOOKUP(B931,КВСР!A358:B1523,2),IF(C931&gt;0,VLOOKUP(C931,КФСР!A358:B1870,2),IF(D931&gt;0,VLOOKUP(D931,Программа!A$1:B$5112,2),IF(F931&gt;0,VLOOKUP(F931,КВР!A$1:B$5001,2),IF(E931&gt;0,VLOOKUP(E931,Направление!A$1:B$4791,2))))))</f>
        <v>Дополнительное образование детей</v>
      </c>
      <c r="B931" s="116"/>
      <c r="C931" s="111">
        <v>703</v>
      </c>
      <c r="D931" s="112"/>
      <c r="E931" s="111"/>
      <c r="F931" s="113"/>
      <c r="G931" s="276">
        <v>36380520</v>
      </c>
      <c r="H931" s="338">
        <f>H932+H944</f>
        <v>0</v>
      </c>
      <c r="I931" s="119">
        <f t="shared" si="194"/>
        <v>36380520</v>
      </c>
    </row>
    <row r="932" spans="1:9" s="132" customFormat="1" ht="63" x14ac:dyDescent="0.25">
      <c r="A932" s="851" t="str">
        <f>IF(B932&gt;0,VLOOKUP(B932,КВСР!A359:B1524,2),IF(C932&gt;0,VLOOKUP(C932,КФСР!A359:B1871,2),IF(D932&gt;0,VLOOKUP(D932,Программа!A$1:B$5112,2),IF(F932&gt;0,VLOOKUP(F932,КВР!A$1:B$5001,2),IF(E932&gt;0,VLOOKUP(E932,Направление!A$1:B$4791,2))))))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32" s="116"/>
      <c r="C932" s="111"/>
      <c r="D932" s="125" t="s">
        <v>470</v>
      </c>
      <c r="E932" s="123"/>
      <c r="F932" s="113"/>
      <c r="G932" s="276">
        <v>36229520</v>
      </c>
      <c r="H932" s="338">
        <f>H933</f>
        <v>0</v>
      </c>
      <c r="I932" s="119">
        <f t="shared" si="194"/>
        <v>36229520</v>
      </c>
    </row>
    <row r="933" spans="1:9" s="132" customFormat="1" ht="47.25" x14ac:dyDescent="0.25">
      <c r="A933" s="851" t="str">
        <f>IF(B933&gt;0,VLOOKUP(B933,КВСР!A360:B1525,2),IF(C933&gt;0,VLOOKUP(C933,КФСР!A360:B1872,2),IF(D933&gt;0,VLOOKUP(D933,Программа!A$1:B$5112,2),IF(F933&gt;0,VLOOKUP(F933,КВР!A$1:B$5001,2),IF(E933&gt;0,VLOOKUP(E933,Направление!A$1:B$4791,2))))))</f>
        <v>Ведомственная целевая программа «Сохранение и развитие культуры Тутаевского муниципального района»</v>
      </c>
      <c r="B933" s="116"/>
      <c r="C933" s="111"/>
      <c r="D933" s="125" t="s">
        <v>568</v>
      </c>
      <c r="E933" s="123"/>
      <c r="F933" s="113"/>
      <c r="G933" s="276">
        <v>36229520</v>
      </c>
      <c r="H933" s="338">
        <f>H934+H941</f>
        <v>0</v>
      </c>
      <c r="I933" s="338">
        <f>I934+I941</f>
        <v>36229520</v>
      </c>
    </row>
    <row r="934" spans="1:9" s="132" customFormat="1" ht="47.25" x14ac:dyDescent="0.25">
      <c r="A934" s="851" t="str">
        <f>IF(B934&gt;0,VLOOKUP(B934,КВСР!A361:B1526,2),IF(C934&gt;0,VLOOKUP(C934,КФСР!A361:B1873,2),IF(D934&gt;0,VLOOKUP(D934,Программа!A$1:B$5112,2),IF(F934&gt;0,VLOOKUP(F934,КВР!A$1:B$5001,2),IF(E934&gt;0,VLOOKUP(E934,Направление!A$1:B$4791,2))))))</f>
        <v>Реализация дополнительных образовательных программ в сфере культуры</v>
      </c>
      <c r="B934" s="116"/>
      <c r="C934" s="111"/>
      <c r="D934" s="112" t="s">
        <v>570</v>
      </c>
      <c r="E934" s="111"/>
      <c r="F934" s="113"/>
      <c r="G934" s="276">
        <v>32570312</v>
      </c>
      <c r="H934" s="338">
        <f>H937+H939+H935</f>
        <v>0</v>
      </c>
      <c r="I934" s="119">
        <f t="shared" si="194"/>
        <v>32570312</v>
      </c>
    </row>
    <row r="935" spans="1:9" s="132" customFormat="1" ht="31.5" x14ac:dyDescent="0.25">
      <c r="A935" s="851" t="str">
        <f>IF(B935&gt;0,VLOOKUP(B935,КВСР!A361:B1526,2),IF(C935&gt;0,VLOOKUP(C935,КФСР!A361:B1873,2),IF(D935&gt;0,VLOOKUP(D935,Программа!A$1:B$5112,2),IF(F935&gt;0,VLOOKUP(F935,КВР!A$1:B$5001,2),IF(E935&gt;0,VLOOKUP(E935,Направление!A$1:B$4791,2))))))</f>
        <v xml:space="preserve">Выплата ежемесячных разовых стипендий главы </v>
      </c>
      <c r="B935" s="116"/>
      <c r="C935" s="111"/>
      <c r="D935" s="112"/>
      <c r="E935" s="111">
        <v>12700</v>
      </c>
      <c r="F935" s="113"/>
      <c r="G935" s="276">
        <v>40000</v>
      </c>
      <c r="H935" s="338">
        <f>H936</f>
        <v>0</v>
      </c>
      <c r="I935" s="119">
        <f t="shared" si="194"/>
        <v>40000</v>
      </c>
    </row>
    <row r="936" spans="1:9" s="132" customFormat="1" ht="47.25" x14ac:dyDescent="0.25">
      <c r="A936" s="851" t="str">
        <f>IF(B936&gt;0,VLOOKUP(B936,КВСР!A362:B1527,2),IF(C936&gt;0,VLOOKUP(C936,КФСР!A362:B1874,2),IF(D936&gt;0,VLOOKUP(D936,Программа!A$1:B$5112,2),IF(F936&gt;0,VLOOKUP(F936,КВР!A$1:B$5001,2),IF(E936&gt;0,VLOOKUP(E936,Направление!A$1:B$4791,2))))))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3"/>
      <c r="E936" s="111"/>
      <c r="F936" s="113">
        <v>600</v>
      </c>
      <c r="G936" s="276">
        <v>40000</v>
      </c>
      <c r="H936" s="338"/>
      <c r="I936" s="119">
        <f t="shared" si="194"/>
        <v>40000</v>
      </c>
    </row>
    <row r="937" spans="1:9" s="132" customFormat="1" ht="31.5" x14ac:dyDescent="0.25">
      <c r="A937" s="851" t="str">
        <f>IF(B937&gt;0,VLOOKUP(B937,КВСР!A361:B1526,2),IF(C937&gt;0,VLOOKUP(C937,КФСР!A361:B1873,2),IF(D937&gt;0,VLOOKUP(D937,Программа!A$1:B$5112,2),IF(F937&gt;0,VLOOKUP(F937,КВР!A$1:B$5001,2),IF(E937&gt;0,VLOOKUP(E937,Направление!A$1:B$4791,2))))))</f>
        <v>Обеспечение деятельности учреждений дополнительного образования</v>
      </c>
      <c r="B937" s="116"/>
      <c r="C937" s="111"/>
      <c r="D937" s="112"/>
      <c r="E937" s="111">
        <v>13210</v>
      </c>
      <c r="F937" s="113"/>
      <c r="G937" s="294">
        <v>32530312</v>
      </c>
      <c r="H937" s="283">
        <f>H938</f>
        <v>0</v>
      </c>
      <c r="I937" s="119">
        <f t="shared" si="194"/>
        <v>32530312</v>
      </c>
    </row>
    <row r="938" spans="1:9" s="132" customFormat="1" ht="47.25" x14ac:dyDescent="0.25">
      <c r="A938" s="851" t="str">
        <f>IF(B938&gt;0,VLOOKUP(B938,КВСР!A362:B1527,2),IF(C938&gt;0,VLOOKUP(C938,КФСР!A362:B1874,2),IF(D938&gt;0,VLOOKUP(D938,Программа!A$1:B$5112,2),IF(F938&gt;0,VLOOKUP(F938,КВР!A$1:B$5001,2),IF(E938&gt;0,VLOOKUP(E938,Направление!A$1:B$4791,2))))))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32530312</v>
      </c>
      <c r="H938" s="283"/>
      <c r="I938" s="119">
        <f t="shared" si="194"/>
        <v>32530312</v>
      </c>
    </row>
    <row r="939" spans="1:9" s="132" customFormat="1" hidden="1" x14ac:dyDescent="0.25">
      <c r="A939" s="851" t="str">
        <f>IF(B939&gt;0,VLOOKUP(B939,КВСР!A363:B1528,2),IF(C939&gt;0,VLOOKUP(C939,КФСР!A363:B1875,2),IF(D939&gt;0,VLOOKUP(D939,Программа!A$1:B$5112,2),IF(F939&gt;0,VLOOKUP(F939,КВР!A$1:B$5001,2),IF(E939&gt;0,VLOOKUP(E939,Направление!A$1:B$4791,2))))))</f>
        <v>Мероприятия в сфере культуры</v>
      </c>
      <c r="B939" s="116"/>
      <c r="C939" s="111"/>
      <c r="D939" s="112"/>
      <c r="E939" s="111">
        <v>15220</v>
      </c>
      <c r="F939" s="113"/>
      <c r="G939" s="294">
        <v>0</v>
      </c>
      <c r="H939" s="283">
        <f>H940</f>
        <v>0</v>
      </c>
      <c r="I939" s="119">
        <f t="shared" si="194"/>
        <v>0</v>
      </c>
    </row>
    <row r="940" spans="1:9" s="132" customFormat="1" ht="47.25" hidden="1" x14ac:dyDescent="0.25">
      <c r="A940" s="851" t="str">
        <f>IF(B940&gt;0,VLOOKUP(B940,КВСР!A364:B1529,2),IF(C940&gt;0,VLOOKUP(C940,КФСР!A364:B1876,2),IF(D940&gt;0,VLOOKUP(D940,Программа!A$1:B$5112,2),IF(F940&gt;0,VLOOKUP(F940,КВР!A$1:B$5001,2),IF(E940&gt;0,VLOOKUP(E940,Направление!A$1:B$4791,2))))))</f>
        <v>Предоставление субсидий бюджетным, автономным учреждениям и иным некоммерческим организациям</v>
      </c>
      <c r="B940" s="116"/>
      <c r="C940" s="111"/>
      <c r="D940" s="113"/>
      <c r="E940" s="111"/>
      <c r="F940" s="113">
        <v>600</v>
      </c>
      <c r="G940" s="294">
        <v>0</v>
      </c>
      <c r="H940" s="283"/>
      <c r="I940" s="119">
        <f t="shared" si="194"/>
        <v>0</v>
      </c>
    </row>
    <row r="941" spans="1:9" s="132" customFormat="1" x14ac:dyDescent="0.25">
      <c r="A941" s="851" t="str">
        <f>IF(B941&gt;0,VLOOKUP(B941,КВСР!A365:B1530,2),IF(C941&gt;0,VLOOKUP(C941,КФСР!A365:B1877,2),IF(D941&gt;0,VLOOKUP(D941,Программа!A$1:B$5112,2),IF(F941&gt;0,VLOOKUP(F941,КВР!A$1:B$5001,2),IF(E941&gt;0,VLOOKUP(E941,Направление!A$1:B$4791,2))))))</f>
        <v>Федеральный проект "Культурная среда"</v>
      </c>
      <c r="B941" s="116"/>
      <c r="C941" s="111"/>
      <c r="D941" s="113" t="s">
        <v>1881</v>
      </c>
      <c r="E941" s="111"/>
      <c r="F941" s="113"/>
      <c r="G941" s="294">
        <v>3659208</v>
      </c>
      <c r="H941" s="283">
        <f t="shared" ref="H941:I942" si="210">H942</f>
        <v>0</v>
      </c>
      <c r="I941" s="294">
        <f t="shared" si="210"/>
        <v>3659208</v>
      </c>
    </row>
    <row r="942" spans="1:9" s="132" customFormat="1" ht="78.75" x14ac:dyDescent="0.25">
      <c r="A942" s="853" t="str">
        <f>IF(B942&gt;0,VLOOKUP(B942,КВСР!A366:B1531,2),IF(C942&gt;0,VLOOKUP(C942,КФСР!A366:B1878,2),IF(D942&gt;0,VLOOKUP(D942,Программа!A$1:B$5112,2),IF(F942&gt;0,VLOOKUP(F942,КВР!A$1:B$5001,2),IF(E942&gt;0,VLOOKUP(E942,Направление!A$1:B$4791,2))))))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42" s="116"/>
      <c r="C942" s="111"/>
      <c r="D942" s="113"/>
      <c r="E942" s="111">
        <v>55191</v>
      </c>
      <c r="F942" s="113"/>
      <c r="G942" s="294">
        <v>3659208</v>
      </c>
      <c r="H942" s="283">
        <f t="shared" si="210"/>
        <v>0</v>
      </c>
      <c r="I942" s="294">
        <f t="shared" si="210"/>
        <v>3659208</v>
      </c>
    </row>
    <row r="943" spans="1:9" s="132" customFormat="1" ht="47.25" x14ac:dyDescent="0.25">
      <c r="A943" s="851" t="str">
        <f>IF(B943&gt;0,VLOOKUP(B943,КВСР!A367:B1532,2),IF(C943&gt;0,VLOOKUP(C943,КФСР!A367:B1879,2),IF(D943&gt;0,VLOOKUP(D943,Программа!A$1:B$5112,2),IF(F943&gt;0,VLOOKUP(F943,КВР!A$1:B$5001,2),IF(E943&gt;0,VLOOKUP(E943,Направление!A$1:B$4791,2))))))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3"/>
      <c r="E943" s="111"/>
      <c r="F943" s="113">
        <v>600</v>
      </c>
      <c r="G943" s="294">
        <v>3659208</v>
      </c>
      <c r="H943" s="283"/>
      <c r="I943" s="119">
        <f>G943+H943</f>
        <v>3659208</v>
      </c>
    </row>
    <row r="944" spans="1:9" s="132" customFormat="1" ht="47.25" x14ac:dyDescent="0.25">
      <c r="A944" s="851" t="str">
        <f>IF(B944&gt;0,VLOOKUP(B944,КВСР!A365:B1530,2),IF(C944&gt;0,VLOOKUP(C944,КФСР!A365:B1877,2),IF(D944&gt;0,VLOOKUP(D944,Программа!A$1:B$5112,2),IF(F944&gt;0,VLOOKUP(F944,КВР!A$1:B$5001,2),IF(E944&gt;0,VLOOKUP(E944,Направление!A$1:B$4791,2))))))</f>
        <v>Муниципальная программа "Социальная поддержка населения Тутаевского муниципального района"</v>
      </c>
      <c r="B944" s="116"/>
      <c r="C944" s="111"/>
      <c r="D944" s="113" t="s">
        <v>450</v>
      </c>
      <c r="E944" s="111"/>
      <c r="F944" s="113"/>
      <c r="G944" s="294">
        <v>151000</v>
      </c>
      <c r="H944" s="283">
        <f t="shared" ref="H944:H950" si="211">H945</f>
        <v>0</v>
      </c>
      <c r="I944" s="119">
        <f t="shared" si="194"/>
        <v>151000</v>
      </c>
    </row>
    <row r="945" spans="1:9" s="132" customFormat="1" ht="47.25" x14ac:dyDescent="0.25">
      <c r="A945" s="851" t="str">
        <f>IF(B945&gt;0,VLOOKUP(B945,КВСР!A366:B1531,2),IF(C945&gt;0,VLOOKUP(C945,КФСР!A366:B1878,2),IF(D945&gt;0,VLOOKUP(D945,Программа!A$1:B$5112,2),IF(F945&gt;0,VLOOKUP(F945,КВР!A$1:B$5001,2),IF(E945&gt;0,VLOOKUP(E945,Направление!A$1:B$4791,2))))))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5" s="116"/>
      <c r="C945" s="111"/>
      <c r="D945" s="112" t="s">
        <v>452</v>
      </c>
      <c r="E945" s="111"/>
      <c r="F945" s="113"/>
      <c r="G945" s="294">
        <v>151000</v>
      </c>
      <c r="H945" s="283">
        <f>H949+H946+H952</f>
        <v>0</v>
      </c>
      <c r="I945" s="294">
        <f>I949+I946+I952</f>
        <v>151000</v>
      </c>
    </row>
    <row r="946" spans="1:9" s="132" customFormat="1" ht="63" hidden="1" x14ac:dyDescent="0.25">
      <c r="A946" s="851" t="str">
        <f>IF(B946&gt;0,VLOOKUP(B946,КВСР!A367:B1532,2),IF(C946&gt;0,VLOOKUP(C946,КФСР!A367:B1879,2),IF(D946&gt;0,VLOOKUP(D946,Программа!A$1:B$5112,2),IF(F946&gt;0,VLOOKUP(F946,КВР!A$1:B$5001,2),IF(E946&gt;0,VLOOKUP(E946,Направление!A$1:B$4791,2))))))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6" s="116"/>
      <c r="C946" s="111"/>
      <c r="D946" s="112" t="s">
        <v>453</v>
      </c>
      <c r="E946" s="111"/>
      <c r="F946" s="113"/>
      <c r="G946" s="294">
        <v>0</v>
      </c>
      <c r="H946" s="283">
        <f>H947</f>
        <v>0</v>
      </c>
      <c r="I946" s="119">
        <f t="shared" si="194"/>
        <v>0</v>
      </c>
    </row>
    <row r="947" spans="1:9" s="132" customFormat="1" ht="31.5" hidden="1" x14ac:dyDescent="0.25">
      <c r="A947" s="851" t="str">
        <f>IF(B947&gt;0,VLOOKUP(B947,КВСР!A368:B1533,2),IF(C947&gt;0,VLOOKUP(C947,КФСР!A368:B1880,2),IF(D947&gt;0,VLOOKUP(D947,Программа!A$1:B$5112,2),IF(F947&gt;0,VLOOKUP(F947,КВР!A$1:B$5001,2),IF(E947&gt;0,VLOOKUP(E947,Направление!A$1:B$4791,2))))))</f>
        <v>Расходы на реализацию мероприятий по улучшению условий и охраны труда</v>
      </c>
      <c r="B947" s="116"/>
      <c r="C947" s="111"/>
      <c r="D947" s="112"/>
      <c r="E947" s="111">
        <v>16150</v>
      </c>
      <c r="F947" s="113"/>
      <c r="G947" s="294">
        <v>0</v>
      </c>
      <c r="H947" s="283">
        <f>H948</f>
        <v>0</v>
      </c>
      <c r="I947" s="119">
        <f t="shared" si="194"/>
        <v>0</v>
      </c>
    </row>
    <row r="948" spans="1:9" s="132" customFormat="1" ht="47.25" hidden="1" x14ac:dyDescent="0.25">
      <c r="A948" s="851" t="str">
        <f>IF(B948&gt;0,VLOOKUP(B948,КВСР!A369:B1534,2),IF(C948&gt;0,VLOOKUP(C948,КФСР!A369:B1881,2),IF(D948&gt;0,VLOOKUP(D948,Программа!A$1:B$5112,2),IF(F948&gt;0,VLOOKUP(F948,КВР!A$1:B$5001,2),IF(E948&gt;0,VLOOKUP(E948,Направление!A$1:B$4791,2))))))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2"/>
      <c r="E948" s="111"/>
      <c r="F948" s="113">
        <v>600</v>
      </c>
      <c r="G948" s="294">
        <v>0</v>
      </c>
      <c r="H948" s="283"/>
      <c r="I948" s="119">
        <f t="shared" si="194"/>
        <v>0</v>
      </c>
    </row>
    <row r="949" spans="1:9" s="132" customFormat="1" ht="63" x14ac:dyDescent="0.25">
      <c r="A949" s="851" t="str">
        <f>IF(B949&gt;0,VLOOKUP(B949,КВСР!A366:B1531,2),IF(C949&gt;0,VLOOKUP(C949,КФСР!A366:B1878,2),IF(D949&gt;0,VLOOKUP(D949,Программа!A$1:B$5112,2),IF(F949&gt;0,VLOOKUP(F949,КВР!A$1:B$5001,2),IF(E949&gt;0,VLOOKUP(E949,Направление!A$1:B$4791,2))))))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9" s="116"/>
      <c r="C949" s="111"/>
      <c r="D949" s="112" t="s">
        <v>1545</v>
      </c>
      <c r="E949" s="111"/>
      <c r="F949" s="113"/>
      <c r="G949" s="294">
        <v>120000</v>
      </c>
      <c r="H949" s="283">
        <f t="shared" si="211"/>
        <v>0</v>
      </c>
      <c r="I949" s="119">
        <f t="shared" si="194"/>
        <v>120000</v>
      </c>
    </row>
    <row r="950" spans="1:9" s="132" customFormat="1" ht="31.5" x14ac:dyDescent="0.25">
      <c r="A950" s="851" t="str">
        <f>IF(B950&gt;0,VLOOKUP(B950,КВСР!A367:B1532,2),IF(C950&gt;0,VLOOKUP(C950,КФСР!A367:B1879,2),IF(D950&gt;0,VLOOKUP(D950,Программа!A$1:B$5112,2),IF(F950&gt;0,VLOOKUP(F950,КВР!A$1:B$5001,2),IF(E950&gt;0,VLOOKUP(E950,Направление!A$1:B$4791,2))))))</f>
        <v>Расходы на реализацию мероприятий по улучшению условий и охраны труда</v>
      </c>
      <c r="B950" s="116"/>
      <c r="C950" s="111"/>
      <c r="D950" s="113"/>
      <c r="E950" s="111">
        <v>16150</v>
      </c>
      <c r="F950" s="113"/>
      <c r="G950" s="294">
        <v>120000</v>
      </c>
      <c r="H950" s="283">
        <f t="shared" si="211"/>
        <v>0</v>
      </c>
      <c r="I950" s="119">
        <f t="shared" si="194"/>
        <v>120000</v>
      </c>
    </row>
    <row r="951" spans="1:9" s="132" customFormat="1" ht="47.25" x14ac:dyDescent="0.25">
      <c r="A951" s="851" t="str">
        <f>IF(B951&gt;0,VLOOKUP(B951,КВСР!A368:B1533,2),IF(C951&gt;0,VLOOKUP(C951,КФСР!A368:B1880,2),IF(D951&gt;0,VLOOKUP(D951,Программа!A$1:B$5112,2),IF(F951&gt;0,VLOOKUP(F951,КВР!A$1:B$5001,2),IF(E951&gt;0,VLOOKUP(E951,Направление!A$1:B$4791,2))))))</f>
        <v>Предоставление субсидий бюджетным, автономным учреждениям и иным некоммерческим организациям</v>
      </c>
      <c r="B951" s="116"/>
      <c r="C951" s="111"/>
      <c r="D951" s="113"/>
      <c r="E951" s="111"/>
      <c r="F951" s="113">
        <v>600</v>
      </c>
      <c r="G951" s="294">
        <v>120000</v>
      </c>
      <c r="H951" s="283"/>
      <c r="I951" s="119">
        <f t="shared" si="194"/>
        <v>120000</v>
      </c>
    </row>
    <row r="952" spans="1:9" s="132" customFormat="1" ht="47.25" x14ac:dyDescent="0.25">
      <c r="A952" s="851" t="str">
        <f>IF(B952&gt;0,VLOOKUP(B952,КВСР!A369:B1534,2),IF(C952&gt;0,VLOOKUP(C952,КФСР!A369:B1881,2),IF(D952&gt;0,VLOOKUP(D952,Программа!A$1:B$5112,2),IF(F952&gt;0,VLOOKUP(F952,КВР!A$1:B$5001,2),IF(E952&gt;0,VLOOKUP(E952,Направление!A$1:B$4791,2))))))</f>
        <v>Обучение по охране труда работников организаций Тутаевского муниципального района</v>
      </c>
      <c r="B952" s="116"/>
      <c r="C952" s="111"/>
      <c r="D952" s="112" t="s">
        <v>1116</v>
      </c>
      <c r="E952" s="111"/>
      <c r="F952" s="113"/>
      <c r="G952" s="294">
        <v>31000</v>
      </c>
      <c r="H952" s="283">
        <f>H953</f>
        <v>0</v>
      </c>
      <c r="I952" s="119">
        <f t="shared" ref="I952:I954" si="212">SUM(G952:H952)</f>
        <v>31000</v>
      </c>
    </row>
    <row r="953" spans="1:9" s="132" customFormat="1" ht="31.5" x14ac:dyDescent="0.25">
      <c r="A953" s="851" t="str">
        <f>IF(B953&gt;0,VLOOKUP(B953,КВСР!A370:B1535,2),IF(C953&gt;0,VLOOKUP(C953,КФСР!A370:B1882,2),IF(D953&gt;0,VLOOKUP(D953,Программа!A$1:B$5112,2),IF(F953&gt;0,VLOOKUP(F953,КВР!A$1:B$5001,2),IF(E953&gt;0,VLOOKUP(E953,Направление!A$1:B$4791,2))))))</f>
        <v>Расходы на реализацию мероприятий по улучшению условий и охраны труда</v>
      </c>
      <c r="B953" s="116"/>
      <c r="C953" s="111"/>
      <c r="D953" s="113"/>
      <c r="E953" s="111">
        <v>16150</v>
      </c>
      <c r="F953" s="113"/>
      <c r="G953" s="294">
        <v>31000</v>
      </c>
      <c r="H953" s="283">
        <f>H954</f>
        <v>0</v>
      </c>
      <c r="I953" s="119">
        <f t="shared" si="212"/>
        <v>31000</v>
      </c>
    </row>
    <row r="954" spans="1:9" s="132" customFormat="1" ht="47.25" x14ac:dyDescent="0.25">
      <c r="A954" s="851" t="str">
        <f>IF(B954&gt;0,VLOOKUP(B954,КВСР!A371:B1536,2),IF(C954&gt;0,VLOOKUP(C954,КФСР!A371:B1883,2),IF(D954&gt;0,VLOOKUP(D954,Программа!A$1:B$5112,2),IF(F954&gt;0,VLOOKUP(F954,КВР!A$1:B$5001,2),IF(E954&gt;0,VLOOKUP(E954,Направление!A$1:B$4791,2))))))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31000</v>
      </c>
      <c r="H954" s="283"/>
      <c r="I954" s="119">
        <f t="shared" si="212"/>
        <v>31000</v>
      </c>
    </row>
    <row r="955" spans="1:9" s="132" customFormat="1" x14ac:dyDescent="0.25">
      <c r="A955" s="851" t="str">
        <f>IF(B955&gt;0,VLOOKUP(B955,КВСР!A362:B1527,2),IF(C955&gt;0,VLOOKUP(C955,КФСР!A362:B1874,2),IF(D955&gt;0,VLOOKUP(D955,Программа!A$1:B$5112,2),IF(F955&gt;0,VLOOKUP(F955,КВР!A$1:B$5001,2),IF(E955&gt;0,VLOOKUP(E955,Направление!A$1:B$4791,2))))))</f>
        <v>Молодежная политика</v>
      </c>
      <c r="B955" s="116"/>
      <c r="C955" s="111">
        <v>707</v>
      </c>
      <c r="D955" s="112"/>
      <c r="E955" s="111"/>
      <c r="F955" s="113"/>
      <c r="G955" s="276">
        <v>12089000</v>
      </c>
      <c r="H955" s="338">
        <f>H956+H986</f>
        <v>182341</v>
      </c>
      <c r="I955" s="119">
        <f t="shared" si="194"/>
        <v>12271341</v>
      </c>
    </row>
    <row r="956" spans="1:9" s="132" customFormat="1" ht="63" x14ac:dyDescent="0.25">
      <c r="A956" s="851" t="str">
        <f>IF(B956&gt;0,VLOOKUP(B956,КВСР!A363:B1528,2),IF(C956&gt;0,VLOOKUP(C956,КФСР!A363:B1875,2),IF(D956&gt;0,VLOOKUP(D956,Программа!A$1:B$5112,2),IF(F956&gt;0,VLOOKUP(F956,КВР!A$1:B$5001,2),IF(E956&gt;0,VLOOKUP(E956,Направление!A$1:B$4791,2))))))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6" s="116"/>
      <c r="C956" s="111"/>
      <c r="D956" s="112" t="s">
        <v>470</v>
      </c>
      <c r="E956" s="111"/>
      <c r="F956" s="113"/>
      <c r="G956" s="276">
        <v>12089000</v>
      </c>
      <c r="H956" s="338">
        <f>H957+H976+H982</f>
        <v>182341</v>
      </c>
      <c r="I956" s="119">
        <f t="shared" si="194"/>
        <v>12271341</v>
      </c>
    </row>
    <row r="957" spans="1:9" s="132" customFormat="1" ht="31.5" x14ac:dyDescent="0.25">
      <c r="A957" s="851" t="str">
        <f>IF(B957&gt;0,VLOOKUP(B957,КВСР!A364:B1529,2),IF(C957&gt;0,VLOOKUP(C957,КФСР!A364:B1876,2),IF(D957&gt;0,VLOOKUP(D957,Программа!A$1:B$5112,2),IF(F957&gt;0,VLOOKUP(F957,КВР!A$1:B$5001,2),IF(E957&gt;0,VLOOKUP(E957,Направление!A$1:B$4791,2))))))</f>
        <v>Ведомственная целевая программа «Молодежь»</v>
      </c>
      <c r="B957" s="116"/>
      <c r="C957" s="111"/>
      <c r="D957" s="112" t="s">
        <v>573</v>
      </c>
      <c r="E957" s="111"/>
      <c r="F957" s="113"/>
      <c r="G957" s="276">
        <v>11759000</v>
      </c>
      <c r="H957" s="338">
        <f>H958+H971</f>
        <v>126341</v>
      </c>
      <c r="I957" s="119">
        <f t="shared" si="194"/>
        <v>11885341</v>
      </c>
    </row>
    <row r="958" spans="1:9" s="132" customFormat="1" ht="63" x14ac:dyDescent="0.25">
      <c r="A958" s="851" t="str">
        <f>IF(B958&gt;0,VLOOKUP(B958,КВСР!A364:B1529,2),IF(C958&gt;0,VLOOKUP(C958,КФСР!A364:B1876,2),IF(D958&gt;0,VLOOKUP(D958,Программа!A$1:B$5112,2),IF(F958&gt;0,VLOOKUP(F958,КВР!A$1:B$5001,2),IF(E958&gt;0,VLOOKUP(E958,Направление!A$1:B$4791,2))))))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8" s="116"/>
      <c r="C958" s="111"/>
      <c r="D958" s="112" t="s">
        <v>575</v>
      </c>
      <c r="E958" s="111"/>
      <c r="F958" s="113"/>
      <c r="G958" s="276">
        <v>11669000</v>
      </c>
      <c r="H958" s="338">
        <f>H959+H961+H967+H963+H965+H969</f>
        <v>126341</v>
      </c>
      <c r="I958" s="276">
        <f t="shared" ref="I958" si="213">I959+I961+I967+I963+I965+I969</f>
        <v>11795341</v>
      </c>
    </row>
    <row r="959" spans="1:9" s="132" customFormat="1" ht="47.25" hidden="1" x14ac:dyDescent="0.25">
      <c r="A959" s="851" t="str">
        <f>IF(B959&gt;0,VLOOKUP(B959,КВСР!A365:B1530,2),IF(C959&gt;0,VLOOKUP(C959,КФСР!A365:B1877,2),IF(D959&gt;0,VLOOKUP(D959,Программа!A$1:B$5112,2),IF(F959&gt;0,VLOOKUP(F959,КВР!A$1:B$5001,2),IF(E959&gt;0,VLOOKUP(E959,Направление!A$1:B$4791,2))))))</f>
        <v>Расходы на осуществление деятельности в сфере молодежной политики социальными учреждениями молодежи</v>
      </c>
      <c r="B959" s="116"/>
      <c r="C959" s="111"/>
      <c r="D959" s="112"/>
      <c r="E959" s="111">
        <v>10650</v>
      </c>
      <c r="F959" s="113"/>
      <c r="G959" s="294">
        <v>0</v>
      </c>
      <c r="H959" s="283">
        <f>H960</f>
        <v>0</v>
      </c>
      <c r="I959" s="119">
        <f t="shared" si="194"/>
        <v>0</v>
      </c>
    </row>
    <row r="960" spans="1:9" s="132" customFormat="1" ht="47.25" hidden="1" x14ac:dyDescent="0.25">
      <c r="A960" s="851" t="str">
        <f>IF(B960&gt;0,VLOOKUP(B960,КВСР!A366:B1531,2),IF(C960&gt;0,VLOOKUP(C960,КФСР!A366:B1878,2),IF(D960&gt;0,VLOOKUP(D960,Программа!A$1:B$5112,2),IF(F960&gt;0,VLOOKUP(F960,КВР!A$1:B$5001,2),IF(E960&gt;0,VLOOKUP(E960,Направление!A$1:B$4791,2))))))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3"/>
      <c r="E960" s="111"/>
      <c r="F960" s="113">
        <v>600</v>
      </c>
      <c r="G960" s="294">
        <v>0</v>
      </c>
      <c r="H960" s="283"/>
      <c r="I960" s="119">
        <f t="shared" si="194"/>
        <v>0</v>
      </c>
    </row>
    <row r="961" spans="1:9" s="132" customFormat="1" ht="31.5" x14ac:dyDescent="0.25">
      <c r="A961" s="851" t="str">
        <f>IF(B961&gt;0,VLOOKUP(B961,КВСР!A367:B1532,2),IF(C961&gt;0,VLOOKUP(C961,КФСР!A367:B1879,2),IF(D961&gt;0,VLOOKUP(D961,Программа!A$1:B$5112,2),IF(F961&gt;0,VLOOKUP(F961,КВР!A$1:B$5001,2),IF(E961&gt;0,VLOOKUP(E961,Направление!A$1:B$4791,2))))))</f>
        <v xml:space="preserve">Обеспечение деятельности учреждений в сфере молодежной политики </v>
      </c>
      <c r="B961" s="116"/>
      <c r="C961" s="111"/>
      <c r="D961" s="112"/>
      <c r="E961" s="111">
        <v>14510</v>
      </c>
      <c r="F961" s="113"/>
      <c r="G961" s="276">
        <v>11669000</v>
      </c>
      <c r="H961" s="338">
        <f>H962</f>
        <v>126341</v>
      </c>
      <c r="I961" s="119">
        <f>I962</f>
        <v>11795341</v>
      </c>
    </row>
    <row r="962" spans="1:9" s="132" customFormat="1" ht="47.25" x14ac:dyDescent="0.25">
      <c r="A962" s="851" t="str">
        <f>IF(B962&gt;0,VLOOKUP(B962,КВСР!A368:B1533,2),IF(C962&gt;0,VLOOKUP(C962,КФСР!A368:B1880,2),IF(D962&gt;0,VLOOKUP(D962,Программа!A$1:B$5112,2),IF(F962&gt;0,VLOOKUP(F962,КВР!A$1:B$5001,2),IF(E962&gt;0,VLOOKUP(E962,Направление!A$1:B$4791,2))))))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3"/>
      <c r="E962" s="111"/>
      <c r="F962" s="113">
        <v>600</v>
      </c>
      <c r="G962" s="294">
        <v>11669000</v>
      </c>
      <c r="H962" s="283">
        <v>126341</v>
      </c>
      <c r="I962" s="119">
        <f t="shared" si="194"/>
        <v>11795341</v>
      </c>
    </row>
    <row r="963" spans="1:9" s="132" customFormat="1" ht="63" hidden="1" x14ac:dyDescent="0.25">
      <c r="A963" s="851" t="str">
        <f>IF(B963&gt;0,VLOOKUP(B963,КВСР!A369:B1534,2),IF(C963&gt;0,VLOOKUP(C963,КФСР!A369:B1881,2),IF(D963&gt;0,VLOOKUP(D963,Программа!A$1:B$5112,2),IF(F963&gt;0,VLOOKUP(F963,КВР!A$1:B$5001,2),IF(E963&gt;0,VLOOKUP(E963,Направление!A$1:B$4791,2))))))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63" s="116"/>
      <c r="C963" s="111"/>
      <c r="D963" s="113"/>
      <c r="E963" s="111">
        <v>70650</v>
      </c>
      <c r="F963" s="113"/>
      <c r="G963" s="294">
        <v>0</v>
      </c>
      <c r="H963" s="283">
        <f>H964</f>
        <v>0</v>
      </c>
      <c r="I963" s="119">
        <f t="shared" si="194"/>
        <v>0</v>
      </c>
    </row>
    <row r="964" spans="1:9" s="132" customFormat="1" ht="47.25" hidden="1" x14ac:dyDescent="0.25">
      <c r="A964" s="851" t="str">
        <f>IF(B964&gt;0,VLOOKUP(B964,КВСР!A370:B1535,2),IF(C964&gt;0,VLOOKUP(C964,КФСР!A370:B1882,2),IF(D964&gt;0,VLOOKUP(D964,Программа!A$1:B$5112,2),IF(F964&gt;0,VLOOKUP(F964,КВР!A$1:B$5001,2),IF(E964&gt;0,VLOOKUP(E964,Направление!A$1:B$4791,2))))))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94">
        <v>0</v>
      </c>
      <c r="H964" s="283"/>
      <c r="I964" s="119">
        <f t="shared" si="194"/>
        <v>0</v>
      </c>
    </row>
    <row r="965" spans="1:9" s="132" customFormat="1" hidden="1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 xml:space="preserve">Иная дотация </v>
      </c>
      <c r="B965" s="116"/>
      <c r="C965" s="111"/>
      <c r="D965" s="112"/>
      <c r="E965" s="111">
        <v>73260</v>
      </c>
      <c r="F965" s="113"/>
      <c r="G965" s="294">
        <v>0</v>
      </c>
      <c r="H965" s="283">
        <f t="shared" ref="H965:I965" si="214">H966</f>
        <v>0</v>
      </c>
      <c r="I965" s="294">
        <f t="shared" si="214"/>
        <v>0</v>
      </c>
    </row>
    <row r="966" spans="1:9" s="132" customFormat="1" ht="47.25" hidden="1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12"/>
      <c r="E966" s="111"/>
      <c r="F966" s="113">
        <v>600</v>
      </c>
      <c r="G966" s="294">
        <v>0</v>
      </c>
      <c r="H966" s="283"/>
      <c r="I966" s="119">
        <f>G966+H966</f>
        <v>0</v>
      </c>
    </row>
    <row r="967" spans="1:9" s="132" customFormat="1" ht="78.75" hidden="1" x14ac:dyDescent="0.25">
      <c r="A967" s="851" t="str">
        <f>IF(B967&gt;0,VLOOKUP(B967,КВСР!A371:B1536,2),IF(C967&gt;0,VLOOKUP(C967,КФСР!A371:B1883,2),IF(D967&gt;0,VLOOKUP(D967,Программа!A$1:B$5112,2),IF(F967&gt;0,VLOOKUP(F967,КВР!A$1:B$5001,2),IF(E967&gt;0,VLOOKUP(E967,Направление!A$1:B$4791,2))))))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7" s="116"/>
      <c r="C967" s="111"/>
      <c r="D967" s="112"/>
      <c r="E967" s="111">
        <v>75870</v>
      </c>
      <c r="F967" s="113"/>
      <c r="G967" s="294">
        <v>0</v>
      </c>
      <c r="H967" s="283">
        <f>H968</f>
        <v>0</v>
      </c>
      <c r="I967" s="119">
        <f t="shared" si="194"/>
        <v>0</v>
      </c>
    </row>
    <row r="968" spans="1:9" s="132" customFormat="1" ht="47.25" hidden="1" x14ac:dyDescent="0.25">
      <c r="A968" s="851" t="str">
        <f>IF(B968&gt;0,VLOOKUP(B968,КВСР!A370:B1535,2),IF(C968&gt;0,VLOOKUP(C968,КФСР!A370:B1882,2),IF(D968&gt;0,VLOOKUP(D968,Программа!A$1:B$5112,2),IF(F968&gt;0,VLOOKUP(F968,КВР!A$1:B$5001,2),IF(E968&gt;0,VLOOKUP(E968,Направление!A$1:B$4791,2))))))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0</v>
      </c>
      <c r="H968" s="338"/>
      <c r="I968" s="119">
        <f t="shared" si="194"/>
        <v>0</v>
      </c>
    </row>
    <row r="969" spans="1:9" s="132" customFormat="1" ht="47.25" hidden="1" x14ac:dyDescent="0.25">
      <c r="A969" s="851" t="str">
        <f>IF(B969&gt;0,VLOOKUP(B969,КВСР!A371:B1536,2),IF(C969&gt;0,VLOOKUP(C969,КФСР!A371:B1883,2),IF(D969&gt;0,VLOOKUP(D969,Программа!A$1:B$5112,2),IF(F969&gt;0,VLOOKUP(F969,КВР!A$1:B$5001,2),IF(E969&gt;0,VLOOKUP(E969,Направление!A$1:B$4791,2))))))</f>
        <v>Расходы на обеспечение трудоустройства несовершеннолетних граждан на временные рабочие места</v>
      </c>
      <c r="B969" s="116"/>
      <c r="C969" s="111"/>
      <c r="D969" s="112"/>
      <c r="E969" s="111">
        <v>76150</v>
      </c>
      <c r="F969" s="113"/>
      <c r="G969" s="276">
        <v>0</v>
      </c>
      <c r="H969" s="338">
        <f t="shared" ref="H969:I969" si="215">H970</f>
        <v>0</v>
      </c>
      <c r="I969" s="276">
        <f t="shared" si="215"/>
        <v>0</v>
      </c>
    </row>
    <row r="970" spans="1:9" s="132" customFormat="1" ht="47.25" hidden="1" x14ac:dyDescent="0.25">
      <c r="A970" s="851" t="str">
        <f>IF(B970&gt;0,VLOOKUP(B970,КВСР!A372:B1537,2),IF(C970&gt;0,VLOOKUP(C970,КФСР!A372:B1884,2),IF(D970&gt;0,VLOOKUP(D970,Программа!A$1:B$5112,2),IF(F970&gt;0,VLOOKUP(F970,КВР!A$1:B$5001,2),IF(E970&gt;0,VLOOKUP(E970,Направление!A$1:B$4791,2))))))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>G970+H970</f>
        <v>0</v>
      </c>
    </row>
    <row r="971" spans="1:9" s="132" customFormat="1" ht="47.2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Обеспечение качества и доступности услуг(работ) в сфере молодежной политики</v>
      </c>
      <c r="B971" s="116"/>
      <c r="C971" s="111"/>
      <c r="D971" s="112" t="s">
        <v>1179</v>
      </c>
      <c r="E971" s="111"/>
      <c r="F971" s="113"/>
      <c r="G971" s="276">
        <v>90000</v>
      </c>
      <c r="H971" s="338">
        <f>H972+H974</f>
        <v>0</v>
      </c>
      <c r="I971" s="119">
        <f t="shared" si="194"/>
        <v>90000</v>
      </c>
    </row>
    <row r="972" spans="1:9" s="132" customFormat="1" ht="31.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 xml:space="preserve">Выплата ежемесячных разовых стипендий главы </v>
      </c>
      <c r="B972" s="116"/>
      <c r="C972" s="111"/>
      <c r="D972" s="112"/>
      <c r="E972" s="111">
        <v>12700</v>
      </c>
      <c r="F972" s="113"/>
      <c r="G972" s="276">
        <v>90000</v>
      </c>
      <c r="H972" s="338">
        <f>H973</f>
        <v>0</v>
      </c>
      <c r="I972" s="119">
        <f t="shared" si="194"/>
        <v>90000</v>
      </c>
    </row>
    <row r="973" spans="1:9" s="132" customFormat="1" ht="47.25" x14ac:dyDescent="0.25">
      <c r="A973" s="851" t="str">
        <f>IF(B973&gt;0,VLOOKUP(B973,КВСР!A373:B1538,2),IF(C973&gt;0,VLOOKUP(C973,КФСР!A373:B1885,2),IF(D973&gt;0,VLOOKUP(D973,Программа!A$1:B$5112,2),IF(F973&gt;0,VLOOKUP(F973,КВР!A$1:B$5001,2),IF(E973&gt;0,VLOOKUP(E973,Направление!A$1:B$4791,2))))))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90000</v>
      </c>
      <c r="H973" s="338"/>
      <c r="I973" s="119">
        <f t="shared" si="194"/>
        <v>90000</v>
      </c>
    </row>
    <row r="974" spans="1:9" s="132" customFormat="1" ht="31.5" hidden="1" x14ac:dyDescent="0.25">
      <c r="A974" s="851" t="str">
        <f>IF(B974&gt;0,VLOOKUP(B974,КВСР!A374:B1539,2),IF(C974&gt;0,VLOOKUP(C974,КФСР!A374:B1886,2),IF(D974&gt;0,VLOOKUP(D974,Программа!A$1:B$5112,2),IF(F974&gt;0,VLOOKUP(F974,КВР!A$1:B$5001,2),IF(E974&gt;0,VLOOKUP(E974,Направление!A$1:B$4791,2))))))</f>
        <v xml:space="preserve">Обеспечение деятельности учреждений в сфере молодежной политики </v>
      </c>
      <c r="B974" s="116"/>
      <c r="C974" s="111"/>
      <c r="D974" s="112"/>
      <c r="E974" s="111">
        <v>14510</v>
      </c>
      <c r="F974" s="113"/>
      <c r="G974" s="276">
        <v>0</v>
      </c>
      <c r="H974" s="338">
        <f>H975</f>
        <v>0</v>
      </c>
      <c r="I974" s="119">
        <f t="shared" ref="I974:I1074" si="216">SUM(G974:H974)</f>
        <v>0</v>
      </c>
    </row>
    <row r="975" spans="1:9" s="132" customFormat="1" ht="47.25" hidden="1" x14ac:dyDescent="0.25">
      <c r="A975" s="851" t="str">
        <f>IF(B975&gt;0,VLOOKUP(B975,КВСР!A374:B1539,2),IF(C975&gt;0,VLOOKUP(C975,КФСР!A374:B1886,2),IF(D975&gt;0,VLOOKUP(D975,Программа!A$1:B$5112,2),IF(F975&gt;0,VLOOKUP(F975,КВР!A$1:B$5001,2),IF(E975&gt;0,VLOOKUP(E975,Направление!A$1:B$4791,2))))))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 t="shared" si="216"/>
        <v>0</v>
      </c>
    </row>
    <row r="976" spans="1:9" s="132" customFormat="1" ht="94.5" x14ac:dyDescent="0.25">
      <c r="A976" s="851" t="str">
        <f>IF(B976&gt;0,VLOOKUP(B976,КВСР!A371:B1536,2),IF(C976&gt;0,VLOOKUP(C976,КФСР!A371:B1883,2),IF(D976&gt;0,VLOOKUP(D976,Программа!A$1:B$5112,2),IF(F976&gt;0,VLOOKUP(F976,КВР!A$1:B$5001,2),IF(E976&gt;0,VLOOKUP(E976,Направление!A$1:B$4791,2))))))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6" s="116"/>
      <c r="C976" s="111"/>
      <c r="D976" s="112" t="s">
        <v>472</v>
      </c>
      <c r="E976" s="111"/>
      <c r="F976" s="113"/>
      <c r="G976" s="276">
        <v>200000</v>
      </c>
      <c r="H976" s="338">
        <f t="shared" ref="H976:H978" si="217">H977</f>
        <v>56000</v>
      </c>
      <c r="I976" s="119">
        <f t="shared" si="216"/>
        <v>256000</v>
      </c>
    </row>
    <row r="977" spans="1:9" s="132" customFormat="1" ht="78.75" x14ac:dyDescent="0.25">
      <c r="A977" s="851" t="str">
        <f>IF(B977&gt;0,VLOOKUP(B977,КВСР!A372:B1537,2),IF(C977&gt;0,VLOOKUP(C977,КФСР!A372:B1884,2),IF(D977&gt;0,VLOOKUP(D977,Программа!A$1:B$5112,2),IF(F977&gt;0,VLOOKUP(F977,КВР!A$1:B$5001,2),IF(E977&gt;0,VLOOKUP(E977,Направление!A$1:B$4791,2))))))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7" s="116"/>
      <c r="C977" s="111"/>
      <c r="D977" s="112" t="s">
        <v>474</v>
      </c>
      <c r="E977" s="111"/>
      <c r="F977" s="113"/>
      <c r="G977" s="276">
        <v>200000</v>
      </c>
      <c r="H977" s="338">
        <f t="shared" ref="H977:I977" si="218">H978+H980</f>
        <v>56000</v>
      </c>
      <c r="I977" s="276">
        <f t="shared" si="218"/>
        <v>256000</v>
      </c>
    </row>
    <row r="978" spans="1:9" s="132" customFormat="1" ht="31.5" x14ac:dyDescent="0.25">
      <c r="A978" s="851" t="str">
        <f>IF(B978&gt;0,VLOOKUP(B978,КВСР!A374:B1539,2),IF(C978&gt;0,VLOOKUP(C978,КФСР!A374:B1886,2),IF(D978&gt;0,VLOOKUP(D978,Программа!A$1:B$5112,2),IF(F978&gt;0,VLOOKUP(F978,КВР!A$1:B$5001,2),IF(E978&gt;0,VLOOKUP(E978,Направление!A$1:B$4791,2))))))</f>
        <v>Мероприятия по патриотическому воспитанию граждан</v>
      </c>
      <c r="B978" s="116"/>
      <c r="C978" s="111"/>
      <c r="D978" s="112"/>
      <c r="E978" s="111">
        <v>14880</v>
      </c>
      <c r="F978" s="113"/>
      <c r="G978" s="276">
        <v>200000</v>
      </c>
      <c r="H978" s="338">
        <f t="shared" si="217"/>
        <v>56000</v>
      </c>
      <c r="I978" s="119">
        <f t="shared" si="216"/>
        <v>256000</v>
      </c>
    </row>
    <row r="979" spans="1:9" s="132" customFormat="1" ht="47.25" x14ac:dyDescent="0.25">
      <c r="A979" s="851" t="str">
        <f>IF(B979&gt;0,VLOOKUP(B979,КВСР!A375:B1540,2),IF(C979&gt;0,VLOOKUP(C979,КФСР!A375:B1887,2),IF(D979&gt;0,VLOOKUP(D979,Программа!A$1:B$5112,2),IF(F979&gt;0,VLOOKUP(F979,КВР!A$1:B$5001,2),IF(E979&gt;0,VLOOKUP(E979,Направление!A$1:B$4791,2))))))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200000</v>
      </c>
      <c r="H979" s="338">
        <v>56000</v>
      </c>
      <c r="I979" s="119">
        <f t="shared" si="216"/>
        <v>256000</v>
      </c>
    </row>
    <row r="980" spans="1:9" s="132" customFormat="1" ht="31.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Мероприятия по патриотическому воспитанию граждан</v>
      </c>
      <c r="B980" s="116"/>
      <c r="C980" s="111"/>
      <c r="D980" s="112"/>
      <c r="E980" s="111">
        <v>74880</v>
      </c>
      <c r="F980" s="113"/>
      <c r="G980" s="276">
        <v>0</v>
      </c>
      <c r="H980" s="338">
        <f t="shared" ref="H980:I980" si="219">H981</f>
        <v>0</v>
      </c>
      <c r="I980" s="276">
        <f t="shared" si="219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Предоставление субсидий бюджетным, автономным учреждениям и иным некоммерческим организациям</v>
      </c>
      <c r="B981" s="116"/>
      <c r="C981" s="111"/>
      <c r="D981" s="112"/>
      <c r="E981" s="111"/>
      <c r="F981" s="113">
        <v>600</v>
      </c>
      <c r="G981" s="276">
        <v>0</v>
      </c>
      <c r="H981" s="338"/>
      <c r="I981" s="119">
        <f>G981+H981</f>
        <v>0</v>
      </c>
    </row>
    <row r="982" spans="1:9" s="132" customFormat="1" ht="63" x14ac:dyDescent="0.25">
      <c r="A982" s="851" t="str">
        <f>IF(B982&gt;0,VLOOKUP(B982,КВСР!A376:B1541,2),IF(C982&gt;0,VLOOKUP(C982,КФСР!A376:B1888,2),IF(D982&gt;0,VLOOKUP(D982,Программа!A$1:B$5112,2),IF(F982&gt;0,VLOOKUP(F982,КВР!A$1:B$5001,2),IF(E982&gt;0,VLOOKUP(E982,Направление!A$1:B$4791,2))))))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2" s="116"/>
      <c r="C982" s="111"/>
      <c r="D982" s="112" t="s">
        <v>477</v>
      </c>
      <c r="E982" s="111"/>
      <c r="F982" s="113"/>
      <c r="G982" s="276">
        <v>130000</v>
      </c>
      <c r="H982" s="338">
        <f t="shared" ref="H982:H984" si="220">H983</f>
        <v>0</v>
      </c>
      <c r="I982" s="119">
        <f t="shared" si="216"/>
        <v>130000</v>
      </c>
    </row>
    <row r="983" spans="1:9" s="132" customFormat="1" ht="47.25" x14ac:dyDescent="0.25">
      <c r="A983" s="851" t="str">
        <f>IF(B983&gt;0,VLOOKUP(B983,КВСР!A377:B1542,2),IF(C983&gt;0,VLOOKUP(C983,КФСР!A377:B1889,2),IF(D983&gt;0,VLOOKUP(D983,Программа!A$1:B$5112,2),IF(F983&gt;0,VLOOKUP(F983,КВР!A$1:B$5001,2),IF(E983&gt;0,VLOOKUP(E983,Направление!A$1:B$4791,2))))))</f>
        <v>Развитие системы профилактики немедицинского потребления наркотиков</v>
      </c>
      <c r="B983" s="116"/>
      <c r="C983" s="111"/>
      <c r="D983" s="112" t="s">
        <v>479</v>
      </c>
      <c r="E983" s="111"/>
      <c r="F983" s="113"/>
      <c r="G983" s="276">
        <v>130000</v>
      </c>
      <c r="H983" s="338">
        <f t="shared" si="220"/>
        <v>0</v>
      </c>
      <c r="I983" s="119">
        <f t="shared" si="216"/>
        <v>130000</v>
      </c>
    </row>
    <row r="984" spans="1:9" s="132" customFormat="1" ht="63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84" s="134"/>
      <c r="C984" s="129"/>
      <c r="D984" s="128"/>
      <c r="E984" s="129">
        <v>13820</v>
      </c>
      <c r="F984" s="131"/>
      <c r="G984" s="294">
        <v>130000</v>
      </c>
      <c r="H984" s="283">
        <f t="shared" si="220"/>
        <v>0</v>
      </c>
      <c r="I984" s="119">
        <f t="shared" si="216"/>
        <v>130000</v>
      </c>
    </row>
    <row r="985" spans="1:9" s="132" customFormat="1" ht="47.25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76">
        <v>130000</v>
      </c>
      <c r="H985" s="338"/>
      <c r="I985" s="119">
        <f t="shared" si="216"/>
        <v>130000</v>
      </c>
    </row>
    <row r="986" spans="1:9" s="132" customFormat="1" ht="47.25" hidden="1" x14ac:dyDescent="0.25">
      <c r="A986" s="851" t="str">
        <f>IF(B986&gt;0,VLOOKUP(B986,КВСР!A376:B1541,2),IF(C986&gt;0,VLOOKUP(C986,КФСР!A376:B1888,2),IF(D986&gt;0,VLOOKUP(D986,Программа!A$1:B$5112,2),IF(F986&gt;0,VLOOKUP(F986,КВР!A$1:B$5001,2),IF(E986&gt;0,VLOOKUP(E986,Направление!A$1:B$4791,2))))))</f>
        <v>Муниципальная программа "Социальная поддержка населения Тутаевского муниципального района"</v>
      </c>
      <c r="B986" s="116"/>
      <c r="C986" s="111"/>
      <c r="D986" s="112" t="s">
        <v>450</v>
      </c>
      <c r="E986" s="111"/>
      <c r="F986" s="113"/>
      <c r="G986" s="276">
        <v>0</v>
      </c>
      <c r="H986" s="338">
        <f t="shared" ref="H986:H989" si="221">H987</f>
        <v>0</v>
      </c>
      <c r="I986" s="119">
        <f t="shared" si="216"/>
        <v>0</v>
      </c>
    </row>
    <row r="987" spans="1:9" s="132" customFormat="1" ht="47.25" hidden="1" x14ac:dyDescent="0.25">
      <c r="A987" s="851" t="str">
        <f>IF(B987&gt;0,VLOOKUP(B987,КВСР!A377:B1542,2),IF(C987&gt;0,VLOOKUP(C987,КФСР!A377:B1889,2),IF(D987&gt;0,VLOOKUP(D987,Программа!A$1:B$5112,2),IF(F987&gt;0,VLOOKUP(F987,КВР!A$1:B$5001,2),IF(E987&gt;0,VLOOKUP(E987,Направление!A$1:B$4791,2))))))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7" s="116"/>
      <c r="C987" s="111"/>
      <c r="D987" s="112" t="s">
        <v>452</v>
      </c>
      <c r="E987" s="111"/>
      <c r="F987" s="113"/>
      <c r="G987" s="276">
        <v>0</v>
      </c>
      <c r="H987" s="338">
        <f>H989</f>
        <v>0</v>
      </c>
      <c r="I987" s="119">
        <f t="shared" si="216"/>
        <v>0</v>
      </c>
    </row>
    <row r="988" spans="1:9" s="132" customFormat="1" ht="47.25" hidden="1" x14ac:dyDescent="0.25">
      <c r="A988" s="851" t="str">
        <f>IF(B988&gt;0,VLOOKUP(B988,КВСР!A378:B1543,2),IF(C988&gt;0,VLOOKUP(C988,КФСР!A378:B1890,2),IF(D988&gt;0,VLOOKUP(D988,Программа!A$1:B$5112,2),IF(F988&gt;0,VLOOKUP(F988,КВР!A$1:B$5001,2),IF(E988&gt;0,VLOOKUP(E988,Направление!A$1:B$4791,2))))))</f>
        <v>Обучение по охране труда работников организаций Тутаевского муниципального района</v>
      </c>
      <c r="B988" s="116"/>
      <c r="C988" s="111"/>
      <c r="D988" s="112" t="s">
        <v>1116</v>
      </c>
      <c r="E988" s="111"/>
      <c r="F988" s="113"/>
      <c r="G988" s="276">
        <v>0</v>
      </c>
      <c r="H988" s="338">
        <f t="shared" ref="H988:I988" si="222">H989</f>
        <v>0</v>
      </c>
      <c r="I988" s="276">
        <f t="shared" si="222"/>
        <v>0</v>
      </c>
    </row>
    <row r="989" spans="1:9" s="132" customFormat="1" ht="31.5" hidden="1" x14ac:dyDescent="0.25">
      <c r="A989" s="851" t="str">
        <f>IF(B989&gt;0,VLOOKUP(B989,КВСР!A378:B1543,2),IF(C989&gt;0,VLOOKUP(C989,КФСР!A378:B1890,2),IF(D989&gt;0,VLOOKUP(D989,Программа!A$1:B$5112,2),IF(F989&gt;0,VLOOKUP(F989,КВР!A$1:B$5001,2),IF(E989&gt;0,VLOOKUP(E989,Направление!A$1:B$4791,2))))))</f>
        <v>Расходы на реализацию мероприятий по улучшению условий и охраны труда</v>
      </c>
      <c r="B989" s="116"/>
      <c r="C989" s="111"/>
      <c r="D989" s="112"/>
      <c r="E989" s="111">
        <v>16150</v>
      </c>
      <c r="F989" s="113"/>
      <c r="G989" s="276">
        <v>0</v>
      </c>
      <c r="H989" s="338">
        <f t="shared" si="221"/>
        <v>0</v>
      </c>
      <c r="I989" s="119">
        <f t="shared" si="216"/>
        <v>0</v>
      </c>
    </row>
    <row r="990" spans="1:9" s="132" customFormat="1" ht="47.25" hidden="1" x14ac:dyDescent="0.25">
      <c r="A990" s="851" t="str">
        <f>IF(B990&gt;0,VLOOKUP(B990,КВСР!A379:B1544,2),IF(C990&gt;0,VLOOKUP(C990,КФСР!A379:B1891,2),IF(D990&gt;0,VLOOKUP(D990,Программа!A$1:B$5112,2),IF(F990&gt;0,VLOOKUP(F990,КВР!A$1:B$5001,2),IF(E990&gt;0,VLOOKUP(E990,Направление!A$1:B$4791,2))))))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13"/>
      <c r="E990" s="111"/>
      <c r="F990" s="113">
        <v>600</v>
      </c>
      <c r="G990" s="276">
        <v>0</v>
      </c>
      <c r="H990" s="338"/>
      <c r="I990" s="119">
        <f t="shared" si="216"/>
        <v>0</v>
      </c>
    </row>
    <row r="991" spans="1:9" s="132" customFormat="1" x14ac:dyDescent="0.25">
      <c r="A991" s="851" t="str">
        <f>IF(B991&gt;0,VLOOKUP(B991,КВСР!A386:B1551,2),IF(C991&gt;0,VLOOKUP(C991,КФСР!A386:B1898,2),IF(D991&gt;0,VLOOKUP(D991,Программа!A$1:B$5112,2),IF(F991&gt;0,VLOOKUP(F991,КВР!A$1:B$5001,2),IF(E991&gt;0,VLOOKUP(E991,Направление!A$1:B$4791,2))))))</f>
        <v>Культура</v>
      </c>
      <c r="B991" s="116"/>
      <c r="C991" s="111">
        <v>801</v>
      </c>
      <c r="D991" s="125"/>
      <c r="E991" s="123"/>
      <c r="F991" s="124"/>
      <c r="G991" s="276">
        <v>115244069</v>
      </c>
      <c r="H991" s="338">
        <f>H992+H1052+H1041</f>
        <v>1167330</v>
      </c>
      <c r="I991" s="119">
        <f t="shared" si="216"/>
        <v>116411399</v>
      </c>
    </row>
    <row r="992" spans="1:9" s="132" customFormat="1" ht="63" x14ac:dyDescent="0.25">
      <c r="A992" s="851" t="str">
        <f>IF(B992&gt;0,VLOOKUP(B992,КВСР!A387:B1552,2),IF(C992&gt;0,VLOOKUP(C992,КФСР!A387:B1899,2),IF(D992&gt;0,VLOOKUP(D992,Программа!A$1:B$5112,2),IF(F992&gt;0,VLOOKUP(F992,КВР!A$1:B$5001,2),IF(E992&gt;0,VLOOKUP(E992,Направление!A$1:B$4791,2))))))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92" s="116"/>
      <c r="C992" s="111"/>
      <c r="D992" s="125" t="s">
        <v>470</v>
      </c>
      <c r="E992" s="123"/>
      <c r="F992" s="124"/>
      <c r="G992" s="276">
        <v>114787569</v>
      </c>
      <c r="H992" s="338">
        <f t="shared" ref="H992:I992" si="223">H1002+H993</f>
        <v>1167330</v>
      </c>
      <c r="I992" s="276">
        <f t="shared" si="223"/>
        <v>115954899</v>
      </c>
    </row>
    <row r="993" spans="1:9" s="132" customFormat="1" ht="94.5" x14ac:dyDescent="0.25">
      <c r="A993" s="851" t="str">
        <f>IF(B993&gt;0,VLOOKUP(B993,КВСР!A388:B1553,2),IF(C993&gt;0,VLOOKUP(C993,КФСР!A388:B1900,2),IF(D993&gt;0,VLOOKUP(D993,Программа!A$1:B$5112,2),IF(F993&gt;0,VLOOKUP(F993,КВР!A$1:B$5001,2),IF(E993&gt;0,VLOOKUP(E993,Направление!A$1:B$4791,2))))))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6"/>
      <c r="C993" s="111"/>
      <c r="D993" s="125" t="s">
        <v>472</v>
      </c>
      <c r="E993" s="123"/>
      <c r="F993" s="124"/>
      <c r="G993" s="276">
        <v>300000</v>
      </c>
      <c r="H993" s="338">
        <f>H997+H994</f>
        <v>0</v>
      </c>
      <c r="I993" s="276">
        <f>I997+I994</f>
        <v>300000</v>
      </c>
    </row>
    <row r="994" spans="1:9" s="132" customFormat="1" ht="78.75" hidden="1" x14ac:dyDescent="0.25">
      <c r="A994" s="851" t="str">
        <f>IF(B994&gt;0,VLOOKUP(B994,КВСР!A389:B1554,2),IF(C994&gt;0,VLOOKUP(C994,КФСР!A389:B1901,2),IF(D994&gt;0,VLOOKUP(D994,Программа!A$1:B$5112,2),IF(F994&gt;0,VLOOKUP(F994,КВР!A$1:B$5001,2),IF(E994&gt;0,VLOOKUP(E994,Направление!A$1:B$4791,2))))))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6"/>
      <c r="C994" s="111"/>
      <c r="D994" s="125" t="s">
        <v>474</v>
      </c>
      <c r="E994" s="123"/>
      <c r="F994" s="124"/>
      <c r="G994" s="276">
        <v>0</v>
      </c>
      <c r="H994" s="338">
        <f t="shared" ref="H994:I995" si="224">H995</f>
        <v>0</v>
      </c>
      <c r="I994" s="276">
        <f t="shared" si="224"/>
        <v>0</v>
      </c>
    </row>
    <row r="995" spans="1:9" s="132" customFormat="1" ht="47.25" hidden="1" x14ac:dyDescent="0.25">
      <c r="A995" s="851" t="str">
        <f>IF(B995&gt;0,VLOOKUP(B995,КВСР!A390:B1555,2),IF(C995&gt;0,VLOOKUP(C995,КФСР!A390:B1902,2),IF(D995&gt;0,VLOOKUP(D995,Программа!A$1:B$5112,2),IF(F995&gt;0,VLOOKUP(F995,КВР!A$1:B$5001,2),IF(E995&gt;0,VLOOKUP(E995,Направление!A$1:B$4791,2))))))</f>
        <v xml:space="preserve">Обеспечение мероприятий по содержанию  военно-мемориального комплекса </v>
      </c>
      <c r="B995" s="116"/>
      <c r="C995" s="111"/>
      <c r="D995" s="125"/>
      <c r="E995" s="123">
        <v>29686</v>
      </c>
      <c r="F995" s="124"/>
      <c r="G995" s="276">
        <v>0</v>
      </c>
      <c r="H995" s="338">
        <f t="shared" si="224"/>
        <v>0</v>
      </c>
      <c r="I995" s="276">
        <f t="shared" si="224"/>
        <v>0</v>
      </c>
    </row>
    <row r="996" spans="1:9" s="132" customFormat="1" ht="47.25" hidden="1" x14ac:dyDescent="0.25">
      <c r="A996" s="851" t="str">
        <f>IF(B996&gt;0,VLOOKUP(B996,КВСР!A391:B1556,2),IF(C996&gt;0,VLOOKUP(C996,КФСР!A391:B1903,2),IF(D996&gt;0,VLOOKUP(D996,Программа!A$1:B$5112,2),IF(F996&gt;0,VLOOKUP(F996,КВР!A$1:B$5001,2),IF(E996&gt;0,VLOOKUP(E996,Направление!A$1:B$4791,2))))))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276">
        <f>G996+H996</f>
        <v>0</v>
      </c>
    </row>
    <row r="997" spans="1:9" s="132" customFormat="1" ht="78.7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7" s="116"/>
      <c r="C997" s="111"/>
      <c r="D997" s="125" t="s">
        <v>1685</v>
      </c>
      <c r="E997" s="123"/>
      <c r="F997" s="124"/>
      <c r="G997" s="276">
        <v>300000</v>
      </c>
      <c r="H997" s="338">
        <f t="shared" ref="H997:I997" si="225">H998+H1000</f>
        <v>0</v>
      </c>
      <c r="I997" s="276">
        <f t="shared" si="225"/>
        <v>300000</v>
      </c>
    </row>
    <row r="998" spans="1:9" s="132" customFormat="1" ht="47.25" x14ac:dyDescent="0.25">
      <c r="A998" s="851" t="str">
        <f>IF(B998&gt;0,VLOOKUP(B998,КВСР!A390:B1555,2),IF(C998&gt;0,VLOOKUP(C998,КФСР!A390:B1902,2),IF(D998&gt;0,VLOOKUP(D998,Программа!A$1:B$5112,2),IF(F998&gt;0,VLOOKUP(F998,КВР!A$1:B$5001,2),IF(E998&gt;0,VLOOKUP(E998,Направление!A$1:B$4791,2))))))</f>
        <v xml:space="preserve">Обеспечение мероприятий по содержанию  военно-мемориального комплекса </v>
      </c>
      <c r="B998" s="116"/>
      <c r="C998" s="111"/>
      <c r="D998" s="125"/>
      <c r="E998" s="123">
        <v>29686</v>
      </c>
      <c r="F998" s="124"/>
      <c r="G998" s="276">
        <v>300000</v>
      </c>
      <c r="H998" s="338">
        <f t="shared" ref="H998:I998" si="226">H999</f>
        <v>0</v>
      </c>
      <c r="I998" s="276">
        <f t="shared" si="226"/>
        <v>300000</v>
      </c>
    </row>
    <row r="999" spans="1:9" s="132" customFormat="1" ht="47.25" x14ac:dyDescent="0.25">
      <c r="A999" s="851" t="str">
        <f>IF(B999&gt;0,VLOOKUP(B999,КВСР!A391:B1556,2),IF(C999&gt;0,VLOOKUP(C999,КФСР!A391:B1903,2),IF(D999&gt;0,VLOOKUP(D999,Программа!A$1:B$5112,2),IF(F999&gt;0,VLOOKUP(F999,КВР!A$1:B$5001,2),IF(E999&gt;0,VLOOKUP(E999,Направление!A$1:B$4791,2))))))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5"/>
      <c r="E999" s="123"/>
      <c r="F999" s="124">
        <v>600</v>
      </c>
      <c r="G999" s="276">
        <v>300000</v>
      </c>
      <c r="H999" s="338"/>
      <c r="I999" s="119">
        <f>G999+H999</f>
        <v>300000</v>
      </c>
    </row>
    <row r="1000" spans="1:9" s="132" customFormat="1" ht="31.5" hidden="1" x14ac:dyDescent="0.25">
      <c r="A1000" s="851" t="str">
        <f>IF(B1000&gt;0,VLOOKUP(B1000,КВСР!A392:B1557,2),IF(C1000&gt;0,VLOOKUP(C1000,КФСР!A392:B1904,2),IF(D1000&gt;0,VLOOKUP(D1000,Программа!A$1:B$5112,2),IF(F1000&gt;0,VLOOKUP(F1000,КВР!A$1:B$5001,2),IF(E1000&gt;0,VLOOKUP(E1000,Направление!A$1:B$4791,2))))))</f>
        <v>Мероприятия по патриотическому воспитанию граждан</v>
      </c>
      <c r="B1000" s="116"/>
      <c r="C1000" s="111"/>
      <c r="D1000" s="125"/>
      <c r="E1000" s="123">
        <v>74880</v>
      </c>
      <c r="F1000" s="124"/>
      <c r="G1000" s="276">
        <v>0</v>
      </c>
      <c r="H1000" s="338">
        <f t="shared" ref="H1000:I1000" si="227">H1001</f>
        <v>0</v>
      </c>
      <c r="I1000" s="276">
        <f t="shared" si="227"/>
        <v>0</v>
      </c>
    </row>
    <row r="1001" spans="1:9" s="132" customFormat="1" ht="47.25" hidden="1" x14ac:dyDescent="0.25">
      <c r="A1001" s="851" t="str">
        <f>IF(B1001&gt;0,VLOOKUP(B1001,КВСР!A393:B1558,2),IF(C1001&gt;0,VLOOKUP(C1001,КФСР!A393:B1905,2)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5"/>
      <c r="E1001" s="123"/>
      <c r="F1001" s="124">
        <v>600</v>
      </c>
      <c r="G1001" s="276">
        <v>0</v>
      </c>
      <c r="H1001" s="338"/>
      <c r="I1001" s="119">
        <f>G1001+H1001</f>
        <v>0</v>
      </c>
    </row>
    <row r="1002" spans="1:9" s="132" customFormat="1" ht="47.25" x14ac:dyDescent="0.25">
      <c r="A1002" s="851" t="str">
        <f>IF(B1002&gt;0,VLOOKUP(B1002,КВСР!A388:B1553,2),IF(C1002&gt;0,VLOOKUP(C1002,КФСР!A388:B1900,2),IF(D1002&gt;0,VLOOKUP(D1002,Программа!A$1:B$5112,2),IF(F1002&gt;0,VLOOKUP(F1002,КВР!A$1:B$5001,2),IF(E1002&gt;0,VLOOKUP(E1002,Направление!A$1:B$4791,2))))))</f>
        <v>Ведомственная целевая программа «Сохранение и развитие культуры Тутаевского муниципального района»</v>
      </c>
      <c r="B1002" s="116"/>
      <c r="C1002" s="111"/>
      <c r="D1002" s="125" t="s">
        <v>568</v>
      </c>
      <c r="E1002" s="123"/>
      <c r="F1002" s="124"/>
      <c r="G1002" s="276">
        <v>114487569</v>
      </c>
      <c r="H1002" s="338">
        <f>H1003+H1026</f>
        <v>1167330</v>
      </c>
      <c r="I1002" s="119">
        <f t="shared" si="216"/>
        <v>115654899</v>
      </c>
    </row>
    <row r="1003" spans="1:9" s="132" customFormat="1" ht="31.5" x14ac:dyDescent="0.25">
      <c r="A1003" s="851" t="str">
        <f>IF(B1003&gt;0,VLOOKUP(B1003,КВСР!A389:B1554,2),IF(C1003&gt;0,VLOOKUP(C1003,КФСР!A389:B1901,2),IF(D1003&gt;0,VLOOKUP(D1003,Программа!A$1:B$5112,2),IF(F1003&gt;0,VLOOKUP(F1003,КВР!A$1:B$5001,2),IF(E1003&gt;0,VLOOKUP(E1003,Направление!A$1:B$4791,2))))))</f>
        <v>Содействие доступу граждан к культурным ценностям</v>
      </c>
      <c r="B1003" s="116"/>
      <c r="C1003" s="111"/>
      <c r="D1003" s="125" t="s">
        <v>587</v>
      </c>
      <c r="E1003" s="123"/>
      <c r="F1003" s="124"/>
      <c r="G1003" s="276">
        <v>90901436</v>
      </c>
      <c r="H1003" s="338">
        <f>H1006+H1014+H1004+H1008+H1022+H1012+H1018+H1020+H1016+H1024+H1010</f>
        <v>1167330</v>
      </c>
      <c r="I1003" s="338">
        <f>I1006+I1014+I1004+I1008+I1022+I1012+I1018+I1020+I1016+I1024+I1010</f>
        <v>92068766</v>
      </c>
    </row>
    <row r="1004" spans="1:9" s="132" customFormat="1" ht="31.5" x14ac:dyDescent="0.25">
      <c r="A1004" s="851" t="str">
        <f>IF(B1004&gt;0,VLOOKUP(B1004,КВСР!A389:B1554,2),IF(C1004&gt;0,VLOOKUP(C1004,КФСР!A389:B1901,2),IF(D1004&gt;0,VLOOKUP(D1004,Программа!A$1:B$5112,2),IF(F1004&gt;0,VLOOKUP(F1004,КВР!A$1:B$5001,2),IF(E1004&gt;0,VLOOKUP(E1004,Направление!A$1:B$4791,2))))))</f>
        <v xml:space="preserve">Выплата ежемесячных разовых стипендий главы </v>
      </c>
      <c r="B1004" s="116"/>
      <c r="C1004" s="111"/>
      <c r="D1004" s="125"/>
      <c r="E1004" s="123">
        <v>12700</v>
      </c>
      <c r="F1004" s="124"/>
      <c r="G1004" s="276">
        <v>40000</v>
      </c>
      <c r="H1004" s="338">
        <f>H1005</f>
        <v>0</v>
      </c>
      <c r="I1004" s="119">
        <f t="shared" si="216"/>
        <v>40000</v>
      </c>
    </row>
    <row r="1005" spans="1:9" s="132" customFormat="1" ht="47.25" x14ac:dyDescent="0.25">
      <c r="A1005" s="851" t="str">
        <f>IF(B1005&gt;0,VLOOKUP(B1005,КВСР!A390:B1555,2),IF(C1005&gt;0,VLOOKUP(C1005,КФСР!A390:B1902,2)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4"/>
      <c r="E1005" s="123"/>
      <c r="F1005" s="124">
        <v>600</v>
      </c>
      <c r="G1005" s="276">
        <v>40000</v>
      </c>
      <c r="H1005" s="338"/>
      <c r="I1005" s="119">
        <f t="shared" si="216"/>
        <v>40000</v>
      </c>
    </row>
    <row r="1006" spans="1:9" s="132" customFormat="1" ht="31.5" x14ac:dyDescent="0.25">
      <c r="A1006" s="851" t="str">
        <f>IF(B1006&gt;0,VLOOKUP(B1006,КВСР!A389:B1554,2),IF(C1006&gt;0,VLOOKUP(C1006,КФСР!A389:B1901,2),IF(D1006&gt;0,VLOOKUP(D1006,Программа!A$1:B$5112,2),IF(F1006&gt;0,VLOOKUP(F1006,КВР!A$1:B$5001,2),IF(E1006&gt;0,VLOOKUP(E1006,Направление!A$1:B$4791,2))))))</f>
        <v>Обеспечение деятельности учреждений по организации досуга в сфере культуры</v>
      </c>
      <c r="B1006" s="116"/>
      <c r="C1006" s="111"/>
      <c r="D1006" s="125"/>
      <c r="E1006" s="123">
        <v>15010</v>
      </c>
      <c r="F1006" s="124"/>
      <c r="G1006" s="276">
        <v>75121470</v>
      </c>
      <c r="H1006" s="338">
        <f>H1007</f>
        <v>-264920</v>
      </c>
      <c r="I1006" s="119">
        <f t="shared" si="216"/>
        <v>74856550</v>
      </c>
    </row>
    <row r="1007" spans="1:9" s="132" customFormat="1" ht="47.25" x14ac:dyDescent="0.25">
      <c r="A1007" s="851" t="str">
        <f>IF(B1007&gt;0,VLOOKUP(B1007,КВСР!A390:B1555,2),IF(C1007&gt;0,VLOOKUP(C1007,КФСР!A390:B1902,2)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4"/>
      <c r="E1007" s="123"/>
      <c r="F1007" s="124">
        <v>600</v>
      </c>
      <c r="G1007" s="276">
        <v>75121470</v>
      </c>
      <c r="H1007" s="338">
        <v>-264920</v>
      </c>
      <c r="I1007" s="119">
        <f t="shared" si="216"/>
        <v>74856550</v>
      </c>
    </row>
    <row r="1008" spans="1:9" s="132" customFormat="1" x14ac:dyDescent="0.25">
      <c r="A1008" s="851" t="str">
        <f>IF(B1008&gt;0,VLOOKUP(B1008,КВСР!A393:B1558,2),IF(C1008&gt;0,VLOOKUP(C1008,КФСР!A393:B1905,2),IF(D1008&gt;0,VLOOKUP(D1008,Программа!A$1:B$5112,2),IF(F1008&gt;0,VLOOKUP(F1008,КВР!A$1:B$5001,2),IF(E1008&gt;0,VLOOKUP(E1008,Направление!A$1:B$4791,2))))))</f>
        <v>Мероприятия в сфере культуры</v>
      </c>
      <c r="B1008" s="116"/>
      <c r="C1008" s="111"/>
      <c r="D1008" s="125"/>
      <c r="E1008" s="123">
        <v>15220</v>
      </c>
      <c r="F1008" s="124"/>
      <c r="G1008" s="276">
        <v>2457307</v>
      </c>
      <c r="H1008" s="338">
        <f>H1009</f>
        <v>45000</v>
      </c>
      <c r="I1008" s="119">
        <f t="shared" si="216"/>
        <v>2502307</v>
      </c>
    </row>
    <row r="1009" spans="1:9" s="132" customFormat="1" ht="47.25" x14ac:dyDescent="0.25">
      <c r="A1009" s="851" t="str">
        <f>IF(B1009&gt;0,VLOOKUP(B1009,КВСР!A394:B1559,2),IF(C1009&gt;0,VLOOKUP(C1009,КФСР!A394:B1906,2)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25"/>
      <c r="E1009" s="123"/>
      <c r="F1009" s="124">
        <v>600</v>
      </c>
      <c r="G1009" s="276">
        <v>2457307</v>
      </c>
      <c r="H1009" s="338">
        <v>45000</v>
      </c>
      <c r="I1009" s="119">
        <f t="shared" si="216"/>
        <v>2502307</v>
      </c>
    </row>
    <row r="1010" spans="1:9" s="132" customFormat="1" ht="47.25" x14ac:dyDescent="0.25">
      <c r="A1010" s="851" t="str">
        <f>IF(B1010&gt;0,VLOOKUP(B1010,КВСР!A395:B1560,2),IF(C1010&gt;0,VLOOKUP(C1010,КФСР!A395:B1907,2),IF(D1010&gt;0,VLOOKUP(D1010,Программа!A$1:B$5112,2),IF(F1010&gt;0,VLOOKUP(F1010,КВР!A$1:B$5001,2),IF(E1010&gt;0,VLOOKUP(E1010,Направление!A$1:B$4791,2))))))</f>
        <v>Расходы на реализацию мероприятий инициативного бюджетирования на территории Ярославской области</v>
      </c>
      <c r="B1010" s="116"/>
      <c r="C1010" s="111"/>
      <c r="D1010" s="125"/>
      <c r="E1010" s="123">
        <v>15350</v>
      </c>
      <c r="F1010" s="124"/>
      <c r="G1010" s="276">
        <v>90124</v>
      </c>
      <c r="H1010" s="276">
        <f t="shared" ref="H1010:I1010" si="228">H1011</f>
        <v>5250</v>
      </c>
      <c r="I1010" s="276">
        <f t="shared" si="228"/>
        <v>95374</v>
      </c>
    </row>
    <row r="1011" spans="1:9" s="132" customFormat="1" ht="47.25" x14ac:dyDescent="0.25">
      <c r="A1011" s="851" t="str">
        <f>IF(B1011&gt;0,VLOOKUP(B1011,КВСР!A396:B1561,2),IF(C1011&gt;0,VLOOKUP(C1011,КФСР!A396:B1908,2)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25"/>
      <c r="E1011" s="123"/>
      <c r="F1011" s="124">
        <v>600</v>
      </c>
      <c r="G1011" s="276">
        <v>90124</v>
      </c>
      <c r="H1011" s="338">
        <v>5250</v>
      </c>
      <c r="I1011" s="119">
        <f t="shared" si="216"/>
        <v>95374</v>
      </c>
    </row>
    <row r="1012" spans="1:9" s="132" customFormat="1" x14ac:dyDescent="0.25">
      <c r="A1012" s="851" t="str">
        <f>IF(B1012&gt;0,VLOOKUP(B1012,КВСР!A395:B1560,2),IF(C1012&gt;0,VLOOKUP(C1012,КФСР!A395:B1907,2),IF(D1012&gt;0,VLOOKUP(D1012,Программа!A$1:B$5112,2),IF(F1012&gt;0,VLOOKUP(F1012,КВР!A$1:B$5001,2),IF(E1012&gt;0,VLOOKUP(E1012,Направление!A$1:B$4791,2))))))</f>
        <v>Реализация приоритетных проектов</v>
      </c>
      <c r="B1012" s="116"/>
      <c r="C1012" s="111"/>
      <c r="D1012" s="125"/>
      <c r="E1012" s="123">
        <v>17260</v>
      </c>
      <c r="F1012" s="124"/>
      <c r="G1012" s="276">
        <v>474000</v>
      </c>
      <c r="H1012" s="338">
        <f t="shared" ref="H1012:I1012" si="229">H1013</f>
        <v>582250</v>
      </c>
      <c r="I1012" s="276">
        <f t="shared" si="229"/>
        <v>1056250</v>
      </c>
    </row>
    <row r="1013" spans="1:9" s="132" customFormat="1" ht="47.25" x14ac:dyDescent="0.25">
      <c r="A1013" s="851" t="str">
        <f>IF(B1013&gt;0,VLOOKUP(B1013,КВСР!A396:B1561,2),IF(C1013&gt;0,VLOOKUP(C1013,КФСР!A396:B1908,2)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25"/>
      <c r="E1013" s="123"/>
      <c r="F1013" s="124">
        <v>600</v>
      </c>
      <c r="G1013" s="276">
        <v>474000</v>
      </c>
      <c r="H1013" s="338">
        <v>582250</v>
      </c>
      <c r="I1013" s="119">
        <f t="shared" si="216"/>
        <v>1056250</v>
      </c>
    </row>
    <row r="1014" spans="1:9" s="132" customFormat="1" x14ac:dyDescent="0.25">
      <c r="A1014" s="851" t="str">
        <f>IF(B1014&gt;0,VLOOKUP(B1014,КВСР!A391:B1556,2),IF(C1014&gt;0,VLOOKUP(C1014,КФСР!A391:B1903,2),IF(D1014&gt;0,VLOOKUP(D1014,Программа!A$1:B$5112,2),IF(F1014&gt;0,VLOOKUP(F1014,КВР!A$1:B$5001,2),IF(E1014&gt;0,VLOOKUP(E1014,Направление!A$1:B$4791,2))))))</f>
        <v>Мероприятия в сфере культуры</v>
      </c>
      <c r="B1014" s="116"/>
      <c r="C1014" s="111"/>
      <c r="D1014" s="125"/>
      <c r="E1014" s="123">
        <v>29216</v>
      </c>
      <c r="F1014" s="124"/>
      <c r="G1014" s="276">
        <v>1664050</v>
      </c>
      <c r="H1014" s="338">
        <f>H1015</f>
        <v>0</v>
      </c>
      <c r="I1014" s="119">
        <f t="shared" si="216"/>
        <v>1664050</v>
      </c>
    </row>
    <row r="1015" spans="1:9" s="132" customFormat="1" ht="47.25" x14ac:dyDescent="0.25">
      <c r="A1015" s="851" t="str">
        <f>IF(B1015&gt;0,VLOOKUP(B1015,КВСР!A392:B1557,2),IF(C1015&gt;0,VLOOKUP(C1015,КФСР!A392:B1904,2)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1664050</v>
      </c>
      <c r="H1015" s="338"/>
      <c r="I1015" s="119">
        <f t="shared" si="216"/>
        <v>1664050</v>
      </c>
    </row>
    <row r="1016" spans="1:9" s="132" customFormat="1" ht="31.5" hidden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Обеспечение мероприятий  по работе с детьми и молодежью</v>
      </c>
      <c r="B1016" s="116"/>
      <c r="C1016" s="111"/>
      <c r="D1016" s="112"/>
      <c r="E1016" s="111">
        <v>29346</v>
      </c>
      <c r="F1016" s="113"/>
      <c r="G1016" s="276">
        <v>0</v>
      </c>
      <c r="H1016" s="338">
        <f t="shared" ref="H1016:I1016" si="230">H1017</f>
        <v>0</v>
      </c>
      <c r="I1016" s="276">
        <f t="shared" si="230"/>
        <v>0</v>
      </c>
    </row>
    <row r="1017" spans="1:9" s="132" customFormat="1" ht="47.25" hidden="1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/>
      <c r="I1017" s="119">
        <f>G1017+H1017</f>
        <v>0</v>
      </c>
    </row>
    <row r="1018" spans="1:9" s="132" customFormat="1" ht="63" x14ac:dyDescent="0.25">
      <c r="A1018" s="851" t="str">
        <f>IF(B1018&gt;0,VLOOKUP(B1018,КВСР!A393:B1558,2),IF(C1018&gt;0,VLOOKUP(C1018,КФСР!A393:B1905,2),IF(D1018&gt;0,VLOOKUP(D1018,Программа!A$1:B$5112,2),IF(F1018&gt;0,VLOOKUP(F1018,КВР!A$1:B$5001,2),IF(E1018&gt;0,VLOOKUP(E1018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8" s="116"/>
      <c r="C1018" s="111"/>
      <c r="D1018" s="112"/>
      <c r="E1018" s="111">
        <v>29556</v>
      </c>
      <c r="F1018" s="113"/>
      <c r="G1018" s="276">
        <v>240000</v>
      </c>
      <c r="H1018" s="338">
        <f t="shared" ref="H1018:I1018" si="231">H1019</f>
        <v>0</v>
      </c>
      <c r="I1018" s="276">
        <f t="shared" si="231"/>
        <v>240000</v>
      </c>
    </row>
    <row r="1019" spans="1:9" s="132" customFormat="1" ht="47.25" x14ac:dyDescent="0.25">
      <c r="A1019" s="851" t="str">
        <f>IF(B1019&gt;0,VLOOKUP(B1019,КВСР!A394:B1559,2),IF(C1019&gt;0,VLOOKUP(C1019,КФСР!A394:B1906,2)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240000</v>
      </c>
      <c r="H1019" s="338"/>
      <c r="I1019" s="119">
        <f>G1019+H1019</f>
        <v>240000</v>
      </c>
    </row>
    <row r="1020" spans="1:9" s="132" customFormat="1" ht="47.25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>Расходы на реализацию мероприятий инициативного бюджетирования на территории Ярославской области</v>
      </c>
      <c r="B1020" s="116"/>
      <c r="C1020" s="111"/>
      <c r="D1020" s="112"/>
      <c r="E1020" s="111">
        <v>75350</v>
      </c>
      <c r="F1020" s="113"/>
      <c r="G1020" s="276">
        <v>0</v>
      </c>
      <c r="H1020" s="338">
        <f t="shared" ref="H1020:I1020" si="232">H1021</f>
        <v>799750</v>
      </c>
      <c r="I1020" s="276">
        <f t="shared" si="232"/>
        <v>799750</v>
      </c>
    </row>
    <row r="1021" spans="1:9" s="132" customFormat="1" ht="47.25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12"/>
      <c r="E1021" s="111"/>
      <c r="F1021" s="113">
        <v>600</v>
      </c>
      <c r="G1021" s="276">
        <v>0</v>
      </c>
      <c r="H1021" s="338">
        <v>799750</v>
      </c>
      <c r="I1021" s="119">
        <f>G1021+H1021</f>
        <v>799750</v>
      </c>
    </row>
    <row r="1022" spans="1:9" s="132" customFormat="1" x14ac:dyDescent="0.25">
      <c r="A1022" s="851" t="str">
        <f>IF(B1022&gt;0,VLOOKUP(B1022,КВСР!A393:B1558,2),IF(C1022&gt;0,VLOOKUP(C1022,КФСР!A393:B1905,2),IF(D1022&gt;0,VLOOKUP(D1022,Программа!A$1:B$5112,2),IF(F1022&gt;0,VLOOKUP(F1022,КВР!A$1:B$5001,2),IF(E1022&gt;0,VLOOKUP(E1022,Направление!A$1:B$4791,2))))))</f>
        <v>Реализация приоритетных проектов</v>
      </c>
      <c r="B1022" s="116"/>
      <c r="C1022" s="111"/>
      <c r="D1022" s="112"/>
      <c r="E1022" s="111">
        <v>77260</v>
      </c>
      <c r="F1022" s="113"/>
      <c r="G1022" s="276">
        <v>9000000</v>
      </c>
      <c r="H1022" s="338">
        <f>H1023</f>
        <v>0</v>
      </c>
      <c r="I1022" s="119">
        <f t="shared" si="216"/>
        <v>9000000</v>
      </c>
    </row>
    <row r="1023" spans="1:9" s="132" customFormat="1" ht="47.25" x14ac:dyDescent="0.25">
      <c r="A1023" s="851" t="str">
        <f>IF(B1023&gt;0,VLOOKUP(B1023,КВСР!A394:B1559,2),IF(C1023&gt;0,VLOOKUP(C1023,КФСР!A394:B1906,2)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9000000</v>
      </c>
      <c r="H1023" s="338"/>
      <c r="I1023" s="119">
        <f t="shared" si="216"/>
        <v>9000000</v>
      </c>
    </row>
    <row r="1024" spans="1:9" s="132" customFormat="1" ht="78.75" x14ac:dyDescent="0.25">
      <c r="A1024" s="851" t="str">
        <f>IF(B1024&gt;0,VLOOKUP(B1024,КВСР!A395:B1560,2),IF(C1024&gt;0,VLOOKUP(C1024,КФСР!A395:B1907,2),IF(D1024&gt;0,VLOOKUP(D1024,Программа!A$1:B$5112,2),IF(F1024&gt;0,VLOOKUP(F1024,КВР!A$1:B$5001,2),IF(E1024&gt;0,VLOOKUP(E1024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24" s="116"/>
      <c r="C1024" s="111"/>
      <c r="D1024" s="112"/>
      <c r="E1024" s="111" t="s">
        <v>1765</v>
      </c>
      <c r="F1024" s="113"/>
      <c r="G1024" s="276">
        <v>1814485</v>
      </c>
      <c r="H1024" s="338">
        <f t="shared" ref="H1024:I1024" si="233">H1025</f>
        <v>0</v>
      </c>
      <c r="I1024" s="276">
        <f t="shared" si="233"/>
        <v>1814485</v>
      </c>
    </row>
    <row r="1025" spans="1:9" s="132" customFormat="1" ht="47.25" x14ac:dyDescent="0.25">
      <c r="A1025" s="851" t="str">
        <f>IF(B1025&gt;0,VLOOKUP(B1025,КВСР!A396:B1561,2),IF(C1025&gt;0,VLOOKUP(C1025,КФСР!A396:B1908,2)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1814485</v>
      </c>
      <c r="H1025" s="338"/>
      <c r="I1025" s="119">
        <f>G1025+H1025</f>
        <v>1814485</v>
      </c>
    </row>
    <row r="1026" spans="1:9" s="132" customFormat="1" ht="47.25" x14ac:dyDescent="0.25">
      <c r="A1026" s="851" t="str">
        <f>IF(B1026&gt;0,VLOOKUP(B1026,КВСР!A395:B1560,2),IF(C1026&gt;0,VLOOKUP(C1026,КФСР!A395:B1907,2),IF(D1026&gt;0,VLOOKUP(D1026,Программа!A$1:B$5112,2),IF(F1026&gt;0,VLOOKUP(F1026,КВР!A$1:B$5001,2),IF(E1026&gt;0,VLOOKUP(E1026,Направление!A$1:B$4791,2))))))</f>
        <v>Поддержка доступа граждан к информационно-библиотечным ресурсам</v>
      </c>
      <c r="B1026" s="116"/>
      <c r="C1026" s="111"/>
      <c r="D1026" s="112" t="s">
        <v>592</v>
      </c>
      <c r="E1026" s="111"/>
      <c r="F1026" s="113"/>
      <c r="G1026" s="276">
        <v>23586133</v>
      </c>
      <c r="H1026" s="338">
        <f>H1027+H1029+H1033+H1031+H1039+H1037+H1035</f>
        <v>0</v>
      </c>
      <c r="I1026" s="276">
        <f>I1027+I1029+I1033+I1031+I1039+I1037+I1035</f>
        <v>23586133</v>
      </c>
    </row>
    <row r="1027" spans="1:9" s="132" customFormat="1" x14ac:dyDescent="0.25">
      <c r="A1027" s="851" t="str">
        <f>IF(B1027&gt;0,VLOOKUP(B1027,КВСР!A396:B1561,2),IF(C1027&gt;0,VLOOKUP(C1027,КФСР!A396:B1908,2),IF(D1027&gt;0,VLOOKUP(D1027,Программа!A$1:B$5112,2),IF(F1027&gt;0,VLOOKUP(F1027,КВР!A$1:B$5001,2),IF(E1027&gt;0,VLOOKUP(E1027,Направление!A$1:B$4791,2))))))</f>
        <v>Обеспечение деятельности библиотек</v>
      </c>
      <c r="B1027" s="116"/>
      <c r="C1027" s="111"/>
      <c r="D1027" s="112"/>
      <c r="E1027" s="111">
        <v>15110</v>
      </c>
      <c r="F1027" s="113"/>
      <c r="G1027" s="276">
        <v>23106133</v>
      </c>
      <c r="H1027" s="338">
        <f>H1028</f>
        <v>50000</v>
      </c>
      <c r="I1027" s="119">
        <f t="shared" si="216"/>
        <v>23156133</v>
      </c>
    </row>
    <row r="1028" spans="1:9" s="132" customFormat="1" ht="47.25" x14ac:dyDescent="0.25">
      <c r="A1028" s="851" t="str">
        <f>IF(B1028&gt;0,VLOOKUP(B1028,КВСР!A397:B1562,2),IF(C1028&gt;0,VLOOKUP(C1028,КФСР!A397:B1909,2)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23106133</v>
      </c>
      <c r="H1028" s="338">
        <v>50000</v>
      </c>
      <c r="I1028" s="119">
        <f t="shared" si="216"/>
        <v>23156133</v>
      </c>
    </row>
    <row r="1029" spans="1:9" s="132" customFormat="1" x14ac:dyDescent="0.25">
      <c r="A1029" s="851" t="str">
        <f>IF(B1029&gt;0,VLOOKUP(B1029,КВСР!A398:B1563,2),IF(C1029&gt;0,VLOOKUP(C1029,КФСР!A398:B1910,2),IF(D1029&gt;0,VLOOKUP(D1029,Программа!A$1:B$5112,2),IF(F1029&gt;0,VLOOKUP(F1029,КВР!A$1:B$5001,2),IF(E1029&gt;0,VLOOKUP(E1029,Направление!A$1:B$4791,2))))))</f>
        <v>Мероприятия в сфере культуры</v>
      </c>
      <c r="B1029" s="116"/>
      <c r="C1029" s="111"/>
      <c r="D1029" s="112"/>
      <c r="E1029" s="111">
        <v>15220</v>
      </c>
      <c r="F1029" s="113"/>
      <c r="G1029" s="276">
        <v>300000</v>
      </c>
      <c r="H1029" s="338">
        <f>H1030</f>
        <v>-50000</v>
      </c>
      <c r="I1029" s="119">
        <f t="shared" si="216"/>
        <v>250000</v>
      </c>
    </row>
    <row r="1030" spans="1:9" s="132" customFormat="1" ht="47.25" x14ac:dyDescent="0.25">
      <c r="A1030" s="851" t="str">
        <f>IF(B1030&gt;0,VLOOKUP(B1030,КВСР!A399:B1564,2),IF(C1030&gt;0,VLOOKUP(C1030,КФСР!A399:B1911,2)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300000</v>
      </c>
      <c r="H1030" s="338">
        <v>-50000</v>
      </c>
      <c r="I1030" s="119">
        <f t="shared" si="216"/>
        <v>250000</v>
      </c>
    </row>
    <row r="1031" spans="1:9" s="132" customFormat="1" ht="47.25" hidden="1" x14ac:dyDescent="0.25">
      <c r="A1031" s="851" t="str">
        <f>IF(B1031&gt;0,VLOOKUP(B1031,КВСР!A400:B1565,2),IF(C1031&gt;0,VLOOKUP(C1031,КФСР!A400:B1912,2),IF(D1031&gt;0,VLOOKUP(D1031,Программа!A$1:B$5112,2),IF(F1031&gt;0,VLOOKUP(F1031,КВР!A$1:B$5001,2),IF(E1031&gt;0,VLOOKUP(E1031,Направление!A$1:B$4791,2))))))</f>
        <v>Расходы на реализацию мероприятий инициативного бюджетирования на территории Ярославской области</v>
      </c>
      <c r="B1031" s="116"/>
      <c r="C1031" s="111"/>
      <c r="D1031" s="112"/>
      <c r="E1031" s="111">
        <v>15350</v>
      </c>
      <c r="F1031" s="113"/>
      <c r="G1031" s="276">
        <v>0</v>
      </c>
      <c r="H1031" s="338">
        <f t="shared" ref="H1031:I1031" si="234">H1032</f>
        <v>0</v>
      </c>
      <c r="I1031" s="276">
        <f t="shared" si="234"/>
        <v>0</v>
      </c>
    </row>
    <row r="1032" spans="1:9" s="132" customFormat="1" ht="47.25" hidden="1" x14ac:dyDescent="0.25">
      <c r="A1032" s="851" t="str">
        <f>IF(B1032&gt;0,VLOOKUP(B1032,КВСР!A401:B1566,2),IF(C1032&gt;0,VLOOKUP(C1032,КФСР!A401:B1913,2)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 t="shared" si="216"/>
        <v>0</v>
      </c>
    </row>
    <row r="1033" spans="1:9" s="132" customFormat="1" x14ac:dyDescent="0.25">
      <c r="A1033" s="851" t="str">
        <f>IF(B1033&gt;0,VLOOKUP(B1033,КВСР!A400:B1565,2),IF(C1033&gt;0,VLOOKUP(C1033,КФСР!A400:B1912,2),IF(D1033&gt;0,VLOOKUP(D1033,Программа!A$1:B$5112,2),IF(F1033&gt;0,VLOOKUP(F1033,КВР!A$1:B$5001,2),IF(E1033&gt;0,VLOOKUP(E1033,Направление!A$1:B$4791,2))))))</f>
        <v>Мероприятия в сфере культуры</v>
      </c>
      <c r="B1033" s="116"/>
      <c r="C1033" s="111"/>
      <c r="D1033" s="112"/>
      <c r="E1033" s="111">
        <v>29216</v>
      </c>
      <c r="F1033" s="113"/>
      <c r="G1033" s="276">
        <v>180000</v>
      </c>
      <c r="H1033" s="338">
        <f t="shared" ref="H1033:I1033" si="235">H1034</f>
        <v>0</v>
      </c>
      <c r="I1033" s="276">
        <f t="shared" si="235"/>
        <v>180000</v>
      </c>
    </row>
    <row r="1034" spans="1:9" s="132" customFormat="1" ht="47.25" x14ac:dyDescent="0.25">
      <c r="A1034" s="851" t="str">
        <f>IF(B1034&gt;0,VLOOKUP(B1034,КВСР!A401:B1566,2),IF(C1034&gt;0,VLOOKUP(C1034,КФСР!A401:B1913,2)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180000</v>
      </c>
      <c r="H1034" s="338"/>
      <c r="I1034" s="119">
        <f>G1034+H1034</f>
        <v>180000</v>
      </c>
    </row>
    <row r="1035" spans="1:9" s="132" customFormat="1" hidden="1" x14ac:dyDescent="0.25">
      <c r="A1035" s="851" t="str">
        <f>IF(B1035&gt;0,VLOOKUP(B1035,КВСР!A402:B1567,2),IF(C1035&gt;0,VLOOKUP(C1035,КФСР!A402:B1914,2),IF(D1035&gt;0,VLOOKUP(D1035,Программа!A$1:B$5112,2),IF(F1035&gt;0,VLOOKUP(F1035,КВР!A$1:B$5001,2),IF(E1035&gt;0,VLOOKUP(E1035,Направление!A$1:B$4791,2))))))</f>
        <v>Библиотечное обслуживание населения</v>
      </c>
      <c r="B1035" s="116"/>
      <c r="C1035" s="111"/>
      <c r="D1035" s="112"/>
      <c r="E1035" s="111">
        <v>29786</v>
      </c>
      <c r="F1035" s="113"/>
      <c r="G1035" s="276">
        <v>0</v>
      </c>
      <c r="H1035" s="338">
        <f t="shared" ref="H1035:I1035" si="236">H1036</f>
        <v>0</v>
      </c>
      <c r="I1035" s="276">
        <f t="shared" si="236"/>
        <v>0</v>
      </c>
    </row>
    <row r="1036" spans="1:9" s="132" customFormat="1" ht="47.25" hidden="1" x14ac:dyDescent="0.25">
      <c r="A1036" s="851" t="str">
        <f>IF(B1036&gt;0,VLOOKUP(B1036,КВСР!A403:B1568,2),IF(C1036&gt;0,VLOOKUP(C1036,КФСР!A403:B1915,2),IF(D1036&gt;0,VLOOKUP(D1036,Программа!A$1:B$5112,2),IF(F1036&gt;0,VLOOKUP(F1036,КВР!A$1:B$5001,2),IF(E1036&gt;0,VLOOKUP(E1036,Направление!A$1:B$4791,2)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12"/>
      <c r="E1036" s="111"/>
      <c r="F1036" s="113">
        <v>600</v>
      </c>
      <c r="G1036" s="276">
        <v>0</v>
      </c>
      <c r="H1036" s="338"/>
      <c r="I1036" s="119">
        <f t="shared" ref="I1036" si="237">G1036+H1036</f>
        <v>0</v>
      </c>
    </row>
    <row r="1037" spans="1:9" s="132" customFormat="1" ht="47.25" hidden="1" x14ac:dyDescent="0.25">
      <c r="A1037" s="851" t="str">
        <f>IF(B1037&gt;0,VLOOKUP(B1037,КВСР!A402:B1567,2),IF(C1037&gt;0,VLOOKUP(C1037,КФСР!A402:B1914,2),IF(D1037&gt;0,VLOOKUP(D1037,Программа!A$1:B$5112,2),IF(F1037&gt;0,VLOOKUP(F1037,КВР!A$1:B$5001,2),IF(E1037&gt;0,VLOOKUP(E1037,Направление!A$1:B$4791,2))))))</f>
        <v>Расходы на подключение общедоступных библиотек к сети "Интернет"</v>
      </c>
      <c r="B1037" s="116"/>
      <c r="C1037" s="111"/>
      <c r="D1037" s="112"/>
      <c r="E1037" s="111" t="s">
        <v>1671</v>
      </c>
      <c r="F1037" s="113"/>
      <c r="G1037" s="276">
        <v>0</v>
      </c>
      <c r="H1037" s="338">
        <f t="shared" ref="H1037:I1037" si="238">H1038</f>
        <v>0</v>
      </c>
      <c r="I1037" s="276">
        <f t="shared" si="238"/>
        <v>0</v>
      </c>
    </row>
    <row r="1038" spans="1:9" s="132" customFormat="1" ht="47.25" hidden="1" x14ac:dyDescent="0.25">
      <c r="A1038" s="851" t="str">
        <f>IF(B1038&gt;0,VLOOKUP(B1038,КВСР!A403:B1568,2),IF(C1038&gt;0,VLOOKUP(C1038,КФСР!A403:B1915,2),IF(D1038&gt;0,VLOOKUP(D1038,Программа!A$1:B$5112,2),IF(F1038&gt;0,VLOOKUP(F1038,КВР!A$1:B$5001,2),IF(E1038&gt;0,VLOOKUP(E1038,Направление!A$1:B$4791,2)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12"/>
      <c r="E1038" s="111"/>
      <c r="F1038" s="113">
        <v>600</v>
      </c>
      <c r="G1038" s="276">
        <v>0</v>
      </c>
      <c r="H1038" s="338"/>
      <c r="I1038" s="119">
        <f>G1038+H1038</f>
        <v>0</v>
      </c>
    </row>
    <row r="1039" spans="1:9" s="132" customFormat="1" ht="47.25" hidden="1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Расходы на реализацию мероприятий инициативного бюджетирования на территории Ярославской области</v>
      </c>
      <c r="B1039" s="116"/>
      <c r="C1039" s="111"/>
      <c r="D1039" s="112"/>
      <c r="E1039" s="111">
        <v>75350</v>
      </c>
      <c r="F1039" s="113"/>
      <c r="G1039" s="276">
        <v>0</v>
      </c>
      <c r="H1039" s="338">
        <f t="shared" ref="H1039:I1039" si="239">H1040</f>
        <v>0</v>
      </c>
      <c r="I1039" s="276">
        <f t="shared" si="239"/>
        <v>0</v>
      </c>
    </row>
    <row r="1040" spans="1:9" s="132" customFormat="1" ht="47.25" hidden="1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0</v>
      </c>
      <c r="H1040" s="338"/>
      <c r="I1040" s="119">
        <f t="shared" ref="I1040" si="240">G1040+H1040</f>
        <v>0</v>
      </c>
    </row>
    <row r="1041" spans="1:9" s="132" customFormat="1" ht="47.25" x14ac:dyDescent="0.25">
      <c r="A1041" s="851" t="str">
        <f>IF(B1041&gt;0,VLOOKUP(B1041,КВСР!A398:B1563,2),IF(C1041&gt;0,VLOOKUP(C1041,КФСР!A398:B1910,2),IF(D1041&gt;0,VLOOKUP(D1041,Программа!A$1:B$5112,2),IF(F1041&gt;0,VLOOKUP(F1041,КВР!A$1:B$5001,2),IF(E1041&gt;0,VLOOKUP(E1041,Направление!A$1:B$4791,2))))))</f>
        <v>Муниципальная программа "Социальная поддержка населения Тутаевского муниципального района"</v>
      </c>
      <c r="B1041" s="116"/>
      <c r="C1041" s="111"/>
      <c r="D1041" s="112" t="s">
        <v>450</v>
      </c>
      <c r="E1041" s="111"/>
      <c r="F1041" s="113"/>
      <c r="G1041" s="276">
        <v>456500</v>
      </c>
      <c r="H1041" s="338">
        <f>H1042</f>
        <v>0</v>
      </c>
      <c r="I1041" s="119">
        <f t="shared" si="216"/>
        <v>456500</v>
      </c>
    </row>
    <row r="1042" spans="1:9" s="132" customFormat="1" ht="47.25" x14ac:dyDescent="0.25">
      <c r="A1042" s="851" t="str">
        <f>IF(B1042&gt;0,VLOOKUP(B1042,КВСР!A399:B1564,2),IF(C1042&gt;0,VLOOKUP(C1042,КФСР!A399:B1911,2),IF(D1042&gt;0,VLOOKUP(D1042,Программа!A$1:B$5112,2),IF(F1042&gt;0,VLOOKUP(F1042,КВР!A$1:B$5001,2),IF(E1042&gt;0,VLOOKUP(E1042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42" s="116"/>
      <c r="C1042" s="111"/>
      <c r="D1042" s="112" t="s">
        <v>452</v>
      </c>
      <c r="E1042" s="111"/>
      <c r="F1042" s="113"/>
      <c r="G1042" s="276">
        <v>456500</v>
      </c>
      <c r="H1042" s="338">
        <f t="shared" ref="H1042:I1042" si="241">H1043+H1049+H1046</f>
        <v>0</v>
      </c>
      <c r="I1042" s="276">
        <f t="shared" si="241"/>
        <v>456500</v>
      </c>
    </row>
    <row r="1043" spans="1:9" s="132" customFormat="1" ht="63" x14ac:dyDescent="0.25">
      <c r="A1043" s="851" t="str">
        <f>IF(B1043&gt;0,VLOOKUP(B1043,КВСР!A400:B1565,2),IF(C1043&gt;0,VLOOKUP(C1043,КФСР!A400:B1912,2),IF(D1043&gt;0,VLOOKUP(D1043,Программа!A$1:B$5112,2),IF(F1043&gt;0,VLOOKUP(F1043,КВР!A$1:B$5001,2),IF(E1043&gt;0,VLOOKUP(E1043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43" s="116"/>
      <c r="C1043" s="111"/>
      <c r="D1043" s="112" t="s">
        <v>453</v>
      </c>
      <c r="E1043" s="111"/>
      <c r="F1043" s="113"/>
      <c r="G1043" s="276">
        <v>31500</v>
      </c>
      <c r="H1043" s="338">
        <f>H1044</f>
        <v>0</v>
      </c>
      <c r="I1043" s="119">
        <f t="shared" si="216"/>
        <v>31500</v>
      </c>
    </row>
    <row r="1044" spans="1:9" s="132" customFormat="1" ht="31.5" x14ac:dyDescent="0.25">
      <c r="A1044" s="851" t="str">
        <f>IF(B1044&gt;0,VLOOKUP(B1044,КВСР!A401:B1566,2),IF(C1044&gt;0,VLOOKUP(C1044,КФСР!A401:B1913,2),IF(D1044&gt;0,VLOOKUP(D1044,Программа!A$1:B$5112,2),IF(F1044&gt;0,VLOOKUP(F1044,КВР!A$1:B$5001,2),IF(E1044&gt;0,VLOOKUP(E1044,Направление!A$1:B$4791,2))))))</f>
        <v>Расходы на реализацию мероприятий по улучшению условий и охраны труда</v>
      </c>
      <c r="B1044" s="116"/>
      <c r="C1044" s="111"/>
      <c r="D1044" s="112"/>
      <c r="E1044" s="111">
        <v>16150</v>
      </c>
      <c r="F1044" s="113"/>
      <c r="G1044" s="276">
        <v>31500</v>
      </c>
      <c r="H1044" s="338">
        <f>H1045</f>
        <v>0</v>
      </c>
      <c r="I1044" s="119">
        <f t="shared" si="216"/>
        <v>31500</v>
      </c>
    </row>
    <row r="1045" spans="1:9" s="132" customFormat="1" ht="47.25" x14ac:dyDescent="0.25">
      <c r="A1045" s="851" t="str">
        <f>IF(B1045&gt;0,VLOOKUP(B1045,КВСР!A402:B1567,2),IF(C1045&gt;0,VLOOKUP(C1045,КФСР!A402:B1914,2)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31500</v>
      </c>
      <c r="H1045" s="338"/>
      <c r="I1045" s="119">
        <f t="shared" si="216"/>
        <v>31500</v>
      </c>
    </row>
    <row r="1046" spans="1:9" s="132" customFormat="1" ht="63" x14ac:dyDescent="0.25">
      <c r="A1046" s="851" t="str">
        <f>IF(B1046&gt;0,VLOOKUP(B1046,КВСР!A403:B1568,2),IF(C1046&gt;0,VLOOKUP(C1046,КФСР!A403:B1915,2),IF(D1046&gt;0,VLOOKUP(D1046,Программа!A$1:B$5112,2),IF(F1046&gt;0,VLOOKUP(F1046,КВР!A$1:B$5001,2),IF(E1046&gt;0,VLOOKUP(E1046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6" s="116"/>
      <c r="C1046" s="111"/>
      <c r="D1046" s="112" t="s">
        <v>1545</v>
      </c>
      <c r="E1046" s="111"/>
      <c r="F1046" s="113"/>
      <c r="G1046" s="276">
        <v>389500</v>
      </c>
      <c r="H1046" s="338">
        <f t="shared" ref="H1046:I1047" si="242">H1047</f>
        <v>-18570</v>
      </c>
      <c r="I1046" s="276">
        <f t="shared" si="242"/>
        <v>370930</v>
      </c>
    </row>
    <row r="1047" spans="1:9" s="132" customFormat="1" ht="31.5" x14ac:dyDescent="0.25">
      <c r="A1047" s="851" t="str">
        <f>IF(B1047&gt;0,VLOOKUP(B1047,КВСР!A404:B1569,2),IF(C1047&gt;0,VLOOKUP(C1047,КФСР!A404:B1916,2),IF(D1047&gt;0,VLOOKUP(D1047,Программа!A$1:B$5112,2),IF(F1047&gt;0,VLOOKUP(F1047,КВР!A$1:B$5001,2),IF(E1047&gt;0,VLOOKUP(E1047,Направление!A$1:B$4791,2))))))</f>
        <v>Расходы на реализацию мероприятий по улучшению условий и охраны труда</v>
      </c>
      <c r="B1047" s="116"/>
      <c r="C1047" s="111"/>
      <c r="D1047" s="112"/>
      <c r="E1047" s="111">
        <v>16150</v>
      </c>
      <c r="F1047" s="113"/>
      <c r="G1047" s="276">
        <v>389500</v>
      </c>
      <c r="H1047" s="338">
        <f t="shared" si="242"/>
        <v>-18570</v>
      </c>
      <c r="I1047" s="276">
        <f t="shared" si="242"/>
        <v>370930</v>
      </c>
    </row>
    <row r="1048" spans="1:9" s="132" customFormat="1" ht="47.25" x14ac:dyDescent="0.25">
      <c r="A1048" s="851" t="str">
        <f>IF(B1048&gt;0,VLOOKUP(B1048,КВСР!A405:B1570,2),IF(C1048&gt;0,VLOOKUP(C1048,КФСР!A405:B1917,2),IF(D1048&gt;0,VLOOKUP(D1048,Программа!A$1:B$5112,2),IF(F1048&gt;0,VLOOKUP(F1048,КВР!A$1:B$5001,2),IF(E1048&gt;0,VLOOKUP(E1048,Направление!A$1:B$4791,2)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389500</v>
      </c>
      <c r="H1048" s="338">
        <v>-18570</v>
      </c>
      <c r="I1048" s="119">
        <f t="shared" si="216"/>
        <v>370930</v>
      </c>
    </row>
    <row r="1049" spans="1:9" s="132" customFormat="1" ht="47.25" x14ac:dyDescent="0.25">
      <c r="A1049" s="851" t="str">
        <f>IF(B1049&gt;0,VLOOKUP(B1049,КВСР!A403:B1568,2),IF(C1049&gt;0,VLOOKUP(C1049,КФСР!A403:B1915,2),IF(D1049&gt;0,VLOOKUP(D1049,Программа!A$1:B$5112,2),IF(F1049&gt;0,VLOOKUP(F1049,КВР!A$1:B$5001,2),IF(E1049&gt;0,VLOOKUP(E1049,Направление!A$1:B$4791,2))))))</f>
        <v>Обучение по охране труда работников организаций Тутаевского муниципального района</v>
      </c>
      <c r="B1049" s="116"/>
      <c r="C1049" s="111"/>
      <c r="D1049" s="112" t="s">
        <v>1116</v>
      </c>
      <c r="E1049" s="111"/>
      <c r="F1049" s="113"/>
      <c r="G1049" s="276">
        <v>35500</v>
      </c>
      <c r="H1049" s="338">
        <f>H1050</f>
        <v>18570</v>
      </c>
      <c r="I1049" s="119">
        <f t="shared" si="216"/>
        <v>54070</v>
      </c>
    </row>
    <row r="1050" spans="1:9" s="132" customFormat="1" ht="31.5" x14ac:dyDescent="0.25">
      <c r="A1050" s="851" t="str">
        <f>IF(B1050&gt;0,VLOOKUP(B1050,КВСР!A404:B1569,2),IF(C1050&gt;0,VLOOKUP(C1050,КФСР!A404:B1916,2),IF(D1050&gt;0,VLOOKUP(D1050,Программа!A$1:B$5112,2),IF(F1050&gt;0,VLOOKUP(F1050,КВР!A$1:B$5001,2),IF(E1050&gt;0,VLOOKUP(E1050,Направление!A$1:B$4791,2))))))</f>
        <v>Расходы на реализацию мероприятий по улучшению условий и охраны труда</v>
      </c>
      <c r="B1050" s="116"/>
      <c r="C1050" s="111"/>
      <c r="D1050" s="112"/>
      <c r="E1050" s="111">
        <v>16150</v>
      </c>
      <c r="F1050" s="113"/>
      <c r="G1050" s="276">
        <v>35500</v>
      </c>
      <c r="H1050" s="338">
        <f>H1051</f>
        <v>18570</v>
      </c>
      <c r="I1050" s="119">
        <f t="shared" si="216"/>
        <v>54070</v>
      </c>
    </row>
    <row r="1051" spans="1:9" s="132" customFormat="1" ht="47.25" x14ac:dyDescent="0.25">
      <c r="A1051" s="851" t="str">
        <f>IF(B1051&gt;0,VLOOKUP(B1051,КВСР!A405:B1570,2),IF(C1051&gt;0,VLOOKUP(C1051,КФСР!A405:B1917,2),IF(D1051&gt;0,VLOOKUP(D1051,Программа!A$1:B$5112,2),IF(F1051&gt;0,VLOOKUP(F1051,КВР!A$1:B$5001,2),IF(E1051&gt;0,VLOOKUP(E1051,Направление!A$1:B$4791,2))))))</f>
        <v>Предоставление субсидий бюджетным, автономным учреждениям и иным некоммерческим организациям</v>
      </c>
      <c r="B1051" s="116"/>
      <c r="C1051" s="111"/>
      <c r="D1051" s="112"/>
      <c r="E1051" s="111"/>
      <c r="F1051" s="113">
        <v>600</v>
      </c>
      <c r="G1051" s="276">
        <v>35500</v>
      </c>
      <c r="H1051" s="338">
        <v>18570</v>
      </c>
      <c r="I1051" s="119">
        <f t="shared" si="216"/>
        <v>54070</v>
      </c>
    </row>
    <row r="1052" spans="1:9" s="132" customFormat="1" ht="31.5" hidden="1" x14ac:dyDescent="0.25">
      <c r="A1052" s="851" t="str">
        <f>IF(B1052&gt;0,VLOOKUP(B1052,КВСР!A401:B1566,2),IF(C1052&gt;0,VLOOKUP(C1052,КФСР!A401:B1913,2),IF(D1052&gt;0,VLOOKUP(D1052,Программа!A$1:B$5112,2),IF(F1052&gt;0,VLOOKUP(F1052,КВР!A$1:B$5001,2),IF(E1052&gt;0,VLOOKUP(E1052,Направление!A$1:B$4791,2))))))</f>
        <v>Муниципальная программа "Доступная среда "</v>
      </c>
      <c r="B1052" s="116"/>
      <c r="C1052" s="111"/>
      <c r="D1052" s="112" t="s">
        <v>582</v>
      </c>
      <c r="E1052" s="111"/>
      <c r="F1052" s="113"/>
      <c r="G1052" s="276">
        <v>0</v>
      </c>
      <c r="H1052" s="338">
        <f t="shared" ref="H1052:H1054" si="243">H1053</f>
        <v>0</v>
      </c>
      <c r="I1052" s="119">
        <f t="shared" si="216"/>
        <v>0</v>
      </c>
    </row>
    <row r="1053" spans="1:9" s="132" customFormat="1" ht="78.75" hidden="1" x14ac:dyDescent="0.25">
      <c r="A1053" s="851" t="str">
        <f>IF(B1053&gt;0,VLOOKUP(B1053,КВСР!A396:B1561,2),IF(C1053&gt;0,VLOOKUP(C1053,КФСР!A396:B1908,2),IF(D1053&gt;0,VLOOKUP(D1053,Программа!A$1:B$5112,2),IF(F1053&gt;0,VLOOKUP(F1053,КВР!A$1:B$5001,2),IF(E1053&gt;0,VLOOKUP(E1053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53" s="116"/>
      <c r="C1053" s="111"/>
      <c r="D1053" s="112" t="s">
        <v>584</v>
      </c>
      <c r="E1053" s="111"/>
      <c r="F1053" s="113"/>
      <c r="G1053" s="276">
        <v>0</v>
      </c>
      <c r="H1053" s="338">
        <f t="shared" si="243"/>
        <v>0</v>
      </c>
      <c r="I1053" s="119">
        <f t="shared" si="216"/>
        <v>0</v>
      </c>
    </row>
    <row r="1054" spans="1:9" s="132" customFormat="1" ht="47.25" hidden="1" x14ac:dyDescent="0.25">
      <c r="A1054" s="851" t="str">
        <f>IF(B1054&gt;0,VLOOKUP(B1054,КВСР!A397:B1562,2),IF(C1054&gt;0,VLOOKUP(C1054,КФСР!A397:B1909,2),IF(D1054&gt;0,VLOOKUP(D1054,Программа!A$1:B$5112,2),IF(F1054&gt;0,VLOOKUP(F1054,КВР!A$1:B$5001,2),IF(E1054&gt;0,VLOOKUP(E1054,Направление!A$1:B$4791,2))))))</f>
        <v>Расходы на оборудование социально значимых объектов с целью обеспечения доступности для инвалидов</v>
      </c>
      <c r="B1054" s="116"/>
      <c r="C1054" s="111"/>
      <c r="D1054" s="112"/>
      <c r="E1054" s="111">
        <v>16250</v>
      </c>
      <c r="F1054" s="113"/>
      <c r="G1054" s="276">
        <v>0</v>
      </c>
      <c r="H1054" s="338">
        <f t="shared" si="243"/>
        <v>0</v>
      </c>
      <c r="I1054" s="119">
        <f t="shared" si="216"/>
        <v>0</v>
      </c>
    </row>
    <row r="1055" spans="1:9" s="132" customFormat="1" ht="47.25" hidden="1" x14ac:dyDescent="0.25">
      <c r="A1055" s="851" t="str">
        <f>IF(B1055&gt;0,VLOOKUP(B1055,КВСР!A398:B1563,2),IF(C1055&gt;0,VLOOKUP(C1055,КФСР!A398:B1910,2)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3"/>
      <c r="E1055" s="111"/>
      <c r="F1055" s="113">
        <v>600</v>
      </c>
      <c r="G1055" s="276">
        <v>0</v>
      </c>
      <c r="H1055" s="338"/>
      <c r="I1055" s="119">
        <f t="shared" si="216"/>
        <v>0</v>
      </c>
    </row>
    <row r="1056" spans="1:9" s="132" customFormat="1" ht="31.5" x14ac:dyDescent="0.25">
      <c r="A1056" s="851" t="str">
        <f>IF(B1056&gt;0,VLOOKUP(B1056,КВСР!A402:B1567,2),IF(C1056&gt;0,VLOOKUP(C1056,КФСР!A402:B1914,2),IF(D1056&gt;0,VLOOKUP(D1056,Программа!A$1:B$5112,2),IF(F1056&gt;0,VLOOKUP(F1056,КВР!A$1:B$5001,2),IF(E1056&gt;0,VLOOKUP(E1056,Направление!A$1:B$4791,2))))))</f>
        <v>Другие вопросы в области культуры, кинематографии</v>
      </c>
      <c r="B1056" s="116"/>
      <c r="C1056" s="111">
        <v>804</v>
      </c>
      <c r="D1056" s="112"/>
      <c r="E1056" s="111"/>
      <c r="F1056" s="113"/>
      <c r="G1056" s="276">
        <v>32054977</v>
      </c>
      <c r="H1056" s="338">
        <f>H1057+H1097+H1079+H1084+H1089+H1093</f>
        <v>0</v>
      </c>
      <c r="I1056" s="119">
        <f t="shared" si="216"/>
        <v>32054977</v>
      </c>
    </row>
    <row r="1057" spans="1:9" s="132" customFormat="1" ht="63" x14ac:dyDescent="0.25">
      <c r="A1057" s="851" t="str">
        <f>IF(B1057&gt;0,VLOOKUP(B1057,КВСР!A403:B1568,2),IF(C1057&gt;0,VLOOKUP(C1057,КФСР!A403:B1915,2),IF(D1057&gt;0,VLOOKUP(D1057,Программа!A$1:B$5112,2),IF(F1057&gt;0,VLOOKUP(F1057,КВР!A$1:B$5001,2),IF(E1057&gt;0,VLOOKUP(E1057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2" t="s">
        <v>470</v>
      </c>
      <c r="E1057" s="111"/>
      <c r="F1057" s="113"/>
      <c r="G1057" s="276">
        <v>31909674</v>
      </c>
      <c r="H1057" s="338">
        <f>H1066+H1062+H1058</f>
        <v>0</v>
      </c>
      <c r="I1057" s="119">
        <f t="shared" si="216"/>
        <v>31909674</v>
      </c>
    </row>
    <row r="1058" spans="1:9" s="132" customFormat="1" ht="94.5" hidden="1" x14ac:dyDescent="0.25">
      <c r="A1058" s="851" t="str">
        <f>IF(B1058&gt;0,VLOOKUP(B1058,КВСР!A404:B1569,2),IF(C1058&gt;0,VLOOKUP(C1058,КФСР!A404:B1916,2),IF(D1058&gt;0,VLOOKUP(D1058,Программа!A$1:B$5112,2),IF(F1058&gt;0,VLOOKUP(F1058,КВР!A$1:B$5001,2),IF(E1058&gt;0,VLOOKUP(E1058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8" s="116"/>
      <c r="C1058" s="111"/>
      <c r="D1058" s="112" t="s">
        <v>472</v>
      </c>
      <c r="E1058" s="111"/>
      <c r="F1058" s="113"/>
      <c r="G1058" s="276">
        <v>0</v>
      </c>
      <c r="H1058" s="338">
        <f t="shared" ref="H1058:H1060" si="244">H1059</f>
        <v>0</v>
      </c>
      <c r="I1058" s="119">
        <f t="shared" si="216"/>
        <v>0</v>
      </c>
    </row>
    <row r="1059" spans="1:9" s="132" customFormat="1" ht="78.75" hidden="1" x14ac:dyDescent="0.25">
      <c r="A1059" s="851" t="str">
        <f>IF(B1059&gt;0,VLOOKUP(B1059,КВСР!A405:B1570,2),IF(C1059&gt;0,VLOOKUP(C1059,КФСР!A405:B1917,2),IF(D1059&gt;0,VLOOKUP(D1059,Программа!A$1:B$5112,2),IF(F1059&gt;0,VLOOKUP(F1059,КВР!A$1:B$5001,2),IF(E1059&gt;0,VLOOKUP(E1059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9" s="116"/>
      <c r="C1059" s="111"/>
      <c r="D1059" s="112" t="s">
        <v>474</v>
      </c>
      <c r="E1059" s="111"/>
      <c r="F1059" s="113"/>
      <c r="G1059" s="276">
        <v>0</v>
      </c>
      <c r="H1059" s="338">
        <f t="shared" si="244"/>
        <v>0</v>
      </c>
      <c r="I1059" s="119">
        <f t="shared" si="216"/>
        <v>0</v>
      </c>
    </row>
    <row r="1060" spans="1:9" s="132" customFormat="1" ht="31.5" hidden="1" x14ac:dyDescent="0.25">
      <c r="A1060" s="851" t="str">
        <f>IF(B1060&gt;0,VLOOKUP(B1060,КВСР!A406:B1571,2),IF(C1060&gt;0,VLOOKUP(C1060,КФСР!A406:B1918,2),IF(D1060&gt;0,VLOOKUP(D1060,Программа!A$1:B$5112,2),IF(F1060&gt;0,VLOOKUP(F1060,КВР!A$1:B$5001,2),IF(E1060&gt;0,VLOOKUP(E1060,Направление!A$1:B$4791,2))))))</f>
        <v>Расходы на реализацию мероприятий патриотического воспитания молодежи</v>
      </c>
      <c r="B1060" s="116"/>
      <c r="C1060" s="111"/>
      <c r="D1060" s="112"/>
      <c r="E1060" s="111">
        <v>14560</v>
      </c>
      <c r="F1060" s="113"/>
      <c r="G1060" s="276">
        <v>0</v>
      </c>
      <c r="H1060" s="338">
        <f t="shared" si="244"/>
        <v>0</v>
      </c>
      <c r="I1060" s="119">
        <f t="shared" si="216"/>
        <v>0</v>
      </c>
    </row>
    <row r="1061" spans="1:9" s="132" customFormat="1" ht="47.25" hidden="1" x14ac:dyDescent="0.25">
      <c r="A1061" s="851" t="str">
        <f>IF(B1061&gt;0,VLOOKUP(B1061,КВСР!A407:B1572,2),IF(C1061&gt;0,VLOOKUP(C1061,КФСР!A407:B1919,2),IF(D1061&gt;0,VLOOKUP(D1061,Программа!A$1:B$5112,2),IF(F1061&gt;0,VLOOKUP(F1061,КВР!A$1:B$5001,2),IF(E1061&gt;0,VLOOKUP(E1061,Направление!A$1:B$4791,2)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0</v>
      </c>
      <c r="H1061" s="338"/>
      <c r="I1061" s="119">
        <f t="shared" si="216"/>
        <v>0</v>
      </c>
    </row>
    <row r="1062" spans="1:9" s="132" customFormat="1" ht="63" hidden="1" x14ac:dyDescent="0.25">
      <c r="A1062" s="851" t="str">
        <f>IF(B1062&gt;0,VLOOKUP(B1062,КВСР!A404:B1569,2),IF(C1062&gt;0,VLOOKUP(C1062,КФСР!A404:B1916,2),IF(D1062&gt;0,VLOOKUP(D1062,Программа!A$1:B$5112,2),IF(F1062&gt;0,VLOOKUP(F1062,КВР!A$1:B$5001,2),IF(E1062&gt;0,VLOOKUP(E1062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62" s="116"/>
      <c r="C1062" s="111"/>
      <c r="D1062" s="112" t="s">
        <v>477</v>
      </c>
      <c r="E1062" s="111"/>
      <c r="F1062" s="113"/>
      <c r="G1062" s="276">
        <v>0</v>
      </c>
      <c r="H1062" s="338">
        <f t="shared" ref="H1062:H1064" si="245">H1063</f>
        <v>0</v>
      </c>
      <c r="I1062" s="119">
        <f t="shared" si="216"/>
        <v>0</v>
      </c>
    </row>
    <row r="1063" spans="1:9" s="132" customFormat="1" ht="47.25" hidden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Развитие системы профилактики немедицинского потребления наркотиков</v>
      </c>
      <c r="B1063" s="116"/>
      <c r="C1063" s="111"/>
      <c r="D1063" s="112" t="s">
        <v>479</v>
      </c>
      <c r="E1063" s="111"/>
      <c r="F1063" s="113"/>
      <c r="G1063" s="276">
        <v>0</v>
      </c>
      <c r="H1063" s="338">
        <f t="shared" si="245"/>
        <v>0</v>
      </c>
      <c r="I1063" s="119">
        <f t="shared" si="216"/>
        <v>0</v>
      </c>
    </row>
    <row r="1064" spans="1:9" s="132" customFormat="1" ht="63" hidden="1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64" s="134"/>
      <c r="C1064" s="129"/>
      <c r="D1064" s="128"/>
      <c r="E1064" s="129">
        <v>13820</v>
      </c>
      <c r="F1064" s="131"/>
      <c r="G1064" s="294">
        <v>0</v>
      </c>
      <c r="H1064" s="283">
        <f t="shared" si="245"/>
        <v>0</v>
      </c>
      <c r="I1064" s="119">
        <f t="shared" si="216"/>
        <v>0</v>
      </c>
    </row>
    <row r="1065" spans="1:9" s="132" customFormat="1" ht="47.25" hidden="1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/>
      <c r="I1065" s="119">
        <f t="shared" si="216"/>
        <v>0</v>
      </c>
    </row>
    <row r="1066" spans="1:9" s="132" customFormat="1" ht="47.25" x14ac:dyDescent="0.25">
      <c r="A1066" s="851" t="str">
        <f>IF(B1066&gt;0,VLOOKUP(B1066,КВСР!A404:B1569,2),IF(C1066&gt;0,VLOOKUP(C1066,КФСР!A404:B1916,2),IF(D1066&gt;0,VLOOKUP(D1066,Программа!A$1:B$5112,2),IF(F1066&gt;0,VLOOKUP(F1066,КВР!A$1:B$5001,2),IF(E1066&gt;0,VLOOKUP(E1066,Направление!A$1:B$4791,2))))))</f>
        <v>Ведомственная целевая программа «Сохранение и развитие культуры Тутаевского муниципального района»</v>
      </c>
      <c r="B1066" s="116"/>
      <c r="C1066" s="111"/>
      <c r="D1066" s="112" t="s">
        <v>568</v>
      </c>
      <c r="E1066" s="111"/>
      <c r="F1066" s="113"/>
      <c r="G1066" s="276">
        <v>31909674</v>
      </c>
      <c r="H1066" s="338">
        <f>H1067</f>
        <v>0</v>
      </c>
      <c r="I1066" s="119">
        <f t="shared" si="216"/>
        <v>31909674</v>
      </c>
    </row>
    <row r="1067" spans="1:9" s="132" customFormat="1" ht="31.5" x14ac:dyDescent="0.25">
      <c r="A1067" s="851" t="str">
        <f>IF(B1067&gt;0,VLOOKUP(B1067,КВСР!A405:B1570,2),IF(C1067&gt;0,VLOOKUP(C1067,КФСР!A405:B1917,2),IF(D1067&gt;0,VLOOKUP(D1067,Программа!A$1:B$5112,2),IF(F1067&gt;0,VLOOKUP(F1067,КВР!A$1:B$5001,2),IF(E1067&gt;0,VLOOKUP(E1067,Направление!A$1:B$4791,2))))))</f>
        <v>Обеспечение эффективности управления системой культуры</v>
      </c>
      <c r="B1067" s="116"/>
      <c r="C1067" s="111"/>
      <c r="D1067" s="112" t="s">
        <v>595</v>
      </c>
      <c r="E1067" s="111"/>
      <c r="F1067" s="113"/>
      <c r="G1067" s="276">
        <v>31909674</v>
      </c>
      <c r="H1067" s="338">
        <f>H1068+H1072+H1076</f>
        <v>0</v>
      </c>
      <c r="I1067" s="119">
        <f t="shared" si="216"/>
        <v>31909674</v>
      </c>
    </row>
    <row r="1068" spans="1:9" s="132" customFormat="1" x14ac:dyDescent="0.25">
      <c r="A1068" s="851" t="str">
        <f>IF(B1068&gt;0,VLOOKUP(B1068,КВСР!A405:B1570,2),IF(C1068&gt;0,VLOOKUP(C1068,КФСР!A405:B1917,2),IF(D1068&gt;0,VLOOKUP(D1068,Программа!A$1:B$5112,2),IF(F1068&gt;0,VLOOKUP(F1068,КВР!A$1:B$5001,2),IF(E1068&gt;0,VLOOKUP(E1068,Направление!A$1:B$4791,2))))))</f>
        <v>Содержание центрального аппарата</v>
      </c>
      <c r="B1068" s="116"/>
      <c r="C1068" s="111"/>
      <c r="D1068" s="112"/>
      <c r="E1068" s="111">
        <v>12010</v>
      </c>
      <c r="F1068" s="113"/>
      <c r="G1068" s="294">
        <v>4600297</v>
      </c>
      <c r="H1068" s="283">
        <f>H1069+H1070+H1071</f>
        <v>0</v>
      </c>
      <c r="I1068" s="119">
        <f t="shared" si="216"/>
        <v>4600297</v>
      </c>
    </row>
    <row r="1069" spans="1:9" s="132" customFormat="1" ht="110.25" x14ac:dyDescent="0.25">
      <c r="A1069" s="851" t="str">
        <f>IF(B1069&gt;0,VLOOKUP(B1069,КВСР!A406:B1571,2),IF(C1069&gt;0,VLOOKUP(C1069,КФСР!A406:B1918,2),IF(D1069&gt;0,VLOOKUP(D1069,Программа!A$1:B$5112,2),IF(F1069&gt;0,VLOOKUP(F1069,КВР!A$1:B$5001,2),IF(E1069&gt;0,VLOOKUP(E1069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9" s="116"/>
      <c r="C1069" s="111"/>
      <c r="D1069" s="113"/>
      <c r="E1069" s="111"/>
      <c r="F1069" s="113">
        <v>100</v>
      </c>
      <c r="G1069" s="294">
        <v>4035297</v>
      </c>
      <c r="H1069" s="283"/>
      <c r="I1069" s="119">
        <f t="shared" si="216"/>
        <v>4035297</v>
      </c>
    </row>
    <row r="1070" spans="1:9" s="132" customFormat="1" ht="63" x14ac:dyDescent="0.25">
      <c r="A1070" s="851" t="str">
        <f>IF(B1070&gt;0,VLOOKUP(B1070,КВСР!A407:B1572,2),IF(C1070&gt;0,VLOOKUP(C1070,КФСР!A407:B1919,2),IF(D1070&gt;0,VLOOKUP(D1070,Программа!A$1:B$5112,2),IF(F1070&gt;0,VLOOKUP(F1070,КВР!A$1:B$5001,2),IF(E1070&gt;0,VLOOKUP(E1070,Направление!A$1:B$4791,2))))))</f>
        <v xml:space="preserve">Закупка товаров, работ и услуг для обеспечения государственных (муниципальных) нужд
</v>
      </c>
      <c r="B1070" s="116"/>
      <c r="C1070" s="111"/>
      <c r="D1070" s="113"/>
      <c r="E1070" s="111"/>
      <c r="F1070" s="113">
        <v>200</v>
      </c>
      <c r="G1070" s="294">
        <v>522000</v>
      </c>
      <c r="H1070" s="283"/>
      <c r="I1070" s="119">
        <f t="shared" si="216"/>
        <v>522000</v>
      </c>
    </row>
    <row r="1071" spans="1:9" s="132" customFormat="1" x14ac:dyDescent="0.25">
      <c r="A1071" s="851" t="str">
        <f>IF(B1071&gt;0,VLOOKUP(B1071,КВСР!A408:B1573,2),IF(C1071&gt;0,VLOOKUP(C1071,КФСР!A408:B1920,2),IF(D1071&gt;0,VLOOKUP(D1071,Программа!A$1:B$5112,2),IF(F1071&gt;0,VLOOKUP(F1071,КВР!A$1:B$5001,2),IF(E1071&gt;0,VLOOKUP(E1071,Направление!A$1:B$4791,2))))))</f>
        <v>Иные бюджетные ассигнования</v>
      </c>
      <c r="B1071" s="116"/>
      <c r="C1071" s="111"/>
      <c r="D1071" s="113"/>
      <c r="E1071" s="111"/>
      <c r="F1071" s="113">
        <v>800</v>
      </c>
      <c r="G1071" s="294">
        <v>43000</v>
      </c>
      <c r="H1071" s="283"/>
      <c r="I1071" s="119">
        <f t="shared" si="216"/>
        <v>43000</v>
      </c>
    </row>
    <row r="1072" spans="1:9" s="132" customFormat="1" ht="31.5" x14ac:dyDescent="0.25">
      <c r="A1072" s="851" t="str">
        <f>IF(B1072&gt;0,VLOOKUP(B1072,КВСР!A409:B1574,2),IF(C1072&gt;0,VLOOKUP(C1072,КФСР!A409:B1921,2),IF(D1072&gt;0,VLOOKUP(D1072,Программа!A$1:B$5112,2),IF(F1072&gt;0,VLOOKUP(F1072,КВР!A$1:B$5001,2),IF(E1072&gt;0,VLOOKUP(E1072,Направление!A$1:B$4791,2))))))</f>
        <v>Обеспечение деятельности прочих учреждений в сфере культуры</v>
      </c>
      <c r="B1072" s="116"/>
      <c r="C1072" s="111"/>
      <c r="D1072" s="112"/>
      <c r="E1072" s="111">
        <v>15210</v>
      </c>
      <c r="F1072" s="113"/>
      <c r="G1072" s="294">
        <v>27309377</v>
      </c>
      <c r="H1072" s="283">
        <f>H1073+H1074+H1075</f>
        <v>0</v>
      </c>
      <c r="I1072" s="119">
        <f t="shared" si="216"/>
        <v>27309377</v>
      </c>
    </row>
    <row r="1073" spans="1:9" s="132" customFormat="1" ht="110.25" x14ac:dyDescent="0.25">
      <c r="A1073" s="851" t="str">
        <f>IF(B1073&gt;0,VLOOKUP(B1073,КВСР!A410:B1575,2),IF(C1073&gt;0,VLOOKUP(C1073,КФСР!A410:B1922,2),IF(D1073&gt;0,VLOOKUP(D1073,Программа!A$1:B$5112,2),IF(F1073&gt;0,VLOOKUP(F1073,КВР!A$1:B$5001,2),IF(E1073&gt;0,VLOOKUP(E1073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6"/>
      <c r="C1073" s="111"/>
      <c r="D1073" s="113"/>
      <c r="E1073" s="111"/>
      <c r="F1073" s="113">
        <v>100</v>
      </c>
      <c r="G1073" s="276">
        <v>26436977</v>
      </c>
      <c r="H1073" s="338"/>
      <c r="I1073" s="119">
        <f t="shared" si="216"/>
        <v>26436977</v>
      </c>
    </row>
    <row r="1074" spans="1:9" s="132" customFormat="1" ht="63" x14ac:dyDescent="0.25">
      <c r="A1074" s="851" t="str">
        <f>IF(B1074&gt;0,VLOOKUP(B1074,КВСР!A411:B1576,2),IF(C1074&gt;0,VLOOKUP(C1074,КФСР!A411:B1923,2),IF(D1074&gt;0,VLOOKUP(D1074,Программа!A$1:B$5112,2),IF(F1074&gt;0,VLOOKUP(F1074,КВР!A$1:B$5001,2),IF(E1074&gt;0,VLOOKUP(E1074,Направление!A$1:B$4791,2))))))</f>
        <v xml:space="preserve">Закупка товаров, работ и услуг для обеспечения государственных (муниципальных) нужд
</v>
      </c>
      <c r="B1074" s="116"/>
      <c r="C1074" s="111"/>
      <c r="D1074" s="113"/>
      <c r="E1074" s="111"/>
      <c r="F1074" s="113">
        <v>200</v>
      </c>
      <c r="G1074" s="276">
        <v>844400</v>
      </c>
      <c r="H1074" s="338"/>
      <c r="I1074" s="119">
        <f t="shared" si="216"/>
        <v>844400</v>
      </c>
    </row>
    <row r="1075" spans="1:9" s="132" customFormat="1" x14ac:dyDescent="0.25">
      <c r="A1075" s="851" t="str">
        <f>IF(B1075&gt;0,VLOOKUP(B1075,КВСР!A412:B1577,2),IF(C1075&gt;0,VLOOKUP(C1075,КФСР!A412:B1924,2),IF(D1075&gt;0,VLOOKUP(D1075,Программа!A$1:B$5112,2),IF(F1075&gt;0,VLOOKUP(F1075,КВР!A$1:B$5001,2),IF(E1075&gt;0,VLOOKUP(E1075,Направление!A$1:B$4791,2))))))</f>
        <v>Иные бюджетные ассигнования</v>
      </c>
      <c r="B1075" s="116"/>
      <c r="C1075" s="111"/>
      <c r="D1075" s="113"/>
      <c r="E1075" s="111"/>
      <c r="F1075" s="113">
        <v>800</v>
      </c>
      <c r="G1075" s="276">
        <v>28000</v>
      </c>
      <c r="H1075" s="338"/>
      <c r="I1075" s="119">
        <f t="shared" ref="I1075:I1110" si="246">SUM(G1075:H1075)</f>
        <v>28000</v>
      </c>
    </row>
    <row r="1076" spans="1:9" s="132" customFormat="1" ht="47.25" hidden="1" x14ac:dyDescent="0.25">
      <c r="A1076" s="851" t="str">
        <f>IF(B1076&gt;0,VLOOKUP(B1076,КВСР!A412:B1577,2),IF(C1076&gt;0,VLOOKUP(C1076,КФСР!A412:B1924,2),IF(D1076&gt;0,VLOOKUP(D1076,Программа!A$1:B$5112,2),IF(F1076&gt;0,VLOOKUP(F1076,КВР!A$1:B$5001,2),IF(E1076&gt;0,VLOOKUP(E1076,Направление!A$1:B$4791,2))))))</f>
        <v>Содержание органов местного самоуправления за счет средств поселений</v>
      </c>
      <c r="B1076" s="116"/>
      <c r="C1076" s="111"/>
      <c r="D1076" s="112"/>
      <c r="E1076" s="111">
        <v>29016</v>
      </c>
      <c r="F1076" s="113"/>
      <c r="G1076" s="276">
        <v>0</v>
      </c>
      <c r="H1076" s="338">
        <f>H1077+H1078</f>
        <v>0</v>
      </c>
      <c r="I1076" s="119">
        <f t="shared" si="246"/>
        <v>0</v>
      </c>
    </row>
    <row r="1077" spans="1:9" s="132" customFormat="1" ht="110.25" hidden="1" x14ac:dyDescent="0.25">
      <c r="A1077" s="851" t="str">
        <f>IF(B1077&gt;0,VLOOKUP(B1077,КВСР!A413:B1578,2),IF(C1077&gt;0,VLOOKUP(C1077,КФСР!A413:B1925,2),IF(D1077&gt;0,VLOOKUP(D1077,Программа!A$1:B$5112,2),IF(F1077&gt;0,VLOOKUP(F1077,КВР!A$1:B$5001,2),IF(E1077&gt;0,VLOOKUP(E1077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6"/>
      <c r="C1077" s="111"/>
      <c r="D1077" s="113"/>
      <c r="E1077" s="111"/>
      <c r="F1077" s="113">
        <v>100</v>
      </c>
      <c r="G1077" s="276">
        <v>0</v>
      </c>
      <c r="H1077" s="338"/>
      <c r="I1077" s="119">
        <f t="shared" si="246"/>
        <v>0</v>
      </c>
    </row>
    <row r="1078" spans="1:9" s="132" customFormat="1" ht="63" hidden="1" x14ac:dyDescent="0.25">
      <c r="A1078" s="851" t="str">
        <f>IF(B1078&gt;0,VLOOKUP(B1078,КВСР!A414:B1579,2),IF(C1078&gt;0,VLOOKUP(C1078,КФСР!A414:B1926,2)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6"/>
        <v>0</v>
      </c>
    </row>
    <row r="1079" spans="1:9" s="132" customFormat="1" ht="63" hidden="1" x14ac:dyDescent="0.25">
      <c r="A1079" s="851" t="str">
        <f>IF(B1079&gt;0,VLOOKUP(B1079,КВСР!A415:B1580,2),IF(C1079&gt;0,VLOOKUP(C1079,КФСР!A415:B1927,2),IF(D1079&gt;0,VLOOKUP(D1079,Программа!A$1:B$5112,2),IF(F1079&gt;0,VLOOKUP(F1079,КВР!A$1:B$5001,2),IF(E1079&gt;0,VLOOKUP(E1079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9" s="116"/>
      <c r="C1079" s="111"/>
      <c r="D1079" s="112" t="s">
        <v>441</v>
      </c>
      <c r="E1079" s="111"/>
      <c r="F1079" s="113"/>
      <c r="G1079" s="276">
        <v>0</v>
      </c>
      <c r="H1079" s="338">
        <f t="shared" ref="H1079:H1082" si="247">H1080</f>
        <v>0</v>
      </c>
      <c r="I1079" s="119">
        <f t="shared" si="246"/>
        <v>0</v>
      </c>
    </row>
    <row r="1080" spans="1:9" s="132" customFormat="1" ht="63" hidden="1" x14ac:dyDescent="0.25">
      <c r="A1080" s="851" t="str">
        <f>IF(B1080&gt;0,VLOOKUP(B1080,КВСР!A416:B1581,2),IF(C1080&gt;0,VLOOKUP(C1080,КФСР!A416:B1928,2),IF(D1080&gt;0,VLOOKUP(D1080,Программа!A$1:B$5112,2),IF(F1080&gt;0,VLOOKUP(F1080,КВР!A$1:B$5001,2),IF(E1080&gt;0,VLOOKUP(E1080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0" s="116"/>
      <c r="C1080" s="111"/>
      <c r="D1080" s="112" t="s">
        <v>492</v>
      </c>
      <c r="E1080" s="111"/>
      <c r="F1080" s="113"/>
      <c r="G1080" s="276">
        <v>0</v>
      </c>
      <c r="H1080" s="338">
        <f t="shared" si="247"/>
        <v>0</v>
      </c>
      <c r="I1080" s="119">
        <f t="shared" si="246"/>
        <v>0</v>
      </c>
    </row>
    <row r="1081" spans="1:9" s="132" customFormat="1" ht="47.25" hidden="1" x14ac:dyDescent="0.25">
      <c r="A1081" s="851" t="str">
        <f>IF(B1081&gt;0,VLOOKUP(B1081,КВСР!A417:B1582,2),IF(C1081&gt;0,VLOOKUP(C1081,КФСР!A417:B1929,2),IF(D1081&gt;0,VLOOKUP(D1081,Программа!A$1:B$5112,2),IF(F1081&gt;0,VLOOKUP(F1081,КВР!A$1:B$5001,2),IF(E1081&gt;0,VLOOKUP(E1081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81" s="116"/>
      <c r="C1081" s="111"/>
      <c r="D1081" s="112" t="s">
        <v>494</v>
      </c>
      <c r="E1081" s="111"/>
      <c r="F1081" s="113"/>
      <c r="G1081" s="276">
        <v>0</v>
      </c>
      <c r="H1081" s="338">
        <f t="shared" si="247"/>
        <v>0</v>
      </c>
      <c r="I1081" s="119">
        <f t="shared" si="246"/>
        <v>0</v>
      </c>
    </row>
    <row r="1082" spans="1:9" s="132" customFormat="1" ht="47.25" hidden="1" x14ac:dyDescent="0.25">
      <c r="A1082" s="851" t="str">
        <f>IF(B1082&gt;0,VLOOKUP(B1082,КВСР!A418:B1583,2),IF(C1082&gt;0,VLOOKUP(C1082,КФСР!A418:B1930,2),IF(D1082&gt;0,VLOOKUP(D1082,Программа!A$1:B$5112,2),IF(F1082&gt;0,VLOOKUP(F1082,КВР!A$1:B$5001,2),IF(E1082&gt;0,VLOOKUP(E1082,Направление!A$1:B$4791,2))))))</f>
        <v>Расходы на реализацию МЦП "Духовно - нравственное воспитание и просвещение населения ТМР"</v>
      </c>
      <c r="B1082" s="116"/>
      <c r="C1082" s="111"/>
      <c r="D1082" s="112"/>
      <c r="E1082" s="111">
        <v>13810</v>
      </c>
      <c r="F1082" s="113"/>
      <c r="G1082" s="276">
        <v>0</v>
      </c>
      <c r="H1082" s="338">
        <f t="shared" si="247"/>
        <v>0</v>
      </c>
      <c r="I1082" s="119">
        <f t="shared" si="246"/>
        <v>0</v>
      </c>
    </row>
    <row r="1083" spans="1:9" s="132" customFormat="1" ht="63" hidden="1" x14ac:dyDescent="0.25">
      <c r="A1083" s="851" t="str">
        <f>IF(B1083&gt;0,VLOOKUP(B1083,КВСР!A418:B1583,2),IF(C1083&gt;0,VLOOKUP(C1083,КФСР!A418:B1930,2),IF(D1083&gt;0,VLOOKUP(D1083,Программа!A$1:B$5112,2),IF(F1083&gt;0,VLOOKUP(F1083,КВР!A$1:B$5001,2),IF(E1083&gt;0,VLOOKUP(E1083,Направление!A$1:B$4791,2))))))</f>
        <v xml:space="preserve">Закупка товаров, работ и услуг для обеспечения государственных (муниципальных) нужд
</v>
      </c>
      <c r="B1083" s="116"/>
      <c r="C1083" s="111"/>
      <c r="D1083" s="113"/>
      <c r="E1083" s="111"/>
      <c r="F1083" s="113">
        <v>200</v>
      </c>
      <c r="G1083" s="276">
        <v>0</v>
      </c>
      <c r="H1083" s="338"/>
      <c r="I1083" s="119">
        <f t="shared" si="246"/>
        <v>0</v>
      </c>
    </row>
    <row r="1084" spans="1:9" s="132" customFormat="1" ht="47.25" hidden="1" x14ac:dyDescent="0.25">
      <c r="A1084" s="851" t="str">
        <f>IF(B1084&gt;0,VLOOKUP(B1084,КВСР!A419:B1584,2),IF(C1084&gt;0,VLOOKUP(C1084,КФСР!A419:B1931,2),IF(D1084&gt;0,VLOOKUP(D1084,Программа!A$1:B$5112,2),IF(F1084&gt;0,VLOOKUP(F1084,КВР!A$1:B$5001,2),IF(E1084&gt;0,VLOOKUP(E1084,Направление!A$1:B$4791,2))))))</f>
        <v>Муниципальная программа "Социальная поддержка населения Тутаевского муниципального района"</v>
      </c>
      <c r="B1084" s="116"/>
      <c r="C1084" s="111"/>
      <c r="D1084" s="112" t="s">
        <v>450</v>
      </c>
      <c r="E1084" s="111"/>
      <c r="F1084" s="113"/>
      <c r="G1084" s="276">
        <v>0</v>
      </c>
      <c r="H1084" s="338">
        <f t="shared" ref="H1084:H1087" si="248">H1085</f>
        <v>0</v>
      </c>
      <c r="I1084" s="119">
        <f t="shared" si="246"/>
        <v>0</v>
      </c>
    </row>
    <row r="1085" spans="1:9" s="132" customFormat="1" ht="47.25" hidden="1" x14ac:dyDescent="0.25">
      <c r="A1085" s="851" t="str">
        <f>IF(B1085&gt;0,VLOOKUP(B1085,КВСР!A420:B1585,2),IF(C1085&gt;0,VLOOKUP(C1085,КФСР!A420:B1932,2),IF(D1085&gt;0,VLOOKUP(D1085,Программа!A$1:B$5112,2),IF(F1085&gt;0,VLOOKUP(F1085,КВР!A$1:B$5001,2),IF(E1085&gt;0,VLOOKUP(E1085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5" s="116"/>
      <c r="C1085" s="111"/>
      <c r="D1085" s="112" t="s">
        <v>452</v>
      </c>
      <c r="E1085" s="111"/>
      <c r="F1085" s="113"/>
      <c r="G1085" s="276">
        <v>0</v>
      </c>
      <c r="H1085" s="338">
        <f t="shared" si="248"/>
        <v>0</v>
      </c>
      <c r="I1085" s="119">
        <f t="shared" si="246"/>
        <v>0</v>
      </c>
    </row>
    <row r="1086" spans="1:9" s="132" customFormat="1" ht="47.25" hidden="1" x14ac:dyDescent="0.25">
      <c r="A1086" s="851" t="str">
        <f>IF(B1086&gt;0,VLOOKUP(B1086,КВСР!A421:B1586,2),IF(C1086&gt;0,VLOOKUP(C1086,КФСР!A421:B1933,2),IF(D1086&gt;0,VLOOKUP(D1086,Программа!A$1:B$5112,2),IF(F1086&gt;0,VLOOKUP(F1086,КВР!A$1:B$5001,2),IF(E1086&gt;0,VLOOKUP(E1086,Направление!A$1:B$4791,2))))))</f>
        <v>Обучение по охране труда работников организаций Тутаевского муниципального района</v>
      </c>
      <c r="B1086" s="116"/>
      <c r="C1086" s="111"/>
      <c r="D1086" s="112" t="s">
        <v>1116</v>
      </c>
      <c r="E1086" s="111"/>
      <c r="F1086" s="113"/>
      <c r="G1086" s="276">
        <v>0</v>
      </c>
      <c r="H1086" s="338">
        <f t="shared" si="248"/>
        <v>0</v>
      </c>
      <c r="I1086" s="119">
        <f t="shared" si="246"/>
        <v>0</v>
      </c>
    </row>
    <row r="1087" spans="1:9" s="132" customFormat="1" ht="31.5" hidden="1" x14ac:dyDescent="0.25">
      <c r="A1087" s="851" t="str">
        <f>IF(B1087&gt;0,VLOOKUP(B1087,КВСР!A422:B1587,2),IF(C1087&gt;0,VLOOKUP(C1087,КФСР!A422:B1934,2),IF(D1087&gt;0,VLOOKUP(D1087,Программа!A$1:B$5112,2),IF(F1087&gt;0,VLOOKUP(F1087,КВР!A$1:B$5001,2),IF(E1087&gt;0,VLOOKUP(E1087,Направление!A$1:B$4791,2))))))</f>
        <v>Расходы на реализацию мероприятий по улучшению условий и охраны труда</v>
      </c>
      <c r="B1087" s="116"/>
      <c r="C1087" s="111"/>
      <c r="D1087" s="112"/>
      <c r="E1087" s="111">
        <v>16150</v>
      </c>
      <c r="F1087" s="113"/>
      <c r="G1087" s="276">
        <v>0</v>
      </c>
      <c r="H1087" s="338">
        <f t="shared" si="248"/>
        <v>0</v>
      </c>
      <c r="I1087" s="119">
        <f t="shared" si="246"/>
        <v>0</v>
      </c>
    </row>
    <row r="1088" spans="1:9" s="132" customFormat="1" ht="47.25" hidden="1" x14ac:dyDescent="0.25">
      <c r="A1088" s="851" t="str">
        <f>IF(B1088&gt;0,VLOOKUP(B1088,КВСР!A423:B1588,2),IF(C1088&gt;0,VLOOKUP(C1088,КФСР!A423:B1935,2),IF(D1088&gt;0,VLOOKUP(D1088,Программа!A$1:B$5112,2),IF(F1088&gt;0,VLOOKUP(F1088,КВР!A$1:B$5001,2),IF(E1088&gt;0,VLOOKUP(E1088,Направление!A$1:B$4791,2))))))</f>
        <v>Предоставление субсидий бюджетным, автономным учреждениям и иным некоммерческим организациям</v>
      </c>
      <c r="B1088" s="116"/>
      <c r="C1088" s="111"/>
      <c r="D1088" s="112"/>
      <c r="E1088" s="111"/>
      <c r="F1088" s="113">
        <v>600</v>
      </c>
      <c r="G1088" s="276">
        <v>0</v>
      </c>
      <c r="H1088" s="338"/>
      <c r="I1088" s="119">
        <f t="shared" si="246"/>
        <v>0</v>
      </c>
    </row>
    <row r="1089" spans="1:9" s="132" customFormat="1" ht="94.5" hidden="1" x14ac:dyDescent="0.25">
      <c r="A1089" s="851" t="str">
        <f>IF(B1089&gt;0,VLOOKUP(B1089,КВСР!A424:B1589,2),IF(C1089&gt;0,VLOOKUP(C1089,КФСР!A424:B1936,2),IF(D1089&gt;0,VLOOKUP(D1089,Программа!A$1:B$5112,2),IF(F1089&gt;0,VLOOKUP(F1089,КВР!A$1:B$5001,2),IF(E1089&gt;0,VLOOKUP(E1089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9" s="116"/>
      <c r="C1089" s="111"/>
      <c r="D1089" s="112" t="s">
        <v>394</v>
      </c>
      <c r="E1089" s="111"/>
      <c r="F1089" s="113"/>
      <c r="G1089" s="276">
        <v>0</v>
      </c>
      <c r="H1089" s="338">
        <f t="shared" ref="H1089:H1091" si="249">H1090</f>
        <v>0</v>
      </c>
      <c r="I1089" s="119">
        <f t="shared" si="246"/>
        <v>0</v>
      </c>
    </row>
    <row r="1090" spans="1:9" s="132" customFormat="1" ht="63" hidden="1" x14ac:dyDescent="0.25">
      <c r="A1090" s="851" t="str">
        <f>IF(B1090&gt;0,VLOOKUP(B1090,КВСР!A425:B1590,2),IF(C1090&gt;0,VLOOKUP(C1090,КФСР!A425:B1937,2),IF(D1090&gt;0,VLOOKUP(D1090,Программа!A$1:B$5112,2),IF(F1090&gt;0,VLOOKUP(F1090,КВР!A$1:B$5001,2),IF(E1090&gt;0,VLOOKUP(E1090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0" s="116"/>
      <c r="C1090" s="111"/>
      <c r="D1090" s="112" t="s">
        <v>395</v>
      </c>
      <c r="E1090" s="111"/>
      <c r="F1090" s="113"/>
      <c r="G1090" s="276">
        <v>0</v>
      </c>
      <c r="H1090" s="338">
        <f t="shared" si="249"/>
        <v>0</v>
      </c>
      <c r="I1090" s="119">
        <f t="shared" si="246"/>
        <v>0</v>
      </c>
    </row>
    <row r="1091" spans="1:9" s="132" customFormat="1" ht="31.5" hidden="1" x14ac:dyDescent="0.25">
      <c r="A1091" s="851" t="str">
        <f>IF(B1091&gt;0,VLOOKUP(B1091,КВСР!A426:B1591,2),IF(C1091&gt;0,VLOOKUP(C1091,КФСР!A426:B1938,2),IF(D1091&gt;0,VLOOKUP(D1091,Программа!A$1:B$5112,2),IF(F1091&gt;0,VLOOKUP(F1091,КВР!A$1:B$5001,2),IF(E1091&gt;0,VLOOKUP(E1091,Направление!A$1:B$4791,2))))))</f>
        <v>Расходы на развитие муниципальной службы</v>
      </c>
      <c r="B1091" s="116"/>
      <c r="C1091" s="111"/>
      <c r="D1091" s="112"/>
      <c r="E1091" s="111">
        <v>12200</v>
      </c>
      <c r="F1091" s="113"/>
      <c r="G1091" s="276">
        <v>0</v>
      </c>
      <c r="H1091" s="338">
        <f t="shared" si="249"/>
        <v>0</v>
      </c>
      <c r="I1091" s="119">
        <f t="shared" si="246"/>
        <v>0</v>
      </c>
    </row>
    <row r="1092" spans="1:9" s="132" customFormat="1" ht="63" hidden="1" x14ac:dyDescent="0.25">
      <c r="A1092" s="851" t="str">
        <f>IF(B1092&gt;0,VLOOKUP(B1092,КВСР!A427:B1592,2),IF(C1092&gt;0,VLOOKUP(C1092,КФСР!A427:B1939,2),IF(D1092&gt;0,VLOOKUP(D1092,Программа!A$1:B$5112,2),IF(F1092&gt;0,VLOOKUP(F1092,КВР!A$1:B$5001,2),IF(E1092&gt;0,VLOOKUP(E1092,Направление!A$1:B$4791,2))))))</f>
        <v xml:space="preserve">Закупка товаров, работ и услуг для обеспечения государственных (муниципальных) нужд
</v>
      </c>
      <c r="B1092" s="116"/>
      <c r="C1092" s="111"/>
      <c r="D1092" s="112"/>
      <c r="E1092" s="111"/>
      <c r="F1092" s="113">
        <v>200</v>
      </c>
      <c r="G1092" s="276">
        <v>0</v>
      </c>
      <c r="H1092" s="338"/>
      <c r="I1092" s="119">
        <f t="shared" si="246"/>
        <v>0</v>
      </c>
    </row>
    <row r="1093" spans="1:9" s="132" customFormat="1" ht="63" hidden="1" x14ac:dyDescent="0.25">
      <c r="A1093" s="851" t="str">
        <f>IF(B1093&gt;0,VLOOKUP(B1093,КВСР!A428:B1593,2),IF(C1093&gt;0,VLOOKUP(C1093,КФСР!A428:B1940,2),IF(D1093&gt;0,VLOOKUP(D1093,Программа!A$1:B$5112,2),IF(F1093&gt;0,VLOOKUP(F1093,КВР!A$1:B$5001,2),IF(E1093&gt;0,VLOOKUP(E1093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93" s="116"/>
      <c r="C1093" s="111"/>
      <c r="D1093" s="112" t="s">
        <v>398</v>
      </c>
      <c r="E1093" s="111"/>
      <c r="F1093" s="113"/>
      <c r="G1093" s="276">
        <v>0</v>
      </c>
      <c r="H1093" s="338">
        <f t="shared" ref="H1093:H1095" si="250">H1094</f>
        <v>0</v>
      </c>
      <c r="I1093" s="119">
        <f t="shared" si="246"/>
        <v>0</v>
      </c>
    </row>
    <row r="1094" spans="1:9" s="132" customFormat="1" ht="31.5" hidden="1" x14ac:dyDescent="0.25">
      <c r="A1094" s="851" t="str">
        <f>IF(B1094&gt;0,VLOOKUP(B1094,КВСР!A429:B1594,2),IF(C1094&gt;0,VLOOKUP(C1094,КФСР!A429:B1941,2),IF(D1094&gt;0,VLOOKUP(D1094,Программа!A$1:B$5112,2),IF(F1094&gt;0,VLOOKUP(F1094,КВР!A$1:B$5001,2),IF(E1094&gt;0,VLOOKUP(E1094,Направление!A$1:B$4791,2))))))</f>
        <v>Бесперебойное функционирование информационных систем</v>
      </c>
      <c r="B1094" s="116"/>
      <c r="C1094" s="111"/>
      <c r="D1094" s="112" t="s">
        <v>434</v>
      </c>
      <c r="E1094" s="111"/>
      <c r="F1094" s="113"/>
      <c r="G1094" s="276">
        <v>0</v>
      </c>
      <c r="H1094" s="338">
        <f t="shared" si="250"/>
        <v>0</v>
      </c>
      <c r="I1094" s="119">
        <f t="shared" si="246"/>
        <v>0</v>
      </c>
    </row>
    <row r="1095" spans="1:9" s="132" customFormat="1" ht="31.5" hidden="1" x14ac:dyDescent="0.25">
      <c r="A1095" s="851" t="str">
        <f>IF(B1095&gt;0,VLOOKUP(B1095,КВСР!A430:B1595,2),IF(C1095&gt;0,VLOOKUP(C1095,КФСР!A430:B1942,2),IF(D1095&gt;0,VLOOKUP(D1095,Программа!A$1:B$5112,2),IF(F1095&gt;0,VLOOKUP(F1095,КВР!A$1:B$5001,2),IF(E1095&gt;0,VLOOKUP(E1095,Направление!A$1:B$4791,2))))))</f>
        <v>Расходы на проведение мероприятий по информатизации</v>
      </c>
      <c r="B1095" s="116"/>
      <c r="C1095" s="111"/>
      <c r="D1095" s="112"/>
      <c r="E1095" s="111">
        <v>12210</v>
      </c>
      <c r="F1095" s="113"/>
      <c r="G1095" s="276">
        <v>0</v>
      </c>
      <c r="H1095" s="338">
        <f t="shared" si="250"/>
        <v>0</v>
      </c>
      <c r="I1095" s="119">
        <f t="shared" si="246"/>
        <v>0</v>
      </c>
    </row>
    <row r="1096" spans="1:9" s="132" customFormat="1" ht="63" hidden="1" x14ac:dyDescent="0.25">
      <c r="A1096" s="851" t="str">
        <f>IF(B1096&gt;0,VLOOKUP(B1096,КВСР!A431:B1596,2),IF(C1096&gt;0,VLOOKUP(C1096,КФСР!A431:B1943,2),IF(D1096&gt;0,VLOOKUP(D1096,Программа!A$1:B$5112,2),IF(F1096&gt;0,VLOOKUP(F1096,КВР!A$1:B$5001,2),IF(E1096&gt;0,VLOOKUP(E1096,Направление!A$1:B$4791,2))))))</f>
        <v xml:space="preserve">Закупка товаров, работ и услуг для обеспечения государственных (муниципальных) нужд
</v>
      </c>
      <c r="B1096" s="116"/>
      <c r="C1096" s="111"/>
      <c r="D1096" s="112"/>
      <c r="E1096" s="111"/>
      <c r="F1096" s="113">
        <v>200</v>
      </c>
      <c r="G1096" s="276">
        <v>0</v>
      </c>
      <c r="H1096" s="338"/>
      <c r="I1096" s="119">
        <f t="shared" si="246"/>
        <v>0</v>
      </c>
    </row>
    <row r="1097" spans="1:9" ht="94.5" x14ac:dyDescent="0.25">
      <c r="A1097" s="851" t="str">
        <f>IF(B1097&gt;0,VLOOKUP(B1097,КВСР!A433:B1598,2),IF(C1097&gt;0,VLOOKUP(C1097,КФСР!A433:B1945,2),IF(D1097&gt;0,VLOOKUP(D1097,Программа!A$1:B$5112,2),IF(F1097&gt;0,VLOOKUP(F1097,КВР!A$1:B$5001,2),IF(E1097&gt;0,VLOOKUP(E1097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7" s="116"/>
      <c r="C1097" s="111"/>
      <c r="D1097" s="112" t="s">
        <v>394</v>
      </c>
      <c r="E1097" s="111"/>
      <c r="F1097" s="113"/>
      <c r="G1097" s="276">
        <v>145303</v>
      </c>
      <c r="H1097" s="338">
        <f t="shared" ref="H1097:H1099" si="251">H1098</f>
        <v>0</v>
      </c>
      <c r="I1097" s="119">
        <f t="shared" si="246"/>
        <v>145303</v>
      </c>
    </row>
    <row r="1098" spans="1:9" ht="78.75" x14ac:dyDescent="0.25">
      <c r="A1098" s="851" t="str">
        <f>IF(B1098&gt;0,VLOOKUP(B1098,КВСР!A434:B1599,2),IF(C1098&gt;0,VLOOKUP(C1098,КФСР!A434:B1946,2),IF(D1098&gt;0,VLOOKUP(D1098,Программа!A$1:B$5112,2),IF(F1098&gt;0,VLOOKUP(F1098,КВР!A$1:B$5001,2),IF(E1098&gt;0,VLOOKUP(E1098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8" s="116"/>
      <c r="C1098" s="111"/>
      <c r="D1098" s="112" t="s">
        <v>1792</v>
      </c>
      <c r="E1098" s="111"/>
      <c r="F1098" s="113"/>
      <c r="G1098" s="276">
        <v>145303</v>
      </c>
      <c r="H1098" s="338">
        <f t="shared" si="251"/>
        <v>0</v>
      </c>
      <c r="I1098" s="119">
        <f t="shared" si="246"/>
        <v>145303</v>
      </c>
    </row>
    <row r="1099" spans="1:9" ht="31.5" x14ac:dyDescent="0.25">
      <c r="A1099" s="851" t="str">
        <f>IF(B1099&gt;0,VLOOKUP(B1099,КВСР!A435:B1600,2),IF(C1099&gt;0,VLOOKUP(C1099,КФСР!A435:B1947,2),IF(D1099&gt;0,VLOOKUP(D1099,Программа!A$1:B$5112,2),IF(F1099&gt;0,VLOOKUP(F1099,КВР!A$1:B$5001,2),IF(E1099&gt;0,VLOOKUP(E1099,Направление!A$1:B$4791,2))))))</f>
        <v>Внедрение проектной деятельности и бережливых технологий</v>
      </c>
      <c r="B1099" s="116"/>
      <c r="C1099" s="111"/>
      <c r="D1099" s="112"/>
      <c r="E1099" s="111">
        <v>12300</v>
      </c>
      <c r="F1099" s="113"/>
      <c r="G1099" s="276">
        <v>145303</v>
      </c>
      <c r="H1099" s="338">
        <f t="shared" si="251"/>
        <v>0</v>
      </c>
      <c r="I1099" s="119">
        <f t="shared" si="246"/>
        <v>145303</v>
      </c>
    </row>
    <row r="1100" spans="1:9" ht="110.25" x14ac:dyDescent="0.25">
      <c r="A1100" s="851" t="str">
        <f>IF(B1100&gt;0,VLOOKUP(B1100,КВСР!A436:B1601,2),IF(C1100&gt;0,VLOOKUP(C1100,КФСР!A436:B1948,2)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145303</v>
      </c>
      <c r="H1100" s="338"/>
      <c r="I1100" s="119">
        <f t="shared" si="246"/>
        <v>145303</v>
      </c>
    </row>
    <row r="1101" spans="1:9" hidden="1" x14ac:dyDescent="0.25">
      <c r="A1101" s="851" t="str">
        <f>IF(B1101&gt;0,VLOOKUP(B1101,КВСР!A437:B1602,2),IF(C1101&gt;0,VLOOKUP(C1101,КФСР!A437:B1949,2),IF(D1101&gt;0,VLOOKUP(D1101,Программа!A$1:B$5112,2),IF(F1101&gt;0,VLOOKUP(F1101,КВР!A$1:B$5001,2),IF(E1101&gt;0,VLOOKUP(E1101,Направление!A$1:B$4791,2))))))</f>
        <v>Охрана семьи и детства</v>
      </c>
      <c r="B1101" s="116"/>
      <c r="C1101" s="111">
        <v>1004</v>
      </c>
      <c r="D1101" s="113"/>
      <c r="E1101" s="111"/>
      <c r="F1101" s="113"/>
      <c r="G1101" s="276">
        <v>0</v>
      </c>
      <c r="H1101" s="338">
        <f t="shared" ref="H1101:I1105" si="252">H1102</f>
        <v>0</v>
      </c>
      <c r="I1101" s="276">
        <f t="shared" si="252"/>
        <v>0</v>
      </c>
    </row>
    <row r="1102" spans="1:9" ht="63" hidden="1" x14ac:dyDescent="0.25">
      <c r="A1102" s="851" t="str">
        <f>IF(B1102&gt;0,VLOOKUP(B1102,КВСР!A438:B1603,2),IF(C1102&gt;0,VLOOKUP(C1102,КФСР!A438:B1950,2),IF(D1102&gt;0,VLOOKUP(D1102,Программа!A$1:B$5112,2),IF(F1102&gt;0,VLOOKUP(F1102,КВР!A$1:B$5001,2),IF(E1102&gt;0,VLOOKUP(E1102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102" s="116"/>
      <c r="C1102" s="111"/>
      <c r="D1102" s="113" t="s">
        <v>470</v>
      </c>
      <c r="E1102" s="111"/>
      <c r="F1102" s="113"/>
      <c r="G1102" s="276">
        <v>0</v>
      </c>
      <c r="H1102" s="338">
        <f t="shared" si="252"/>
        <v>0</v>
      </c>
      <c r="I1102" s="276">
        <f t="shared" si="252"/>
        <v>0</v>
      </c>
    </row>
    <row r="1103" spans="1:9" ht="47.25" hidden="1" x14ac:dyDescent="0.25">
      <c r="A1103" s="851" t="str">
        <f>IF(B1103&gt;0,VLOOKUP(B1103,КВСР!A439:B1604,2),IF(C1103&gt;0,VLOOKUP(C1103,КФСР!A439:B1951,2),IF(D1103&gt;0,VLOOKUP(D1103,Программа!A$1:B$5112,2),IF(F1103&gt;0,VLOOKUP(F1103,КВР!A$1:B$5001,2),IF(E1103&gt;0,VLOOKUP(E1103,Направление!A$1:B$4791,2))))))</f>
        <v>Ведомственная целевая программа «Сохранение и развитие культуры Тутаевского муниципального района»</v>
      </c>
      <c r="B1103" s="116"/>
      <c r="C1103" s="111"/>
      <c r="D1103" s="112" t="s">
        <v>568</v>
      </c>
      <c r="E1103" s="111"/>
      <c r="F1103" s="113"/>
      <c r="G1103" s="276">
        <v>0</v>
      </c>
      <c r="H1103" s="338">
        <f t="shared" si="252"/>
        <v>0</v>
      </c>
      <c r="I1103" s="276">
        <f t="shared" si="252"/>
        <v>0</v>
      </c>
    </row>
    <row r="1104" spans="1:9" ht="31.5" hidden="1" x14ac:dyDescent="0.25">
      <c r="A1104" s="851" t="str">
        <f>IF(B1104&gt;0,VLOOKUP(B1104,КВСР!A440:B1605,2),IF(C1104&gt;0,VLOOKUP(C1104,КФСР!A440:B1952,2),IF(D1104&gt;0,VLOOKUP(D1104,Программа!A$1:B$5112,2),IF(F1104&gt;0,VLOOKUP(F1104,КВР!A$1:B$5001,2),IF(E1104&gt;0,VLOOKUP(E1104,Направление!A$1:B$4791,2))))))</f>
        <v>Обеспечение эффективности управления системой культуры</v>
      </c>
      <c r="B1104" s="116"/>
      <c r="C1104" s="111"/>
      <c r="D1104" s="112" t="s">
        <v>595</v>
      </c>
      <c r="E1104" s="111"/>
      <c r="F1104" s="113"/>
      <c r="G1104" s="276">
        <v>0</v>
      </c>
      <c r="H1104" s="338">
        <f t="shared" si="252"/>
        <v>0</v>
      </c>
      <c r="I1104" s="276">
        <f t="shared" si="252"/>
        <v>0</v>
      </c>
    </row>
    <row r="1105" spans="1:9" ht="31.5" hidden="1" x14ac:dyDescent="0.25">
      <c r="A1105" s="851" t="str">
        <f>IF(B1105&gt;0,VLOOKUP(B1105,КВСР!A441:B1606,2),IF(C1105&gt;0,VLOOKUP(C1105,КФСР!A441:B1953,2),IF(D1105&gt;0,VLOOKUP(D1105,Программа!A$1:B$5112,2),IF(F1105&gt;0,VLOOKUP(F1105,КВР!A$1:B$5001,2),IF(E1105&gt;0,VLOOKUP(E1105,Направление!A$1:B$4791,2))))))</f>
        <v>Обеспечение деятельности прочих учреждений в сфере культуры</v>
      </c>
      <c r="B1105" s="116"/>
      <c r="C1105" s="111"/>
      <c r="D1105" s="112"/>
      <c r="E1105" s="111">
        <v>15210</v>
      </c>
      <c r="F1105" s="113"/>
      <c r="G1105" s="276">
        <v>0</v>
      </c>
      <c r="H1105" s="338">
        <f t="shared" si="252"/>
        <v>0</v>
      </c>
      <c r="I1105" s="276">
        <f t="shared" si="252"/>
        <v>0</v>
      </c>
    </row>
    <row r="1106" spans="1:9" ht="110.25" hidden="1" x14ac:dyDescent="0.25">
      <c r="A1106" s="851" t="str">
        <f>IF(B1106&gt;0,VLOOKUP(B1106,КВСР!A442:B1607,2),IF(C1106&gt;0,VLOOKUP(C1106,КФСР!A442:B1954,2),IF(D1106&gt;0,VLOOKUP(D1106,Программа!A$1:B$5112,2),IF(F1106&gt;0,VLOOKUP(F1106,КВР!A$1:B$5001,2),IF(E1106&gt;0,VLOOKUP(E1106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6" s="116"/>
      <c r="C1106" s="111"/>
      <c r="D1106" s="113"/>
      <c r="E1106" s="111"/>
      <c r="F1106" s="113">
        <v>100</v>
      </c>
      <c r="G1106" s="276">
        <v>0</v>
      </c>
      <c r="H1106" s="338"/>
      <c r="I1106" s="119">
        <f>H1106+G1106</f>
        <v>0</v>
      </c>
    </row>
    <row r="1107" spans="1:9" hidden="1" x14ac:dyDescent="0.25">
      <c r="A1107" s="851" t="str">
        <f>IF(B1107&gt;0,VLOOKUP(B1107,КВСР!A436:B1601,2),IF(C1107&gt;0,VLOOKUP(C1107,КФСР!A436:B1948,2),IF(D1107&gt;0,VLOOKUP(D1107,Программа!A$1:B$5112,2),IF(F1107&gt;0,VLOOKUP(F1107,КВР!A$1:B$5001,2),IF(E1107&gt;0,VLOOKUP(E1107,Направление!A$1:B$4791,2))))))</f>
        <v>Периодическая печать и издательства</v>
      </c>
      <c r="B1107" s="116"/>
      <c r="C1107" s="111">
        <v>1202</v>
      </c>
      <c r="D1107" s="112"/>
      <c r="E1107" s="111"/>
      <c r="F1107" s="113"/>
      <c r="G1107" s="276">
        <v>0</v>
      </c>
      <c r="H1107" s="338">
        <f t="shared" ref="H1107:H1109" si="253">H1108</f>
        <v>0</v>
      </c>
      <c r="I1107" s="119">
        <f t="shared" si="246"/>
        <v>0</v>
      </c>
    </row>
    <row r="1108" spans="1:9" hidden="1" x14ac:dyDescent="0.25">
      <c r="A1108" s="851" t="str">
        <f>IF(B1108&gt;0,VLOOKUP(B1108,КВСР!A437:B1602,2),IF(C1108&gt;0,VLOOKUP(C1108,КФСР!A437:B1949,2)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16"/>
      <c r="C1108" s="111"/>
      <c r="D1108" s="112" t="s">
        <v>383</v>
      </c>
      <c r="E1108" s="111"/>
      <c r="F1108" s="113"/>
      <c r="G1108" s="276">
        <v>0</v>
      </c>
      <c r="H1108" s="338">
        <f t="shared" si="253"/>
        <v>0</v>
      </c>
      <c r="I1108" s="119">
        <f t="shared" si="246"/>
        <v>0</v>
      </c>
    </row>
    <row r="1109" spans="1:9" hidden="1" x14ac:dyDescent="0.25">
      <c r="A1109" s="851" t="str">
        <f>IF(B1109&gt;0,VLOOKUP(B1109,КВСР!A438:B1603,2),IF(C1109&gt;0,VLOOKUP(C1109,КФСР!A438:B1950,2),IF(D1109&gt;0,VLOOKUP(D1109,Программа!A$1:B$5112,2),IF(F1109&gt;0,VLOOKUP(F1109,КВР!A$1:B$5001,2),IF(E1109&gt;0,VLOOKUP(E1109,Направление!A$1:B$4791,2))))))</f>
        <v xml:space="preserve">Поддержка периодических изданий </v>
      </c>
      <c r="B1109" s="116"/>
      <c r="C1109" s="111"/>
      <c r="D1109" s="112"/>
      <c r="E1109" s="111">
        <v>12750</v>
      </c>
      <c r="F1109" s="113"/>
      <c r="G1109" s="276">
        <v>0</v>
      </c>
      <c r="H1109" s="338">
        <f t="shared" si="253"/>
        <v>0</v>
      </c>
      <c r="I1109" s="119">
        <f t="shared" si="246"/>
        <v>0</v>
      </c>
    </row>
    <row r="1110" spans="1:9" ht="47.25" hidden="1" x14ac:dyDescent="0.25">
      <c r="A1110" s="851" t="str">
        <f>IF(B1110&gt;0,VLOOKUP(B1110,КВСР!A439:B1604,2),IF(C1110&gt;0,VLOOKUP(C1110,КФСР!A439:B1951,2),IF(D1110&gt;0,VLOOKUP(D1110,Программа!A$1:B$5112,2),IF(F1110&gt;0,VLOOKUP(F1110,КВР!A$1:B$5001,2),IF(E1110&gt;0,VLOOKUP(E1110,Направление!A$1:B$4791,2))))))</f>
        <v>Предоставление субсидий бюджетным, автономным учреждениям и иным некоммерческим организациям</v>
      </c>
      <c r="B1110" s="116"/>
      <c r="C1110" s="111"/>
      <c r="D1110" s="113"/>
      <c r="E1110" s="111"/>
      <c r="F1110" s="113">
        <v>600</v>
      </c>
      <c r="G1110" s="294">
        <v>0</v>
      </c>
      <c r="H1110" s="283"/>
      <c r="I1110" s="119">
        <f t="shared" si="246"/>
        <v>0</v>
      </c>
    </row>
    <row r="1111" spans="1:9" x14ac:dyDescent="0.25">
      <c r="A1111" s="850" t="str">
        <f>IF(B1111&gt;0,VLOOKUP(B1111,КВСР!A527:B1692,2),IF(C1111&gt;0,VLOOKUP(C1111,КФСР!A527:B2039,2),IF(D1111&gt;0,VLOOKUP(D1111,Программа!A$1:B$5112,2),IF(F1111&gt;0,VLOOKUP(F1111,КВР!A$1:B$5001,2),IF(E1111&gt;0,VLOOKUP(E1111,Направление!A$1:B$4791,2))))))</f>
        <v>МУ Контрольно-счетная палата ТМР</v>
      </c>
      <c r="B1111" s="110">
        <v>982</v>
      </c>
      <c r="C1111" s="135"/>
      <c r="D1111" s="136"/>
      <c r="E1111" s="135"/>
      <c r="F1111" s="137"/>
      <c r="G1111" s="114">
        <v>1629826</v>
      </c>
      <c r="H1111" s="337">
        <f>H1112+H1129+H1124</f>
        <v>18900</v>
      </c>
      <c r="I1111" s="337">
        <f>I1112+I1129+I1124</f>
        <v>1648726</v>
      </c>
    </row>
    <row r="1112" spans="1:9" ht="63" x14ac:dyDescent="0.25">
      <c r="A1112" s="851" t="str">
        <f>IF(B1112&gt;0,VLOOKUP(B1112,КВСР!A528:B1693,2),IF(C1112&gt;0,VLOOKUP(C1112,КФСР!A528:B2040,2),IF(D1112&gt;0,VLOOKUP(D1112,Программа!A$1:B$5112,2),IF(F1112&gt;0,VLOOKUP(F1112,КВР!A$1:B$5001,2),IF(E1112&gt;0,VLOOKUP(E1112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4"/>
      <c r="C1112" s="111">
        <v>106</v>
      </c>
      <c r="D1112" s="128"/>
      <c r="E1112" s="129"/>
      <c r="F1112" s="131"/>
      <c r="G1112" s="117">
        <v>1629826</v>
      </c>
      <c r="H1112" s="283">
        <f>H1113</f>
        <v>0</v>
      </c>
      <c r="I1112" s="119">
        <f t="shared" ref="I1112:I1123" si="254">SUM(G1112:H1112)</f>
        <v>1629826</v>
      </c>
    </row>
    <row r="1113" spans="1:9" x14ac:dyDescent="0.25">
      <c r="A1113" s="851" t="str">
        <f>IF(B1113&gt;0,VLOOKUP(B1113,КВСР!A529:B1694,2),IF(C1113&gt;0,VLOOKUP(C1113,КФСР!A529:B2041,2),IF(D1113&gt;0,VLOOKUP(D1113,Программа!A$1:B$5112,2),IF(F1113&gt;0,VLOOKUP(F1113,КВР!A$1:B$5001,2),IF(E1113&gt;0,VLOOKUP(E1113,Направление!A$1:B$4791,2))))))</f>
        <v>Непрограммные расходы бюджета</v>
      </c>
      <c r="B1113" s="134"/>
      <c r="C1113" s="111"/>
      <c r="D1113" s="128" t="s">
        <v>383</v>
      </c>
      <c r="E1113" s="129"/>
      <c r="F1113" s="131"/>
      <c r="G1113" s="117">
        <v>1629826</v>
      </c>
      <c r="H1113" s="283">
        <f>H1114+H1119+H1121</f>
        <v>0</v>
      </c>
      <c r="I1113" s="119">
        <f t="shared" si="254"/>
        <v>1629826</v>
      </c>
    </row>
    <row r="1114" spans="1:9" x14ac:dyDescent="0.25">
      <c r="A1114" s="851" t="str">
        <f>IF(B1114&gt;0,VLOOKUP(B1114,КВСР!A530:B1695,2),IF(C1114&gt;0,VLOOKUP(C1114,КФСР!A530:B2042,2),IF(D1114&gt;0,VLOOKUP(D1114,Программа!A$1:B$5112,2),IF(F1114&gt;0,VLOOKUP(F1114,КВР!A$1:B$5001,2),IF(E1114&gt;0,VLOOKUP(E1114,Направление!A$1:B$4791,2))))))</f>
        <v>Содержание центрального аппарата</v>
      </c>
      <c r="B1114" s="134"/>
      <c r="C1114" s="129"/>
      <c r="D1114" s="112"/>
      <c r="E1114" s="111">
        <v>12010</v>
      </c>
      <c r="F1114" s="131"/>
      <c r="G1114" s="117">
        <v>617902</v>
      </c>
      <c r="H1114" s="283">
        <f>H1115+H1116+H1117+H1118</f>
        <v>0</v>
      </c>
      <c r="I1114" s="119">
        <f t="shared" si="254"/>
        <v>617902</v>
      </c>
    </row>
    <row r="1115" spans="1:9" ht="110.25" x14ac:dyDescent="0.25">
      <c r="A1115" s="851" t="str">
        <f>IF(B1115&gt;0,VLOOKUP(B1115,КВСР!A531:B1696,2),IF(C1115&gt;0,VLOOKUP(C1115,КФСР!A531:B2043,2)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609336</v>
      </c>
      <c r="H1115" s="283"/>
      <c r="I1115" s="119">
        <f t="shared" si="254"/>
        <v>609336</v>
      </c>
    </row>
    <row r="1116" spans="1:9" ht="63" x14ac:dyDescent="0.25">
      <c r="A1116" s="851" t="str">
        <f>IF(B1116&gt;0,VLOOKUP(B1116,КВСР!A532:B1697,2),IF(C1116&gt;0,VLOOKUP(C1116,КФСР!A532:B2044,2),IF(D1116&gt;0,VLOOKUP(D1116,Программа!A$1:B$5112,2),IF(F1116&gt;0,VLOOKUP(F1116,КВР!A$1:B$5001,2),IF(E1116&gt;0,VLOOKUP(E1116,Направление!A$1:B$4791,2))))))</f>
        <v xml:space="preserve">Закупка товаров, работ и услуг для обеспечения государственных (муниципальных) нужд
</v>
      </c>
      <c r="B1116" s="134"/>
      <c r="C1116" s="129"/>
      <c r="D1116" s="131"/>
      <c r="E1116" s="129"/>
      <c r="F1116" s="131">
        <v>200</v>
      </c>
      <c r="G1116" s="294">
        <v>8566</v>
      </c>
      <c r="H1116" s="283"/>
      <c r="I1116" s="119">
        <f t="shared" si="254"/>
        <v>8566</v>
      </c>
    </row>
    <row r="1117" spans="1:9" ht="31.5" hidden="1" x14ac:dyDescent="0.25">
      <c r="A1117" s="851" t="str">
        <f>IF(B1117&gt;0,VLOOKUP(B1117,КВСР!A533:B1698,2),IF(C1117&gt;0,VLOOKUP(C1117,КФСР!A533:B2045,2),IF(D1117&gt;0,VLOOKUP(D1117,Программа!A$1:B$5112,2),IF(F1117&gt;0,VLOOKUP(F1117,КВР!A$1:B$5001,2),IF(E1117&gt;0,VLOOKUP(E1117,Направление!A$1:B$4791,2))))))</f>
        <v>Социальное обеспечение и иные выплаты населению</v>
      </c>
      <c r="B1117" s="134"/>
      <c r="C1117" s="129"/>
      <c r="D1117" s="131"/>
      <c r="E1117" s="129"/>
      <c r="F1117" s="131">
        <v>300</v>
      </c>
      <c r="G1117" s="294">
        <v>0</v>
      </c>
      <c r="H1117" s="283"/>
      <c r="I1117" s="119">
        <f t="shared" si="254"/>
        <v>0</v>
      </c>
    </row>
    <row r="1118" spans="1:9" hidden="1" x14ac:dyDescent="0.25">
      <c r="A1118" s="851" t="str">
        <f>IF(B1118&gt;0,VLOOKUP(B1118,КВСР!A534:B1699,2),IF(C1118&gt;0,VLOOKUP(C1118,КФСР!A534:B2046,2),IF(D1118&gt;0,VLOOKUP(D1118,Программа!A$1:B$5112,2),IF(F1118&gt;0,VLOOKUP(F1118,КВР!A$1:B$5001,2),IF(E1118&gt;0,VLOOKUP(E1118,Направление!A$1:B$4791,2))))))</f>
        <v>Иные бюджетные ассигнования</v>
      </c>
      <c r="B1118" s="134"/>
      <c r="C1118" s="129"/>
      <c r="D1118" s="131"/>
      <c r="E1118" s="129"/>
      <c r="F1118" s="131">
        <v>800</v>
      </c>
      <c r="G1118" s="294">
        <v>0</v>
      </c>
      <c r="H1118" s="283"/>
      <c r="I1118" s="119">
        <f t="shared" si="254"/>
        <v>0</v>
      </c>
    </row>
    <row r="1119" spans="1:9" ht="47.25" x14ac:dyDescent="0.25">
      <c r="A1119" s="851" t="str">
        <f>IF(B1119&gt;0,VLOOKUP(B1119,КВСР!A534:B1699,2),IF(C1119&gt;0,VLOOKUP(C1119,КФСР!A534:B2046,2),IF(D1119&gt;0,VLOOKUP(D1119,Программа!A$1:B$5112,2),IF(F1119&gt;0,VLOOKUP(F1119,КВР!A$1:B$5001,2),IF(E1119&gt;0,VLOOKUP(E1119,Направление!A$1:B$4791,2))))))</f>
        <v>Содержание руководителя контрольно-счетной палаты муниципального образования и его заместителей</v>
      </c>
      <c r="B1119" s="134"/>
      <c r="C1119" s="129"/>
      <c r="D1119" s="128"/>
      <c r="E1119" s="129">
        <v>12030</v>
      </c>
      <c r="F1119" s="131"/>
      <c r="G1119" s="294">
        <v>958829</v>
      </c>
      <c r="H1119" s="283">
        <f>H1120</f>
        <v>0</v>
      </c>
      <c r="I1119" s="119">
        <f t="shared" si="254"/>
        <v>958829</v>
      </c>
    </row>
    <row r="1120" spans="1:9" ht="110.25" x14ac:dyDescent="0.25">
      <c r="A1120" s="851" t="str">
        <f>IF(B1120&gt;0,VLOOKUP(B1120,КВСР!A535:B1700,2),IF(C1120&gt;0,VLOOKUP(C1120,КФСР!A535:B2047,2),IF(D1120&gt;0,VLOOKUP(D1120,Программа!A$1:B$5112,2),IF(F1120&gt;0,VLOOKUP(F1120,КВР!A$1:B$5001,2),IF(E1120&gt;0,VLOOKUP(E1120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4"/>
      <c r="C1120" s="129"/>
      <c r="D1120" s="131"/>
      <c r="E1120" s="129"/>
      <c r="F1120" s="131">
        <v>100</v>
      </c>
      <c r="G1120" s="294">
        <v>958829</v>
      </c>
      <c r="H1120" s="283"/>
      <c r="I1120" s="119">
        <f t="shared" si="254"/>
        <v>958829</v>
      </c>
    </row>
    <row r="1121" spans="1:9" ht="47.25" x14ac:dyDescent="0.25">
      <c r="A1121" s="851" t="str">
        <f>IF(B1121&gt;0,VLOOKUP(B1121,КВСР!A536:B1701,2),IF(C1121&gt;0,VLOOKUP(C1121,КФСР!A536:B2048,2),IF(D1121&gt;0,VLOOKUP(D1121,Программа!A$1:B$5112,2),IF(F1121&gt;0,VLOOKUP(F1121,КВР!A$1:B$5001,2),IF(E1121&gt;0,VLOOKUP(E1121,Направление!A$1:B$4791,2))))))</f>
        <v>Обеспечение мероприятий по осуществлению внешнего муниципального контроля</v>
      </c>
      <c r="B1121" s="134"/>
      <c r="C1121" s="129"/>
      <c r="D1121" s="131"/>
      <c r="E1121" s="129">
        <v>29386</v>
      </c>
      <c r="F1121" s="131"/>
      <c r="G1121" s="294">
        <v>53095</v>
      </c>
      <c r="H1121" s="283">
        <f>H1123+H1122</f>
        <v>0</v>
      </c>
      <c r="I1121" s="119">
        <f t="shared" si="254"/>
        <v>53095</v>
      </c>
    </row>
    <row r="1122" spans="1:9" ht="110.25" x14ac:dyDescent="0.25">
      <c r="A1122" s="851" t="str">
        <f>IF(B1122&gt;0,VLOOKUP(B1122,КВСР!A537:B1702,2),IF(C1122&gt;0,VLOOKUP(C1122,КФСР!A537:B2049,2),IF(D1122&gt;0,VLOOKUP(D1122,Программа!A$1:B$5112,2),IF(F1122&gt;0,VLOOKUP(F1122,КВР!A$1:B$5001,2),IF(E1122&gt;0,VLOOKUP(E1122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4"/>
      <c r="C1122" s="129"/>
      <c r="D1122" s="131"/>
      <c r="E1122" s="129"/>
      <c r="F1122" s="131">
        <v>100</v>
      </c>
      <c r="G1122" s="294">
        <v>48268</v>
      </c>
      <c r="H1122" s="283"/>
      <c r="I1122" s="119">
        <f t="shared" si="254"/>
        <v>48268</v>
      </c>
    </row>
    <row r="1123" spans="1:9" ht="63" x14ac:dyDescent="0.25">
      <c r="A1123" s="851" t="str">
        <f>IF(B1123&gt;0,VLOOKUP(B1123,КВСР!A537:B1702,2),IF(C1123&gt;0,VLOOKUP(C1123,КФСР!A537:B2049,2),IF(D1123&gt;0,VLOOKUP(D1123,Программа!A$1:B$5112,2),IF(F1123&gt;0,VLOOKUP(F1123,КВР!A$1:B$5001,2),IF(E1123&gt;0,VLOOKUP(E1123,Направление!A$1:B$4791,2))))))</f>
        <v xml:space="preserve">Закупка товаров, работ и услуг для обеспечения государственных (муниципальных) нужд
</v>
      </c>
      <c r="B1123" s="134"/>
      <c r="C1123" s="129"/>
      <c r="D1123" s="131"/>
      <c r="E1123" s="129"/>
      <c r="F1123" s="131">
        <v>200</v>
      </c>
      <c r="G1123" s="294">
        <v>4827</v>
      </c>
      <c r="H1123" s="283"/>
      <c r="I1123" s="119">
        <f t="shared" si="254"/>
        <v>4827</v>
      </c>
    </row>
    <row r="1124" spans="1:9" x14ac:dyDescent="0.25">
      <c r="A1124" s="851" t="str">
        <f>IF(B1124&gt;0,VLOOKUP(B1124,КВСР!A538:B1703,2),IF(C1124&gt;0,VLOOKUP(C1124,КФСР!A538:B2050,2),IF(D1124&gt;0,VLOOKUP(D1124,Программа!A$1:B$5112,2),IF(F1124&gt;0,VLOOKUP(F1124,КВР!A$1:B$5001,2),IF(E1124&gt;0,VLOOKUP(E1124,Направление!A$1:B$4791,2))))))</f>
        <v>Другие общегосударственные вопросы</v>
      </c>
      <c r="B1124" s="134"/>
      <c r="C1124" s="129">
        <v>113</v>
      </c>
      <c r="D1124" s="131"/>
      <c r="E1124" s="129"/>
      <c r="F1124" s="131"/>
      <c r="G1124" s="294">
        <f>G1125</f>
        <v>0</v>
      </c>
      <c r="H1124" s="294">
        <f t="shared" ref="H1124:I1127" si="255">H1125</f>
        <v>18900</v>
      </c>
      <c r="I1124" s="294">
        <f t="shared" si="255"/>
        <v>18900</v>
      </c>
    </row>
    <row r="1125" spans="1:9" ht="63" x14ac:dyDescent="0.25">
      <c r="A1125" s="851" t="str">
        <f>IF(B1125&gt;0,VLOOKUP(B1125,КВСР!A539:B1704,2),IF(C1125&gt;0,VLOOKUP(C1125,КФСР!A539:B2051,2),IF(D1125&gt;0,VLOOKUP(D1125,Программа!A$1:B$5112,2),IF(F1125&gt;0,VLOOKUP(F1125,КВР!A$1:B$5001,2),IF(E1125&gt;0,VLOOKUP(E1125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125" s="134"/>
      <c r="C1125" s="129"/>
      <c r="D1125" s="113" t="s">
        <v>398</v>
      </c>
      <c r="E1125" s="129"/>
      <c r="F1125" s="131"/>
      <c r="G1125" s="294">
        <f>G1126</f>
        <v>0</v>
      </c>
      <c r="H1125" s="294">
        <f t="shared" si="255"/>
        <v>18900</v>
      </c>
      <c r="I1125" s="294">
        <f t="shared" si="255"/>
        <v>18900</v>
      </c>
    </row>
    <row r="1126" spans="1:9" ht="63" x14ac:dyDescent="0.25">
      <c r="A1126" s="851" t="str">
        <f>IF(B1126&gt;0,VLOOKUP(B1126,КВСР!A540:B1705,2),IF(C1126&gt;0,VLOOKUP(C1126,КФСР!A540:B2052,2),IF(D1126&gt;0,VLOOKUP(D1126,Программа!A$1:B$5112,2),IF(F1126&gt;0,VLOOKUP(F1126,КВР!A$1:B$5001,2),IF(E1126&gt;0,VLOOKUP(E1126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26" s="134"/>
      <c r="C1126" s="129"/>
      <c r="D1126" s="113" t="s">
        <v>400</v>
      </c>
      <c r="E1126" s="129"/>
      <c r="F1126" s="131"/>
      <c r="G1126" s="294">
        <f>G1127</f>
        <v>0</v>
      </c>
      <c r="H1126" s="294">
        <f t="shared" si="255"/>
        <v>18900</v>
      </c>
      <c r="I1126" s="294">
        <f t="shared" si="255"/>
        <v>18900</v>
      </c>
    </row>
    <row r="1127" spans="1:9" ht="31.5" x14ac:dyDescent="0.25">
      <c r="A1127" s="851" t="str">
        <f>IF(B1127&gt;0,VLOOKUP(B1127,КВСР!A541:B1706,2),IF(C1127&gt;0,VLOOKUP(C1127,КФСР!A541:B2053,2),IF(D1127&gt;0,VLOOKUP(D1127,Программа!A$1:B$5112,2),IF(F1127&gt;0,VLOOKUP(F1127,КВР!A$1:B$5001,2),IF(E1127&gt;0,VLOOKUP(E1127,Направление!A$1:B$4791,2))))))</f>
        <v>Расходы на проведение мероприятий по информатизации</v>
      </c>
      <c r="B1127" s="134"/>
      <c r="C1127" s="129"/>
      <c r="D1127" s="131"/>
      <c r="E1127" s="129">
        <v>12210</v>
      </c>
      <c r="F1127" s="131"/>
      <c r="G1127" s="294">
        <f>G1128</f>
        <v>0</v>
      </c>
      <c r="H1127" s="294">
        <f t="shared" si="255"/>
        <v>18900</v>
      </c>
      <c r="I1127" s="294">
        <f t="shared" si="255"/>
        <v>18900</v>
      </c>
    </row>
    <row r="1128" spans="1:9" ht="63" x14ac:dyDescent="0.25">
      <c r="A1128" s="851" t="str">
        <f>IF(B1128&gt;0,VLOOKUP(B1128,КВСР!A542:B1707,2),IF(C1128&gt;0,VLOOKUP(C1128,КФСР!A542:B2054,2),IF(D1128&gt;0,VLOOKUP(D1128,Программа!A$1:B$5112,2),IF(F1128&gt;0,VLOOKUP(F1128,КВР!A$1:B$5001,2),IF(E1128&gt;0,VLOOKUP(E1128,Направление!A$1:B$4791,2))))))</f>
        <v xml:space="preserve">Закупка товаров, работ и услуг для обеспечения государственных (муниципальных) нужд
</v>
      </c>
      <c r="B1128" s="134"/>
      <c r="C1128" s="129"/>
      <c r="D1128" s="131"/>
      <c r="E1128" s="129"/>
      <c r="F1128" s="131">
        <v>200</v>
      </c>
      <c r="G1128" s="294"/>
      <c r="H1128" s="283">
        <v>18900</v>
      </c>
      <c r="I1128" s="119">
        <f>G1128+H1128</f>
        <v>18900</v>
      </c>
    </row>
    <row r="1129" spans="1:9" ht="47.25" hidden="1" x14ac:dyDescent="0.25">
      <c r="A1129" s="851" t="str">
        <f>IF(B1129&gt;0,VLOOKUP(B1129,КВСР!A538:B1703,2),IF(C1129&gt;0,VLOOKUP(C1129,КФСР!A538:B2050,2),IF(D1129&gt;0,VLOOKUP(D1129,Программа!A$1:B$5112,2),IF(F1129&gt;0,VLOOKUP(F1129,КВР!A$1:B$5001,2),IF(E1129&gt;0,VLOOKUP(E1129,Направление!A$1:B$4791,2))))))</f>
        <v>Профессиональная подготовка, переподготовка и повышение квалификации</v>
      </c>
      <c r="B1129" s="134"/>
      <c r="C1129" s="111">
        <v>705</v>
      </c>
      <c r="D1129" s="131"/>
      <c r="E1129" s="129"/>
      <c r="F1129" s="131"/>
      <c r="G1129" s="294">
        <v>0</v>
      </c>
      <c r="H1129" s="283">
        <f t="shared" ref="H1129:I1131" si="256">H1130</f>
        <v>0</v>
      </c>
      <c r="I1129" s="294">
        <f t="shared" si="256"/>
        <v>0</v>
      </c>
    </row>
    <row r="1130" spans="1:9" hidden="1" x14ac:dyDescent="0.25">
      <c r="A1130" s="851" t="str">
        <f>IF(B1130&gt;0,VLOOKUP(B1130,КВСР!A539:B1704,2),IF(C1130&gt;0,VLOOKUP(C1130,КФСР!A539:B2051,2),IF(D1130&gt;0,VLOOKUP(D1130,Программа!A$1:B$5112,2),IF(F1130&gt;0,VLOOKUP(F1130,КВР!A$1:B$5001,2),IF(E1130&gt;0,VLOOKUP(E1130,Направление!A$1:B$4791,2))))))</f>
        <v>Непрограммные расходы бюджета</v>
      </c>
      <c r="B1130" s="134"/>
      <c r="C1130" s="129"/>
      <c r="D1130" s="113" t="s">
        <v>383</v>
      </c>
      <c r="E1130" s="129"/>
      <c r="F1130" s="131"/>
      <c r="G1130" s="294">
        <v>0</v>
      </c>
      <c r="H1130" s="283">
        <f t="shared" si="256"/>
        <v>0</v>
      </c>
      <c r="I1130" s="294">
        <f t="shared" si="256"/>
        <v>0</v>
      </c>
    </row>
    <row r="1131" spans="1:9" hidden="1" x14ac:dyDescent="0.25">
      <c r="A1131" s="851" t="str">
        <f>IF(B1131&gt;0,VLOOKUP(B1131,КВСР!A540:B1705,2),IF(C1131&gt;0,VLOOKUP(C1131,КФСР!A540:B2052,2),IF(D1131&gt;0,VLOOKUP(D1131,Программа!A$1:B$5112,2),IF(F1131&gt;0,VLOOKUP(F1131,КВР!A$1:B$5001,2),IF(E1131&gt;0,VLOOKUP(E1131,Направление!A$1:B$4791,2))))))</f>
        <v>Содержание центрального аппарата</v>
      </c>
      <c r="B1131" s="134"/>
      <c r="C1131" s="129"/>
      <c r="D1131" s="131"/>
      <c r="E1131" s="129">
        <v>12010</v>
      </c>
      <c r="F1131" s="131"/>
      <c r="G1131" s="294">
        <v>0</v>
      </c>
      <c r="H1131" s="283">
        <f t="shared" si="256"/>
        <v>0</v>
      </c>
      <c r="I1131" s="294">
        <f t="shared" si="256"/>
        <v>0</v>
      </c>
    </row>
    <row r="1132" spans="1:9" ht="63" hidden="1" x14ac:dyDescent="0.25">
      <c r="A1132" s="851" t="str">
        <f>IF(B1132&gt;0,VLOOKUP(B1132,КВСР!A541:B1706,2),IF(C1132&gt;0,VLOOKUP(C1132,КФСР!A541:B2053,2),IF(D1132&gt;0,VLOOKUP(D1132,Программа!A$1:B$5112,2),IF(F1132&gt;0,VLOOKUP(F1132,КВР!A$1:B$5001,2),IF(E1132&gt;0,VLOOKUP(E1132,Направление!A$1:B$4791,2))))))</f>
        <v xml:space="preserve">Закупка товаров, работ и услуг для обеспечения государственных (муниципальных) нужд
</v>
      </c>
      <c r="B1132" s="134"/>
      <c r="C1132" s="129"/>
      <c r="D1132" s="131"/>
      <c r="E1132" s="129"/>
      <c r="F1132" s="131">
        <v>200</v>
      </c>
      <c r="G1132" s="294">
        <v>0</v>
      </c>
      <c r="H1132" s="283"/>
      <c r="I1132" s="119">
        <f>G1132+H1132</f>
        <v>0</v>
      </c>
    </row>
    <row r="1133" spans="1:9" x14ac:dyDescent="0.25">
      <c r="A1133" s="850" t="s">
        <v>148</v>
      </c>
      <c r="B1133" s="112"/>
      <c r="C1133" s="112"/>
      <c r="D1133" s="113"/>
      <c r="E1133" s="111"/>
      <c r="F1133" s="112"/>
      <c r="G1133" s="383">
        <v>2542780300.2200003</v>
      </c>
      <c r="H1133" s="337">
        <f>SUM(H10+H391+H443+H728+H868+H913+H1111)</f>
        <v>26444867</v>
      </c>
      <c r="I1133" s="340">
        <f>SUM(G1133:H1133)</f>
        <v>2569225167.2200003</v>
      </c>
    </row>
    <row r="1137" spans="7:7" x14ac:dyDescent="0.25">
      <c r="G1137" s="138"/>
    </row>
  </sheetData>
  <autoFilter ref="A8:I113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1" manualBreakCount="1">
    <brk id="633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1816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1931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91" t="s">
        <v>1822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8"/>
      <c r="B7" s="99"/>
      <c r="C7" s="99"/>
      <c r="D7" s="100"/>
      <c r="E7" s="101"/>
      <c r="F7" s="99"/>
      <c r="G7" s="989"/>
      <c r="H7" s="989"/>
      <c r="I7" s="989"/>
      <c r="J7" s="989"/>
      <c r="K7" s="989"/>
      <c r="L7" s="989"/>
    </row>
    <row r="8" spans="1:12" ht="12.75" customHeight="1" x14ac:dyDescent="0.2">
      <c r="A8" s="985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2" t="s">
        <v>1596</v>
      </c>
      <c r="H8" s="990" t="s">
        <v>1596</v>
      </c>
      <c r="I8" s="990" t="s">
        <v>1596</v>
      </c>
      <c r="J8" s="990" t="s">
        <v>1820</v>
      </c>
      <c r="K8" s="990" t="s">
        <v>1820</v>
      </c>
      <c r="L8" s="990" t="s">
        <v>1820</v>
      </c>
    </row>
    <row r="9" spans="1:12" ht="55.5" customHeight="1" x14ac:dyDescent="0.2">
      <c r="A9" s="985"/>
      <c r="B9" s="987"/>
      <c r="C9" s="987"/>
      <c r="D9" s="532" t="s">
        <v>379</v>
      </c>
      <c r="E9" s="533" t="s">
        <v>380</v>
      </c>
      <c r="F9" s="987"/>
      <c r="G9" s="982"/>
      <c r="H9" s="990"/>
      <c r="I9" s="990"/>
      <c r="J9" s="990"/>
      <c r="K9" s="990"/>
      <c r="L9" s="99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1232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1233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383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411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412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414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416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419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383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610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616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1355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1229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территорий</v>
      </c>
      <c r="B97" s="116"/>
      <c r="C97" s="111"/>
      <c r="D97" s="112" t="s">
        <v>1248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1656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1657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1658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1383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446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446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446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1659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383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552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411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427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429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1661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1663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600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631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673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383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718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720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722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723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725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1621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1622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1623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1624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1229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территорий</v>
      </c>
      <c r="B184" s="116"/>
      <c r="C184" s="111"/>
      <c r="D184" s="112" t="s">
        <v>1248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600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631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632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600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631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632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470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568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1669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383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398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434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383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383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441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443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444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441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443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483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1788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Региональный проект "Успех каждого ребенка"</v>
      </c>
      <c r="B273" s="122"/>
      <c r="C273" s="123"/>
      <c r="D273" s="125" t="s">
        <v>1674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441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443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505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441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443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462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1265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441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443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1136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1141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470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477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479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481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441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443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505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462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1138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441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443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1141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441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443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444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490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1141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441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460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515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Мероприятия в области спорта и физической культуры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450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520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522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450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520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525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450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520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522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1242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540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1813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450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520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522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1790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1522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47.2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450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520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522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1263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383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398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434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383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552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552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500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502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470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568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570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1669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470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573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575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579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470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472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1685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 xml:space="preserve">Обеспечение мероприятий по содержанию  военно-мемориального комплекса 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568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587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592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470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568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595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383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383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648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showGridLines="0" tabSelected="1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5" t="s">
        <v>1956</v>
      </c>
      <c r="B1" s="1005"/>
      <c r="C1" s="1005"/>
      <c r="D1" s="1005"/>
      <c r="E1" s="1005"/>
      <c r="F1" s="1005"/>
    </row>
    <row r="2" spans="1:6" ht="15.75" x14ac:dyDescent="0.25">
      <c r="A2" s="1005" t="s">
        <v>1</v>
      </c>
      <c r="B2" s="1005"/>
      <c r="C2" s="1005"/>
      <c r="D2" s="1005"/>
      <c r="E2" s="1005"/>
      <c r="F2" s="1005"/>
    </row>
    <row r="3" spans="1:6" ht="15.75" x14ac:dyDescent="0.25">
      <c r="A3" s="1005" t="s">
        <v>2</v>
      </c>
      <c r="B3" s="1005"/>
      <c r="C3" s="1005"/>
      <c r="D3" s="1005"/>
      <c r="E3" s="1005"/>
      <c r="F3" s="1005"/>
    </row>
    <row r="4" spans="1:6" ht="15.75" x14ac:dyDescent="0.25">
      <c r="A4" s="1005" t="s">
        <v>1957</v>
      </c>
      <c r="B4" s="1005"/>
      <c r="C4" s="1005"/>
      <c r="D4" s="1005"/>
      <c r="E4" s="1005"/>
      <c r="F4" s="1005"/>
    </row>
    <row r="5" spans="1:6" ht="15.75" x14ac:dyDescent="0.25">
      <c r="A5" s="650"/>
      <c r="B5" s="651"/>
      <c r="C5" s="651"/>
      <c r="D5" s="1006"/>
      <c r="E5" s="1006"/>
      <c r="F5" s="1006"/>
    </row>
    <row r="6" spans="1:6" ht="31.7" customHeight="1" x14ac:dyDescent="0.25">
      <c r="A6" s="1003" t="s">
        <v>1832</v>
      </c>
      <c r="B6" s="1003"/>
      <c r="C6" s="1003"/>
      <c r="D6" s="1003"/>
      <c r="E6" s="1003"/>
      <c r="F6" s="1003"/>
    </row>
    <row r="7" spans="1:6" ht="16.5" thickBot="1" x14ac:dyDescent="0.3">
      <c r="A7" s="153"/>
      <c r="B7" s="1"/>
      <c r="C7" s="1"/>
      <c r="D7" s="1004"/>
      <c r="E7" s="1004"/>
      <c r="F7" s="1004"/>
    </row>
    <row r="8" spans="1:6" ht="13.5" thickBot="1" x14ac:dyDescent="0.25">
      <c r="A8" s="996" t="s">
        <v>649</v>
      </c>
      <c r="B8" s="997" t="s">
        <v>650</v>
      </c>
      <c r="C8" s="999" t="s">
        <v>651</v>
      </c>
      <c r="D8" s="1001" t="s">
        <v>160</v>
      </c>
      <c r="E8" s="992" t="s">
        <v>160</v>
      </c>
      <c r="F8" s="994" t="s">
        <v>160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470</v>
      </c>
      <c r="D10" s="467">
        <f>SUMIFS(Пр.12!G$10:G$1559,Пр.12!$D$10:$D$1559,C10)</f>
        <v>211539751</v>
      </c>
      <c r="E10" s="468">
        <f>SUMIFS(Пр.12!H$10:H$1559,Пр.12!$D$10:$D$1559,C10)</f>
        <v>1216430</v>
      </c>
      <c r="F10" s="705">
        <f>SUMIFS(Пр.12!I$10:I$1559,Пр.12!$D$10:$D$1559,C10)</f>
        <v>212756181</v>
      </c>
    </row>
    <row r="11" spans="1:6" s="155" customFormat="1" ht="16.5" thickBot="1" x14ac:dyDescent="0.3">
      <c r="A11" s="171" t="s">
        <v>652</v>
      </c>
      <c r="B11" s="706" t="str">
        <f>IF(C11&gt;0,VLOOKUP(C11,Программа!A$2:B$5112,2))</f>
        <v>Ведомственная целевая программа «Молодежь»</v>
      </c>
      <c r="C11" s="736" t="s">
        <v>573</v>
      </c>
      <c r="D11" s="708">
        <f>SUMIFS(Пр.12!G$10:G$1559,Пр.12!$D$10:$D$1559,C11)</f>
        <v>12606899</v>
      </c>
      <c r="E11" s="709">
        <f>SUMIFS(Пр.12!H$10:H$1559,Пр.12!$D$10:$D$1559,C11)</f>
        <v>-6900</v>
      </c>
      <c r="F11" s="734">
        <f>SUMIFS(Пр.12!I$10:I$1559,Пр.12!$D$10:$D$1559,C11)</f>
        <v>12599999</v>
      </c>
    </row>
    <row r="12" spans="1:6" ht="48" thickBot="1" x14ac:dyDescent="0.3">
      <c r="A12" s="170" t="s">
        <v>653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575</v>
      </c>
      <c r="D12" s="159">
        <f>SUMIFS(Пр.12!G$10:G$1559,Пр.12!$D$10:$D$1559,C12)</f>
        <v>11669000</v>
      </c>
      <c r="E12" s="712">
        <f>SUMIFS(Пр.12!H$10:H$1559,Пр.12!$D$10:$D$1559,C12)</f>
        <v>126341</v>
      </c>
      <c r="F12" s="713">
        <f>SUMIFS(Пр.12!I$10:I$1559,Пр.12!$D$10:$D$1559,C12)</f>
        <v>11795341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1179</v>
      </c>
      <c r="D13" s="159">
        <f>SUMIFS(Пр.12!G$10:G$1559,Пр.12!$D$10:$D$1559,C13)</f>
        <v>937899</v>
      </c>
      <c r="E13" s="712">
        <f>SUMIFS(Пр.12!H$10:H$1559,Пр.12!$D$10:$D$1559,C13)</f>
        <v>-133241</v>
      </c>
      <c r="F13" s="732">
        <f>SUMIFS(Пр.12!I$10:I$1559,Пр.12!$D$10:$D$1559,C13)</f>
        <v>804658</v>
      </c>
    </row>
    <row r="14" spans="1:6" s="155" customFormat="1" ht="63.75" thickBot="1" x14ac:dyDescent="0.3">
      <c r="A14" s="378" t="s">
        <v>654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472</v>
      </c>
      <c r="D14" s="715">
        <f>SUMIFS(Пр.12!G$10:G$1559,Пр.12!$D$10:$D$1559,C14)</f>
        <v>500000</v>
      </c>
      <c r="E14" s="716">
        <f>SUMIFS(Пр.12!H$10:H$1559,Пр.12!$D$10:$D$1559,C14)</f>
        <v>56000</v>
      </c>
      <c r="F14" s="732">
        <f>SUMIFS(Пр.12!I$10:I$1559,Пр.12!$D$10:$D$1559,C14)</f>
        <v>556000</v>
      </c>
    </row>
    <row r="15" spans="1:6" ht="48" thickBot="1" x14ac:dyDescent="0.3">
      <c r="A15" s="166" t="s">
        <v>655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SUMIFS(Пр.12!G$10:G$1559,Пр.12!$D$10:$D$1559,C15)</f>
        <v>200000</v>
      </c>
      <c r="E15" s="712">
        <f>SUMIFS(Пр.12!H$10:H$1559,Пр.12!$D$10:$D$1559,C15)</f>
        <v>56000</v>
      </c>
      <c r="F15" s="713">
        <f>SUMIFS(Пр.12!I$10:I$1559,Пр.12!$D$10:$D$1559,C15)</f>
        <v>256000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1685</v>
      </c>
      <c r="D16" s="159">
        <f>SUMIFS(Пр.12!G$10:G$1559,Пр.12!$D$10:$D$1559,C16)</f>
        <v>300000</v>
      </c>
      <c r="E16" s="712">
        <f>SUMIFS(Пр.12!H$10:H$1559,Пр.12!$D$10:$D$1559,C16)</f>
        <v>0</v>
      </c>
      <c r="F16" s="713">
        <f>SUMIFS(Пр.12!I$10:I$1559,Пр.12!$D$10:$D$1559,C16)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477</v>
      </c>
      <c r="D17" s="715">
        <f>SUMIFS(Пр.12!G$10:G$1559,Пр.12!$D$10:$D$1559,C17)</f>
        <v>130000</v>
      </c>
      <c r="E17" s="716">
        <f>SUMIFS(Пр.12!H$10:H$1559,Пр.12!$D$10:$D$1559,C17)</f>
        <v>0</v>
      </c>
      <c r="F17" s="732">
        <f>SUMIFS(Пр.12!I$10:I$1559,Пр.12!$D$10:$D$1559,C17)</f>
        <v>130000</v>
      </c>
    </row>
    <row r="18" spans="1:6" ht="32.25" thickBot="1" x14ac:dyDescent="0.3">
      <c r="A18" s="170" t="s">
        <v>656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SUMIFS(Пр.12!G$10:G$1559,Пр.12!$D$10:$D$1559,C18)</f>
        <v>130000</v>
      </c>
      <c r="E18" s="712">
        <f>SUMIFS(Пр.12!H$10:H$1559,Пр.12!$D$10:$D$1559,C18)</f>
        <v>0</v>
      </c>
      <c r="F18" s="713">
        <f>SUMIFS(Пр.12!I$10:I$1559,Пр.12!$D$10:$D$1559,C18)</f>
        <v>130000</v>
      </c>
    </row>
    <row r="19" spans="1:6" s="155" customFormat="1" ht="32.25" thickBot="1" x14ac:dyDescent="0.3">
      <c r="A19" s="171" t="s">
        <v>657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568</v>
      </c>
      <c r="D19" s="715">
        <f>SUMIFS(Пр.12!G$10:G$1559,Пр.12!$D$10:$D$1559,C19)</f>
        <v>198302852</v>
      </c>
      <c r="E19" s="716">
        <f>SUMIFS(Пр.12!H$10:H$1559,Пр.12!$D$10:$D$1559,C19)</f>
        <v>1167330</v>
      </c>
      <c r="F19" s="732">
        <f>SUMIFS(Пр.12!I$10:I$1559,Пр.12!$D$10:$D$1559,C19)</f>
        <v>199470182</v>
      </c>
    </row>
    <row r="20" spans="1:6" ht="32.25" thickBot="1" x14ac:dyDescent="0.3">
      <c r="A20" s="170" t="s">
        <v>658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SUMIFS(Пр.12!G$10:G$1559,Пр.12!$D$10:$D$1559,C20)</f>
        <v>32570312</v>
      </c>
      <c r="E20" s="712">
        <f>SUMIFS(Пр.12!H$10:H$1559,Пр.12!$D$10:$D$1559,C20)</f>
        <v>0</v>
      </c>
      <c r="F20" s="713">
        <f>SUMIFS(Пр.12!I$10:I$1559,Пр.12!$D$10:$D$1559,C20)</f>
        <v>32570312</v>
      </c>
    </row>
    <row r="21" spans="1:6" ht="16.5" thickBot="1" x14ac:dyDescent="0.3">
      <c r="A21" s="170" t="s">
        <v>659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SUMIFS(Пр.12!G$10:G$1559,Пр.12!$D$10:$D$1559,C21)</f>
        <v>91770516</v>
      </c>
      <c r="E21" s="712">
        <f>SUMIFS(Пр.12!H$10:H$1559,Пр.12!$D$10:$D$1559,C21)</f>
        <v>1167330</v>
      </c>
      <c r="F21" s="713">
        <f>SUMIFS(Пр.12!I$10:I$1559,Пр.12!$D$10:$D$1559,C21)</f>
        <v>92937846</v>
      </c>
    </row>
    <row r="22" spans="1:6" ht="32.25" thickBot="1" x14ac:dyDescent="0.3">
      <c r="A22" s="169" t="s">
        <v>660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SUMIFS(Пр.12!G$10:G$1559,Пр.12!$D$10:$D$1559,C22)</f>
        <v>23586133</v>
      </c>
      <c r="E22" s="712">
        <f>SUMIFS(Пр.12!H$10:H$1559,Пр.12!$D$10:$D$1559,C22)</f>
        <v>0</v>
      </c>
      <c r="F22" s="713">
        <f>SUMIFS(Пр.12!I$10:I$1559,Пр.12!$D$10:$D$1559,C22)</f>
        <v>23586133</v>
      </c>
    </row>
    <row r="23" spans="1:6" ht="16.5" thickBot="1" x14ac:dyDescent="0.3">
      <c r="A23" s="170" t="s">
        <v>661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SUMIFS(Пр.12!G$10:G$1559,Пр.12!$D$10:$D$1559,C23)</f>
        <v>31909674</v>
      </c>
      <c r="E23" s="712">
        <f>SUMIFS(Пр.12!H$10:H$1559,Пр.12!$D$10:$D$1559,C23)</f>
        <v>0</v>
      </c>
      <c r="F23" s="713">
        <f>SUMIFS(Пр.12!I$10:I$1559,Пр.12!$D$10:$D$1559,C23)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1881</v>
      </c>
      <c r="D24" s="159">
        <f>SUMIFS(Пр.12!G$10:G$1559,Пр.12!$D$10:$D$1559,C24)</f>
        <v>18466217</v>
      </c>
      <c r="E24" s="712">
        <f>SUMIFS(Пр.12!H$10:H$1559,Пр.12!$D$10:$D$1559,C24)</f>
        <v>0</v>
      </c>
      <c r="F24" s="713">
        <f>SUMIFS(Пр.12!I$10:I$1559,Пр.12!$D$10:$D$1559,C24)</f>
        <v>18466217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SUMIFS(Пр.12!G$10:G$1559,Пр.12!$D$10:$D$1559,C25)</f>
        <v>0</v>
      </c>
      <c r="E25" s="596">
        <f>SUMIFS(Пр.12!H$10:H$1559,Пр.12!$D$10:$D$1559,C25)</f>
        <v>0</v>
      </c>
      <c r="F25" s="578">
        <f>SUMIFS(Пр.12!I$10:I$1559,Пр.12!$D$10:$D$1559,C25)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SUMIFS(Пр.12!G$10:G$1559,Пр.12!$D$10:$D$1559,C26)</f>
        <v>0</v>
      </c>
      <c r="E26" s="461">
        <f>SUMIFS(Пр.12!H$10:H$1559,Пр.12!$D$10:$D$1559,C26)</f>
        <v>0</v>
      </c>
      <c r="F26" s="689">
        <f>SUMIFS(Пр.12!I$10:I$1559,Пр.12!$D$10:$D$1559,C26)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SUMIFS(Пр.12!G$10:G$1559,Пр.12!$D$10:$D$1559,C27)</f>
        <v>1150573815</v>
      </c>
      <c r="E27" s="454">
        <f>SUMIFS(Пр.12!H$10:H$1559,Пр.12!$D$10:$D$1559,C27)</f>
        <v>4450923</v>
      </c>
      <c r="F27" s="668">
        <f>SUMIFS(Пр.12!I$10:I$1559,Пр.12!$D$10:$D$1559,C27)</f>
        <v>1155024738</v>
      </c>
    </row>
    <row r="28" spans="1:6" s="155" customFormat="1" ht="48" thickBot="1" x14ac:dyDescent="0.3">
      <c r="A28" s="298" t="s">
        <v>665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443</v>
      </c>
      <c r="D28" s="708">
        <f>SUMIFS(Пр.12!G$10:G$1559,Пр.12!$D$10:$D$1559,C28)</f>
        <v>1092418959</v>
      </c>
      <c r="E28" s="709">
        <f>SUMIFS(Пр.12!H$10:H$1559,Пр.12!$D$10:$D$1559,C28)</f>
        <v>3867262</v>
      </c>
      <c r="F28" s="734">
        <f>SUMIFS(Пр.12!I$10:I$1559,Пр.12!$D$10:$D$1559,C28)</f>
        <v>1096286221</v>
      </c>
    </row>
    <row r="29" spans="1:6" ht="32.25" thickBot="1" x14ac:dyDescent="0.3">
      <c r="A29" s="169" t="s">
        <v>666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SUMIFS(Пр.12!G$10:G$1559,Пр.12!$D$10:$D$1559,C29)</f>
        <v>419773531</v>
      </c>
      <c r="E29" s="712">
        <f>SUMIFS(Пр.12!H$10:H$1559,Пр.12!$D$10:$D$1559,C29)</f>
        <v>718356</v>
      </c>
      <c r="F29" s="713">
        <f>SUMIFS(Пр.12!I$10:I$1559,Пр.12!$D$10:$D$1559,C29)</f>
        <v>420491887</v>
      </c>
    </row>
    <row r="30" spans="1:6" ht="32.25" thickBot="1" x14ac:dyDescent="0.3">
      <c r="A30" s="169" t="s">
        <v>667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SUMIFS(Пр.12!G$10:G$1559,Пр.12!$D$10:$D$1559,C30)</f>
        <v>511257871</v>
      </c>
      <c r="E30" s="712">
        <f>SUMIFS(Пр.12!H$10:H$1559,Пр.12!$D$10:$D$1559,C30)</f>
        <v>2985377</v>
      </c>
      <c r="F30" s="713">
        <f>SUMIFS(Пр.12!I$10:I$1559,Пр.12!$D$10:$D$1559,C30)</f>
        <v>514243248</v>
      </c>
    </row>
    <row r="31" spans="1:6" ht="32.25" thickBot="1" x14ac:dyDescent="0.3">
      <c r="A31" s="169" t="s">
        <v>668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SUMIFS(Пр.12!G$10:G$1559,Пр.12!$D$10:$D$1559,C31)</f>
        <v>62007011</v>
      </c>
      <c r="E31" s="712">
        <f>SUMIFS(Пр.12!H$10:H$1559,Пр.12!$D$10:$D$1559,C31)</f>
        <v>186515</v>
      </c>
      <c r="F31" s="713">
        <f>SUMIFS(Пр.12!I$10:I$1559,Пр.12!$D$10:$D$1559,C31)</f>
        <v>62193526</v>
      </c>
    </row>
    <row r="32" spans="1:6" ht="16.5" thickBot="1" x14ac:dyDescent="0.3">
      <c r="A32" s="170" t="s">
        <v>669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SUMIFS(Пр.12!G$10:G$1559,Пр.12!$D$10:$D$1559,C32)</f>
        <v>382000</v>
      </c>
      <c r="E32" s="712">
        <f>SUMIFS(Пр.12!H$10:H$1559,Пр.12!$D$10:$D$1559,C32)</f>
        <v>0</v>
      </c>
      <c r="F32" s="713">
        <f>SUMIFS(Пр.12!I$10:I$1559,Пр.12!$D$10:$D$1559,C32)</f>
        <v>382000</v>
      </c>
    </row>
    <row r="33" spans="1:6" ht="48" thickBot="1" x14ac:dyDescent="0.3">
      <c r="A33" s="169" t="s">
        <v>670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SUMIFS(Пр.12!G$10:G$1559,Пр.12!$D$10:$D$1559,C33)</f>
        <v>12196523</v>
      </c>
      <c r="E33" s="712">
        <f>SUMIFS(Пр.12!H$10:H$1559,Пр.12!$D$10:$D$1559,C33)</f>
        <v>13000</v>
      </c>
      <c r="F33" s="713">
        <f>SUMIFS(Пр.12!I$10:I$1559,Пр.12!$D$10:$D$1559,C33)</f>
        <v>12209523</v>
      </c>
    </row>
    <row r="34" spans="1:6" ht="48" thickBot="1" x14ac:dyDescent="0.3">
      <c r="A34" s="170" t="s">
        <v>671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SUMIFS(Пр.12!G$10:G$1559,Пр.12!$D$10:$D$1559,C34)</f>
        <v>36123649</v>
      </c>
      <c r="E34" s="712">
        <f>SUMIFS(Пр.12!H$10:H$1559,Пр.12!$D$10:$D$1559,C34)</f>
        <v>-114128</v>
      </c>
      <c r="F34" s="713">
        <f>SUMIFS(Пр.12!I$10:I$1559,Пр.12!$D$10:$D$1559,C34)</f>
        <v>36009521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SUMIFS(Пр.12!G$10:G$1559,Пр.12!$D$10:$D$1559,C35)</f>
        <v>5874438</v>
      </c>
      <c r="E35" s="712">
        <f>SUMIFS(Пр.12!H$10:H$1559,Пр.12!$D$10:$D$1559,C35)</f>
        <v>21450</v>
      </c>
      <c r="F35" s="713">
        <f>SUMIFS(Пр.12!I$10:I$1559,Пр.12!$D$10:$D$1559,C35)</f>
        <v>5895888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SUMIFS(Пр.12!G$10:G$1559,Пр.12!$D$10:$D$1559,C36)</f>
        <v>11501665</v>
      </c>
      <c r="E36" s="712">
        <f>SUMIFS(Пр.12!H$10:H$1559,Пр.12!$D$10:$D$1559,C36)</f>
        <v>0</v>
      </c>
      <c r="F36" s="713">
        <f>SUMIFS(Пр.12!I$10:I$1559,Пр.12!$D$10:$D$1559,C36)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SUMIFS(Пр.12!G$10:G$1559,Пр.12!$D$10:$D$1559,C37)</f>
        <v>30652271</v>
      </c>
      <c r="E37" s="712">
        <f>SUMIFS(Пр.12!H$10:H$1559,Пр.12!$D$10:$D$1559,C37)</f>
        <v>56692</v>
      </c>
      <c r="F37" s="713">
        <f>SUMIFS(Пр.12!I$10:I$1559,Пр.12!$D$10:$D$1559,C37)</f>
        <v>30708963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1942</v>
      </c>
      <c r="D38" s="159">
        <f>SUMIFS(Пр.12!G$10:G$1559,Пр.12!$D$10:$D$1559,C38)</f>
        <v>2650000</v>
      </c>
      <c r="E38" s="712">
        <f>SUMIFS(Пр.12!H$10:H$1559,Пр.12!$D$10:$D$1559,C38)</f>
        <v>0</v>
      </c>
      <c r="F38" s="713">
        <f>SUMIFS(Пр.12!I$10:I$1559,Пр.12!$D$10:$D$1559,C38)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Региональный проект "Успех каждого ребенка"</v>
      </c>
      <c r="C39" s="237" t="s">
        <v>1675</v>
      </c>
      <c r="D39" s="159">
        <f>SUMIFS(Пр.12!G$10:G$1559,Пр.12!$D$10:$D$1559,C39)</f>
        <v>0</v>
      </c>
      <c r="E39" s="712">
        <f>SUMIFS(Пр.12!H$10:H$1559,Пр.12!$D$10:$D$1559,C39)</f>
        <v>0</v>
      </c>
      <c r="F39" s="713">
        <f>SUMIFS(Пр.12!I$10:I$1559,Пр.12!$D$10:$D$1559,C39)</f>
        <v>0</v>
      </c>
    </row>
    <row r="40" spans="1:6" s="155" customFormat="1" ht="48" thickBot="1" x14ac:dyDescent="0.3">
      <c r="A40" s="171" t="s">
        <v>672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492</v>
      </c>
      <c r="D40" s="715">
        <f>SUMIFS(Пр.12!G$10:G$1559,Пр.12!$D$10:$D$1559,C40)</f>
        <v>5000</v>
      </c>
      <c r="E40" s="716">
        <f>SUMIFS(Пр.12!H$10:H$1559,Пр.12!$D$10:$D$1559,C40)</f>
        <v>0</v>
      </c>
      <c r="F40" s="732">
        <f>SUMIFS(Пр.12!I$10:I$1559,Пр.12!$D$10:$D$1559,C40)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SUMIFS(Пр.12!G$10:G$1559,Пр.12!$D$10:$D$1559,C41)</f>
        <v>5000</v>
      </c>
      <c r="E41" s="712">
        <f>SUMIFS(Пр.12!H$10:H$1559,Пр.12!$D$10:$D$1559,C41)</f>
        <v>0</v>
      </c>
      <c r="F41" s="713">
        <f>SUMIFS(Пр.12!I$10:I$1559,Пр.12!$D$10:$D$1559,C41)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460</v>
      </c>
      <c r="D42" s="715">
        <f>SUMIFS(Пр.12!G$10:G$1559,Пр.12!$D$10:$D$1559,C42)</f>
        <v>58149856</v>
      </c>
      <c r="E42" s="716">
        <f>SUMIFS(Пр.12!H$10:H$1559,Пр.12!$D$10:$D$1559,C42)</f>
        <v>583661</v>
      </c>
      <c r="F42" s="732">
        <f>SUMIFS(Пр.12!I$10:I$1559,Пр.12!$D$10:$D$1559,C42)</f>
        <v>58733517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SUMIFS(Пр.12!G$10:G$1559,Пр.12!$D$10:$D$1559,C43)</f>
        <v>41579856</v>
      </c>
      <c r="E43" s="712">
        <f>SUMIFS(Пр.12!H$10:H$1559,Пр.12!$D$10:$D$1559,C43)</f>
        <v>583661</v>
      </c>
      <c r="F43" s="713">
        <f>SUMIFS(Пр.12!I$10:I$1559,Пр.12!$D$10:$D$1559,C43)</f>
        <v>42163517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SUMIFS(Пр.12!G$10:G$1559,Пр.12!$D$10:$D$1559,C44)</f>
        <v>0</v>
      </c>
      <c r="E44" s="712">
        <f>SUMIFS(Пр.12!H$10:H$1559,Пр.12!$D$10:$D$1559,C44)</f>
        <v>0</v>
      </c>
      <c r="F44" s="713">
        <f>SUMIFS(Пр.12!I$10:I$1559,Пр.12!$D$10:$D$1559,C44)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24">
        <f>SUMIFS(Пр.12!G$10:G$1559,Пр.12!$D$10:$D$1559,C45)</f>
        <v>16570000</v>
      </c>
      <c r="E45" s="719">
        <f>SUMIFS(Пр.12!H$10:H$1559,Пр.12!$D$10:$D$1559,C45)</f>
        <v>0</v>
      </c>
      <c r="F45" s="735">
        <f>SUMIFS(Пр.12!I$10:I$1559,Пр.12!$D$10:$D$1559,C45)</f>
        <v>16570000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450</v>
      </c>
      <c r="D46" s="453">
        <f>SUMIFS(Пр.12!G$10:G$1559,Пр.12!$D$10:$D$1559,C46)</f>
        <v>592369193</v>
      </c>
      <c r="E46" s="454">
        <f>SUMIFS(Пр.12!H$10:H$1559,Пр.12!$D$10:$D$1559,C46)</f>
        <v>235818</v>
      </c>
      <c r="F46" s="668">
        <f>SUMIFS(Пр.12!I$10:I$1559,Пр.12!$D$10:$D$1559,C46)</f>
        <v>592605011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520</v>
      </c>
      <c r="D47" s="708">
        <f>SUMIFS(Пр.12!G$10:G$1559,Пр.12!$D$10:$D$1559,C47)</f>
        <v>591761693</v>
      </c>
      <c r="E47" s="709">
        <f>SUMIFS(Пр.12!H$10:H$1559,Пр.12!$D$10:$D$1559,C47)</f>
        <v>235818</v>
      </c>
      <c r="F47" s="734">
        <f>SUMIFS(Пр.12!I$10:I$1559,Пр.12!$D$10:$D$1559,C47)</f>
        <v>591997511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SUMIFS(Пр.12!G$10:G$1559,Пр.12!$D$10:$D$1559,C48)</f>
        <v>398567759</v>
      </c>
      <c r="E48" s="712">
        <f>SUMIFS(Пр.12!H$10:H$1559,Пр.12!$D$10:$D$1559,C48)</f>
        <v>235818</v>
      </c>
      <c r="F48" s="713">
        <f>SUMIFS(Пр.12!I$10:I$1559,Пр.12!$D$10:$D$1559,C48)</f>
        <v>398803577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SUMIFS(Пр.12!G$10:G$1559,Пр.12!$D$10:$D$1559,C49)</f>
        <v>86596900</v>
      </c>
      <c r="E49" s="712">
        <f>SUMIFS(Пр.12!H$10:H$1559,Пр.12!$D$10:$D$1559,C49)</f>
        <v>0</v>
      </c>
      <c r="F49" s="713">
        <f>SUMIFS(Пр.12!I$10:I$1559,Пр.12!$D$10:$D$1559,C49)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SUMIFS(Пр.12!G$10:G$1559,Пр.12!$D$10:$D$1559,C50)</f>
        <v>21627650</v>
      </c>
      <c r="E50" s="712">
        <f>SUMIFS(Пр.12!H$10:H$1559,Пр.12!$D$10:$D$1559,C50)</f>
        <v>0</v>
      </c>
      <c r="F50" s="713">
        <f>SUMIFS(Пр.12!I$10:I$1559,Пр.12!$D$10:$D$1559,C50)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1263</v>
      </c>
      <c r="D51" s="159">
        <f>SUMIFS(Пр.12!G$10:G$1559,Пр.12!$D$10:$D$1559,C51)</f>
        <v>1456000</v>
      </c>
      <c r="E51" s="712">
        <f>SUMIFS(Пр.12!H$10:H$1559,Пр.12!$D$10:$D$1559,C51)</f>
        <v>0</v>
      </c>
      <c r="F51" s="713">
        <f>SUMIFS(Пр.12!I$10:I$1559,Пр.12!$D$10:$D$1559,C51)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1522</v>
      </c>
      <c r="D52" s="159">
        <f>SUMIFS(Пр.12!G$10:G$1559,Пр.12!$D$10:$D$1559,C52)</f>
        <v>83513384</v>
      </c>
      <c r="E52" s="712">
        <f>SUMIFS(Пр.12!H$10:H$1559,Пр.12!$D$10:$D$1559,C52)</f>
        <v>0</v>
      </c>
      <c r="F52" s="713">
        <f>SUMIFS(Пр.12!I$10:I$1559,Пр.12!$D$10:$D$1559,C52)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1523</v>
      </c>
      <c r="D53" s="159">
        <f>SUMIFS(Пр.12!G$10:G$1559,Пр.12!$D$10:$D$1559,C53)</f>
        <v>0</v>
      </c>
      <c r="E53" s="712">
        <f>SUMIFS(Пр.12!H$10:H$1559,Пр.12!$D$10:$D$1559,C53)</f>
        <v>0</v>
      </c>
      <c r="F53" s="713">
        <f>SUMIFS(Пр.12!I$10:I$1559,Пр.12!$D$10:$D$1559,C53)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452</v>
      </c>
      <c r="D54" s="715">
        <f>SUMIFS(Пр.12!G$10:G$1559,Пр.12!$D$10:$D$1559,C54)</f>
        <v>607500</v>
      </c>
      <c r="E54" s="716">
        <f>SUMIFS(Пр.12!H$10:H$1559,Пр.12!$D$10:$D$1559,C54)</f>
        <v>0</v>
      </c>
      <c r="F54" s="732">
        <f>SUMIFS(Пр.12!I$10:I$1559,Пр.12!$D$10:$D$1559,C54)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SUMIFS(Пр.12!G$10:G$1559,Пр.12!$D$10:$D$1559,C55)</f>
        <v>31500</v>
      </c>
      <c r="E55" s="712">
        <f>SUMIFS(Пр.12!H$10:H$1559,Пр.12!$D$10:$D$1559,C55)</f>
        <v>0</v>
      </c>
      <c r="F55" s="713">
        <f>SUMIFS(Пр.12!I$10:I$1559,Пр.12!$D$10:$D$1559,C55)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1545</v>
      </c>
      <c r="D56" s="159">
        <f>SUMIFS(Пр.12!G$10:G$1559,Пр.12!$D$10:$D$1559,C56)</f>
        <v>509500</v>
      </c>
      <c r="E56" s="712">
        <f>SUMIFS(Пр.12!H$10:H$1559,Пр.12!$D$10:$D$1559,C56)</f>
        <v>-18570</v>
      </c>
      <c r="F56" s="713">
        <f>SUMIFS(Пр.12!I$10:I$1559,Пр.12!$D$10:$D$1559,C56)</f>
        <v>490930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24">
        <f>SUMIFS(Пр.12!G$10:G$1559,Пр.12!$D$10:$D$1559,C57)</f>
        <v>66500</v>
      </c>
      <c r="E57" s="719">
        <f>SUMIFS(Пр.12!H$10:H$1559,Пр.12!$D$10:$D$1559,C57)</f>
        <v>18570</v>
      </c>
      <c r="F57" s="713">
        <f>SUMIFS(Пр.12!I$10:I$1559,Пр.12!$D$10:$D$1559,C57)</f>
        <v>85070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SUMIFS(Пр.12!G$10:G$1559,Пр.12!$D$10:$D$1559,C58)</f>
        <v>0</v>
      </c>
      <c r="E58" s="454">
        <f>SUMIFS(Пр.12!H$10:H$1559,Пр.12!$D$10:$D$1559,C58)</f>
        <v>0</v>
      </c>
      <c r="F58" s="577">
        <f>SUMIFS(Пр.12!I$10:I$1559,Пр.12!$D$10:$D$1559,C58)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SUMIFS(Пр.12!G$10:G$1559,Пр.12!$D$10:$D$1559,C59)</f>
        <v>0</v>
      </c>
      <c r="E59" s="512">
        <f>SUMIFS(Пр.12!H$10:H$1559,Пр.12!$D$10:$D$1559,C59)</f>
        <v>0</v>
      </c>
      <c r="F59" s="663">
        <f>SUMIFS(Пр.12!I$10:I$1559,Пр.12!$D$10:$D$1559,C59)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SUMIFS(Пр.12!G$10:G$1559,Пр.12!$D$10:$D$1559,C60)</f>
        <v>1482317.22</v>
      </c>
      <c r="E60" s="454">
        <f>SUMIFS(Пр.12!H$10:H$1559,Пр.12!$D$10:$D$1559,C60)</f>
        <v>7174871</v>
      </c>
      <c r="F60" s="668">
        <f>SUMIFS(Пр.12!I$10:I$1559,Пр.12!$D$10:$D$1559,C60)</f>
        <v>8657188.2199999988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SUMIFS(Пр.12!G$10:G$1559,Пр.12!$D$10:$D$1559,C61)</f>
        <v>0</v>
      </c>
      <c r="E61" s="459">
        <f>SUMIFS(Пр.12!H$10:H$1559,Пр.12!$D$10:$D$1559,C61)</f>
        <v>0</v>
      </c>
      <c r="F61" s="677">
        <f>SUMIFS(Пр.12!I$10:I$1559,Пр.12!$D$10:$D$1559,C61)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SUMIFS(Пр.12!G$10:G$1559,Пр.12!$D$10:$D$1559,C62)</f>
        <v>0</v>
      </c>
      <c r="E62" s="596">
        <f>SUMIFS(Пр.12!H$10:H$1559,Пр.12!$D$10:$D$1559,C62)</f>
        <v>0</v>
      </c>
      <c r="F62" s="579">
        <f>SUMIFS(Пр.12!I$10:I$1559,Пр.12!$D$10:$D$1559,C62)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SUMIFS(Пр.12!G$10:G$1559,Пр.12!$D$10:$D$1559,C63)</f>
        <v>0</v>
      </c>
      <c r="E63" s="596">
        <f>SUMIFS(Пр.12!H$10:H$1559,Пр.12!$D$10:$D$1559,C63)</f>
        <v>0</v>
      </c>
      <c r="F63" s="579">
        <f>SUMIFS(Пр.12!I$10:I$1559,Пр.12!$D$10:$D$1559,C63)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631</v>
      </c>
      <c r="D64" s="715">
        <f>SUMIFS(Пр.12!G$10:G$1559,Пр.12!$D$10:$D$1559,C64)</f>
        <v>62119.22</v>
      </c>
      <c r="E64" s="716">
        <f>SUMIFS(Пр.12!H$10:H$1559,Пр.12!$D$10:$D$1559,C64)</f>
        <v>7551209</v>
      </c>
      <c r="F64" s="732">
        <f>SUMIFS(Пр.12!I$10:I$1559,Пр.12!$D$10:$D$1559,C64)</f>
        <v>7613328.2199999997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SUMIFS(Пр.12!G$10:G$1559,Пр.12!$D$10:$D$1559,C65)</f>
        <v>0</v>
      </c>
      <c r="E65" s="712">
        <f>SUMIFS(Пр.12!H$10:H$1559,Пр.12!$D$10:$D$1559,C65)</f>
        <v>0</v>
      </c>
      <c r="F65" s="713">
        <f>SUMIFS(Пр.12!I$10:I$1559,Пр.12!$D$10:$D$1559,C65)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SUMIFS(Пр.12!G$10:G$1559,Пр.12!$D$10:$D$1559,C66)</f>
        <v>62119.22</v>
      </c>
      <c r="E66" s="712">
        <f>SUMIFS(Пр.12!H$10:H$1559,Пр.12!$D$10:$D$1559,C66)</f>
        <v>7551209</v>
      </c>
      <c r="F66" s="713">
        <f>SUMIFS(Пр.12!I$10:I$1559,Пр.12!$D$10:$D$1559,C66)</f>
        <v>7613328.2199999997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635</v>
      </c>
      <c r="D67" s="715">
        <f>SUMIFS(Пр.12!G$10:G$1559,Пр.12!$D$10:$D$1559,C67)</f>
        <v>1420198</v>
      </c>
      <c r="E67" s="712">
        <f>SUMIFS(Пр.12!H$10:H$1559,Пр.12!$D$10:$D$1559,C67)</f>
        <v>-376338</v>
      </c>
      <c r="F67" s="732">
        <f>SUMIFS(Пр.12!I$10:I$1559,Пр.12!$D$10:$D$1559,C67)</f>
        <v>1043860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SUMIFS(Пр.12!G$10:G$1559,Пр.12!$D$10:$D$1559,C68)</f>
        <v>1420198</v>
      </c>
      <c r="E68" s="712">
        <f>SUMIFS(Пр.12!H$10:H$1559,Пр.12!$D$10:$D$1559,C68)</f>
        <v>-376338</v>
      </c>
      <c r="F68" s="713">
        <f>SUMIFS(Пр.12!I$10:I$1559,Пр.12!$D$10:$D$1559,C68)</f>
        <v>1043860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1587</v>
      </c>
      <c r="D69" s="159">
        <f>SUMIFS(Пр.12!G$10:G$1559,Пр.12!$D$10:$D$1559,C69)</f>
        <v>0</v>
      </c>
      <c r="E69" s="712">
        <f>SUMIFS(Пр.12!H$10:H$1559,Пр.12!$D$10:$D$1559,C69)</f>
        <v>0</v>
      </c>
      <c r="F69" s="713">
        <f>SUMIFS(Пр.12!I$10:I$1559,Пр.12!$D$10:$D$1559,C69)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638</v>
      </c>
      <c r="D70" s="715">
        <f>SUMIFS(Пр.12!G$10:G$1559,Пр.12!$D$10:$D$1559,C70)</f>
        <v>0</v>
      </c>
      <c r="E70" s="716">
        <f>SUMIFS(Пр.12!H$10:H$1559,Пр.12!$D$10:$D$1559,C70)</f>
        <v>0</v>
      </c>
      <c r="F70" s="732">
        <f>SUMIFS(Пр.12!I$10:I$1559,Пр.12!$D$10:$D$1559,C70)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SUMIFS(Пр.12!G$10:G$1559,Пр.12!$D$10:$D$1559,C71)</f>
        <v>0</v>
      </c>
      <c r="E71" s="712">
        <f>SUMIFS(Пр.12!H$10:H$1559,Пр.12!$D$10:$D$1559,C71)</f>
        <v>0</v>
      </c>
      <c r="F71" s="713">
        <f>SUMIFS(Пр.12!I$10:I$1559,Пр.12!$D$10:$D$1559,C71)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SUMIFS(Пр.12!G$10:G$1559,Пр.12!$D$10:$D$1559,C72)</f>
        <v>0</v>
      </c>
      <c r="E72" s="712">
        <f>SUMIFS(Пр.12!H$10:H$1559,Пр.12!$D$10:$D$1559,C72)</f>
        <v>0</v>
      </c>
      <c r="F72" s="713">
        <f>SUMIFS(Пр.12!I$10:I$1559,Пр.12!$D$10:$D$1559,C72)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SUMIFS(Пр.12!G$10:G$1559,Пр.12!$D$10:$D$1559,C73)</f>
        <v>0</v>
      </c>
      <c r="E73" s="712">
        <f>SUMIFS(Пр.12!H$10:H$1559,Пр.12!$D$10:$D$1559,C73)</f>
        <v>0</v>
      </c>
      <c r="F73" s="713">
        <f>SUMIFS(Пр.12!I$10:I$1559,Пр.12!$D$10:$D$1559,C73)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1593</v>
      </c>
      <c r="D74" s="724"/>
      <c r="E74" s="719"/>
      <c r="F74" s="713">
        <f>SUMIFS(Пр.12!I$10:I$1559,Пр.12!$D$10:$D$1559,C74)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SUMIFS(Пр.12!G$10:G$1559,Пр.12!$D$10:$D$1559,C75)</f>
        <v>0</v>
      </c>
      <c r="E75" s="454">
        <f>SUMIFS(Пр.12!H$10:H$1559,Пр.12!$D$10:$D$1559,C75)</f>
        <v>0</v>
      </c>
      <c r="F75" s="579">
        <f>SUMIFS(Пр.12!I$10:I$1559,Пр.12!$D$10:$D$1559,C75)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607</v>
      </c>
      <c r="D76" s="728">
        <f>SUMIFS(Пр.12!G$10:G$1559,Пр.12!$D$10:$D$1559,C76)</f>
        <v>0</v>
      </c>
      <c r="E76" s="729">
        <f>SUMIFS(Пр.12!H$10:H$1559,Пр.12!$D$10:$D$1559,C76)</f>
        <v>0</v>
      </c>
      <c r="F76" s="713">
        <f>SUMIFS(Пр.12!I$10:I$1559,Пр.12!$D$10:$D$1559,C76)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SUMIFS(Пр.12!G$10:G$1559,Пр.12!$D$10:$D$1559,C77)</f>
        <v>0</v>
      </c>
      <c r="E77" s="454">
        <f>SUMIFS(Пр.12!H$10:H$1559,Пр.12!$D$10:$D$1559,C77)</f>
        <v>0</v>
      </c>
      <c r="F77" s="577">
        <f>SUMIFS(Пр.12!I$10:I$1559,Пр.12!$D$10:$D$1559,C77)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SUMIFS(Пр.12!G$10:G$1559,Пр.12!$D$10:$D$1559,C78)</f>
        <v>0</v>
      </c>
      <c r="E78" s="459">
        <f>SUMIFS(Пр.12!H$10:H$1559,Пр.12!$D$10:$D$1559,C78)</f>
        <v>0</v>
      </c>
      <c r="F78" s="578">
        <f>SUMIFS(Пр.12!I$10:I$1559,Пр.12!$D$10:$D$1559,C78)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SUMIFS(Пр.12!G$10:G$1559,Пр.12!$D$10:$D$1559,C79)</f>
        <v>0</v>
      </c>
      <c r="E79" s="596">
        <f>SUMIFS(Пр.12!H$10:H$1559,Пр.12!$D$10:$D$1559,C79)</f>
        <v>0</v>
      </c>
      <c r="F79" s="579">
        <f>SUMIFS(Пр.12!I$10:I$1559,Пр.12!$D$10:$D$1559,C79)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SUMIFS(Пр.12!G$10:G$1559,Пр.12!$D$10:$D$1559,C80)</f>
        <v>0</v>
      </c>
      <c r="E80" s="596">
        <f>SUMIFS(Пр.12!H$10:H$1559,Пр.12!$D$10:$D$1559,C80)</f>
        <v>0</v>
      </c>
      <c r="F80" s="578">
        <f>SUMIFS(Пр.12!I$10:I$1559,Пр.12!$D$10:$D$1559,C80)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SUMIFS(Пр.12!G$10:G$1559,Пр.12!$D$10:$D$1559,C81)</f>
        <v>0</v>
      </c>
      <c r="E81" s="461">
        <f>SUMIFS(Пр.12!H$10:H$1559,Пр.12!$D$10:$D$1559,C81)</f>
        <v>0</v>
      </c>
      <c r="F81" s="663">
        <f>SUMIFS(Пр.12!I$10:I$1559,Пр.12!$D$10:$D$1559,C81)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SUMIFS(Пр.12!G$10:G$1559,Пр.12!$D$10:$D$1559,C82)</f>
        <v>0</v>
      </c>
      <c r="E82" s="454">
        <f>SUMIFS(Пр.12!H$10:H$1559,Пр.12!$D$10:$D$1559,C82)</f>
        <v>0</v>
      </c>
      <c r="F82" s="668">
        <f>SUMIFS(Пр.12!I$10:I$1559,Пр.12!$D$10:$D$1559,C82)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SUMIFS(Пр.12!G$10:G$1559,Пр.12!$D$10:$D$1559,C83)</f>
        <v>0</v>
      </c>
      <c r="E83" s="459">
        <f>SUMIFS(Пр.12!H$10:H$1559,Пр.12!$D$10:$D$1559,C83)</f>
        <v>0</v>
      </c>
      <c r="F83" s="677">
        <f>SUMIFS(Пр.12!I$10:I$1559,Пр.12!$D$10:$D$1559,C83)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SUMIFS(Пр.12!G$10:G$1559,Пр.12!$D$10:$D$1559,C84)</f>
        <v>0</v>
      </c>
      <c r="E84" s="596">
        <f>SUMIFS(Пр.12!H$10:H$1559,Пр.12!$D$10:$D$1559,C84)</f>
        <v>0</v>
      </c>
      <c r="F84" s="579">
        <f>SUMIFS(Пр.12!I$10:I$1559,Пр.12!$D$10:$D$1559,C84)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SUMIFS(Пр.12!G$10:G$1559,Пр.12!$D$10:$D$1559,C85)</f>
        <v>0</v>
      </c>
      <c r="E85" s="596">
        <f>SUMIFS(Пр.12!H$10:H$1559,Пр.12!$D$10:$D$1559,C85)</f>
        <v>0</v>
      </c>
      <c r="F85" s="579">
        <f>SUMIFS(Пр.12!I$10:I$1559,Пр.12!$D$10:$D$1559,C85)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SUMIFS(Пр.12!G$10:G$1559,Пр.12!$D$10:$D$1559,C86)</f>
        <v>0</v>
      </c>
      <c r="E86" s="596">
        <f>SUMIFS(Пр.12!H$10:H$1559,Пр.12!$D$10:$D$1559,C86)</f>
        <v>0</v>
      </c>
      <c r="F86" s="579">
        <f>SUMIFS(Пр.12!I$10:I$1559,Пр.12!$D$10:$D$1559,C86)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SUMIFS(Пр.12!G$10:G$1559,Пр.12!$D$10:$D$1559,C87)</f>
        <v>0</v>
      </c>
      <c r="E87" s="596">
        <f>SUMIFS(Пр.12!H$10:H$1559,Пр.12!$D$10:$D$1559,C87)</f>
        <v>0</v>
      </c>
      <c r="F87" s="579">
        <f>SUMIFS(Пр.12!I$10:I$1559,Пр.12!$D$10:$D$1559,C87)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SUMIFS(Пр.12!G$10:G$1559,Пр.12!$D$10:$D$1559,C88)</f>
        <v>0</v>
      </c>
      <c r="E88" s="596">
        <f>SUMIFS(Пр.12!H$10:H$1559,Пр.12!$D$10:$D$1559,C88)</f>
        <v>0</v>
      </c>
      <c r="F88" s="579">
        <f>SUMIFS(Пр.12!I$10:I$1559,Пр.12!$D$10:$D$1559,C88)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SUMIFS(Пр.12!G$10:G$1559,Пр.12!$D$10:$D$1559,C89)</f>
        <v>0</v>
      </c>
      <c r="E89" s="596">
        <f>SUMIFS(Пр.12!H$10:H$1559,Пр.12!$D$10:$D$1559,C89)</f>
        <v>0</v>
      </c>
      <c r="F89" s="579">
        <f>SUMIFS(Пр.12!I$10:I$1559,Пр.12!$D$10:$D$1559,C89)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SUMIFS(Пр.12!G$10:G$1559,Пр.12!$D$10:$D$1559,C90)</f>
        <v>0</v>
      </c>
      <c r="E90" s="596">
        <f>SUMIFS(Пр.12!H$10:H$1559,Пр.12!$D$10:$D$1559,C90)</f>
        <v>0</v>
      </c>
      <c r="F90" s="579">
        <f>SUMIFS(Пр.12!I$10:I$1559,Пр.12!$D$10:$D$1559,C90)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1580</v>
      </c>
      <c r="D91" s="587">
        <f>SUMIFS(Пр.12!G$10:G$1559,Пр.12!$D$10:$D$1559,C91)</f>
        <v>0</v>
      </c>
      <c r="E91" s="461">
        <f>SUMIFS(Пр.12!H$10:H$1559,Пр.12!$D$10:$D$1559,C91)</f>
        <v>0</v>
      </c>
      <c r="F91" s="663">
        <f>SUMIFS(Пр.12!I$10:I$1559,Пр.12!$D$10:$D$1559,C91)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SUMIFS(Пр.12!G$10:G$1559,Пр.12!$D$10:$D$1559,C92)</f>
        <v>549724</v>
      </c>
      <c r="E92" s="454">
        <f>SUMIFS(Пр.12!H$10:H$1559,Пр.12!$D$10:$D$1559,C92)</f>
        <v>0</v>
      </c>
      <c r="F92" s="668">
        <f>SUMIFS(Пр.12!I$10:I$1559,Пр.12!$D$10:$D$1559,C92)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SUMIFS(Пр.12!G$10:G$1559,Пр.12!$D$10:$D$1559,C93)</f>
        <v>0</v>
      </c>
      <c r="E93" s="459">
        <f>SUMIFS(Пр.12!H$10:H$1559,Пр.12!$D$10:$D$1559,C93)</f>
        <v>0</v>
      </c>
      <c r="F93" s="677">
        <f>SUMIFS(Пр.12!I$10:I$1559,Пр.12!$D$10:$D$1559,C93)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SUMIFS(Пр.12!G$10:G$1559,Пр.12!$D$10:$D$1559,C94)</f>
        <v>0</v>
      </c>
      <c r="E94" s="596">
        <f>SUMIFS(Пр.12!H$10:H$1559,Пр.12!$D$10:$D$1559,C94)</f>
        <v>0</v>
      </c>
      <c r="F94" s="579">
        <f>SUMIFS(Пр.12!I$10:I$1559,Пр.12!$D$10:$D$1559,C94)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SUMIFS(Пр.12!G$10:G$1559,Пр.12!$D$10:$D$1559,C95)</f>
        <v>0</v>
      </c>
      <c r="E95" s="596">
        <f>SUMIFS(Пр.12!H$10:H$1559,Пр.12!$D$10:$D$1559,C95)</f>
        <v>0</v>
      </c>
      <c r="F95" s="579">
        <f>SUMIFS(Пр.12!I$10:I$1559,Пр.12!$D$10:$D$1559,C95)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427</v>
      </c>
      <c r="D96" s="715">
        <f>SUMIFS(Пр.12!G$10:G$1559,Пр.12!$D$10:$D$1559,C96)</f>
        <v>309134</v>
      </c>
      <c r="E96" s="716">
        <f>SUMIFS(Пр.12!H$10:H$1559,Пр.12!$D$10:$D$1559,C96)</f>
        <v>0</v>
      </c>
      <c r="F96" s="732">
        <f>SUMIFS(Пр.12!I$10:I$1559,Пр.12!$D$10:$D$1559,C96)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SUMIFS(Пр.12!G$10:G$1559,Пр.12!$D$10:$D$1559,C97)</f>
        <v>309134</v>
      </c>
      <c r="E97" s="712">
        <f>SUMIFS(Пр.12!H$10:H$1559,Пр.12!$D$10:$D$1559,C97)</f>
        <v>0</v>
      </c>
      <c r="F97" s="713">
        <f>SUMIFS(Пр.12!I$10:I$1559,Пр.12!$D$10:$D$1559,C97)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412</v>
      </c>
      <c r="D98" s="715">
        <f>SUMIFS(Пр.12!G$10:G$1559,Пр.12!$D$10:$D$1559,C98)</f>
        <v>240590</v>
      </c>
      <c r="E98" s="716">
        <f>SUMIFS(Пр.12!H$10:H$1559,Пр.12!$D$10:$D$1559,C98)</f>
        <v>0</v>
      </c>
      <c r="F98" s="732">
        <f>SUMIFS(Пр.12!I$10:I$1559,Пр.12!$D$10:$D$1559,C98)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SUMIFS(Пр.12!G$10:G$1559,Пр.12!$D$10:$D$1559,C99)</f>
        <v>4590</v>
      </c>
      <c r="E99" s="712">
        <f>SUMIFS(Пр.12!H$10:H$1559,Пр.12!$D$10:$D$1559,C99)</f>
        <v>0</v>
      </c>
      <c r="F99" s="713">
        <f>SUMIFS(Пр.12!I$10:I$1559,Пр.12!$D$10:$D$1559,C99)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SUMIFS(Пр.12!G$10:G$1559,Пр.12!$D$10:$D$1559,C100)</f>
        <v>36000</v>
      </c>
      <c r="E100" s="712">
        <f>SUMIFS(Пр.12!H$10:H$1559,Пр.12!$D$10:$D$1559,C100)</f>
        <v>0</v>
      </c>
      <c r="F100" s="713">
        <f>SUMIFS(Пр.12!I$10:I$1559,Пр.12!$D$10:$D$1559,C100)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SUMIFS(Пр.12!G$10:G$1559,Пр.12!$D$10:$D$1559,C101)</f>
        <v>200000</v>
      </c>
      <c r="E101" s="159">
        <f>SUMIFS(Пр.12!H$10:H$1559,Пр.12!$D$10:$D$1559,C101)</f>
        <v>0</v>
      </c>
      <c r="F101" s="159">
        <f>SUMIFS(Пр.12!I$10:I$1559,Пр.12!$D$10:$D$1559,C101)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1712</v>
      </c>
      <c r="D102" s="715">
        <f>SUMIFS(Пр.12!G$10:G$1559,Пр.12!$D$10:$D$1559,C102)</f>
        <v>0</v>
      </c>
      <c r="E102" s="716">
        <f>SUMIFS(Пр.12!H$10:H$1559,Пр.12!$D$10:$D$1559,C102)</f>
        <v>0</v>
      </c>
      <c r="F102" s="732">
        <f>SUMIFS(Пр.12!I$10:I$1559,Пр.12!$D$10:$D$1559,C102)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1713</v>
      </c>
      <c r="D103" s="724">
        <f>SUMIFS(Пр.12!G$10:G$1559,Пр.12!$D$10:$D$1559,C103)</f>
        <v>0</v>
      </c>
      <c r="E103" s="719">
        <f>SUMIFS(Пр.12!H$10:H$1559,Пр.12!$D$10:$D$1559,C103)</f>
        <v>0</v>
      </c>
      <c r="F103" s="725">
        <f>SUMIFS(Пр.12!I$10:I$1559,Пр.12!$D$10:$D$1559,C103)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SUMIFS(Пр.12!G$10:G$1559,Пр.12!$D$10:$D$1559,C104)</f>
        <v>300000</v>
      </c>
      <c r="E104" s="454">
        <f>SUMIFS(Пр.12!H$10:H$1559,Пр.12!$D$10:$D$1559,C104)</f>
        <v>0</v>
      </c>
      <c r="F104" s="668">
        <f>SUMIFS(Пр.12!I$10:I$1559,Пр.12!$D$10:$D$1559,C104)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SUMIFS(Пр.12!G$10:G$1559,Пр.12!$D$10:$D$1559,C105)</f>
        <v>0</v>
      </c>
      <c r="E105" s="459">
        <f>SUMIFS(Пр.12!H$10:H$1559,Пр.12!$D$10:$D$1559,C105)</f>
        <v>0</v>
      </c>
      <c r="F105" s="677">
        <f>SUMIFS(Пр.12!I$10:I$1559,Пр.12!$D$10:$D$1559,C105)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SUMIFS(Пр.12!G$10:G$1559,Пр.12!$D$10:$D$1559,C106)</f>
        <v>300000</v>
      </c>
      <c r="E106" s="712">
        <f>SUMIFS(Пр.12!H$10:H$1559,Пр.12!$D$10:$D$1559,C106)</f>
        <v>0</v>
      </c>
      <c r="F106" s="713">
        <f>SUMIFS(Пр.12!I$10:I$1559,Пр.12!$D$10:$D$1559,C106)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5">
        <f>SUMIFS(Пр.12!G$10:G$1559,Пр.12!$D$10:$D$1559,C107)</f>
        <v>0</v>
      </c>
      <c r="E107" s="712">
        <f>SUMIFS(Пр.12!H$10:H$1559,Пр.12!$D$10:$D$1559,C107)</f>
        <v>0</v>
      </c>
      <c r="F107" s="713">
        <f>SUMIFS(Пр.12!I$10:I$1559,Пр.12!$D$10:$D$1559,C107)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24">
        <f>SUMIFS(Пр.12!G$10:G$1559,Пр.12!$D$10:$D$1559,C108)</f>
        <v>0</v>
      </c>
      <c r="E108" s="719">
        <f>SUMIFS(Пр.12!H$10:H$1559,Пр.12!$D$10:$D$1559,C108)</f>
        <v>0</v>
      </c>
      <c r="F108" s="725">
        <f>SUMIFS(Пр.12!I$10:I$1559,Пр.12!$D$10:$D$1559,C108)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394</v>
      </c>
      <c r="D109" s="779">
        <f>SUMIFS(Пр.12!G$10:G$1559,Пр.12!$D$10:$D$1559,C109)</f>
        <v>4989527</v>
      </c>
      <c r="E109" s="780">
        <f>SUMIFS(Пр.12!H$10:H$1559,Пр.12!$D$10:$D$1559,C109)</f>
        <v>100000</v>
      </c>
      <c r="F109" s="781">
        <f>SUMIFS(Пр.12!I$10:I$1559,Пр.12!$D$10:$D$1559,C109)</f>
        <v>5089527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395</v>
      </c>
      <c r="D110" s="784">
        <f>SUMIFS(Пр.12!G$10:G$1559,Пр.12!$D$10:$D$1559,C110)</f>
        <v>270000</v>
      </c>
      <c r="E110" s="784">
        <f>SUMIFS(Пр.12!H$10:H$1559,Пр.12!$D$10:$D$1559,C110)</f>
        <v>100000</v>
      </c>
      <c r="F110" s="785">
        <f>SUMIFS(Пр.12!I$10:I$1559,Пр.12!$D$10:$D$1559,C110)</f>
        <v>370000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1792</v>
      </c>
      <c r="D111" s="788">
        <f>SUMIFS(Пр.12!G$10:G$1559,Пр.12!$D$10:$D$1559,C111)</f>
        <v>4719527</v>
      </c>
      <c r="E111" s="788">
        <f>SUMIFS(Пр.12!H$10:H$1559,Пр.12!$D$10:$D$1559,C111)</f>
        <v>0</v>
      </c>
      <c r="F111" s="789">
        <f>SUMIFS(Пр.12!I$10:I$1559,Пр.12!$D$10:$D$1559,C111)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398</v>
      </c>
      <c r="D112" s="467">
        <f>SUMIFS(Пр.12!G$10:G$1559,Пр.12!$D$10:$D$1559,C112)</f>
        <v>2256700</v>
      </c>
      <c r="E112" s="468">
        <f>SUMIFS(Пр.12!H$10:H$1559,Пр.12!$D$10:$D$1559,C112)</f>
        <v>744946</v>
      </c>
      <c r="F112" s="705">
        <f>SUMIFS(Пр.12!I$10:I$1559,Пр.12!$D$10:$D$1559,C112)</f>
        <v>3001646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434</v>
      </c>
      <c r="D113" s="722">
        <f>SUMIFS(Пр.12!G$10:G$1559,Пр.12!$D$10:$D$1559,C113)</f>
        <v>2256700</v>
      </c>
      <c r="E113" s="723">
        <f>SUMIFS(Пр.12!H$10:H$1559,Пр.12!$D$10:$D$1559,C113)</f>
        <v>-148000</v>
      </c>
      <c r="F113" s="710">
        <f>SUMIFS(Пр.12!I$10:I$1559,Пр.12!$D$10:$D$1559,C113)</f>
        <v>2108700</v>
      </c>
    </row>
    <row r="114" spans="1:6" ht="48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24">
        <f>SUMIFS(Пр.12!G$10:G$1559,Пр.12!$D$10:$D$1559,C114)</f>
        <v>0</v>
      </c>
      <c r="E114" s="719">
        <f>SUMIFS(Пр.12!H$10:H$1559,Пр.12!$D$10:$D$1559,C114)</f>
        <v>892946</v>
      </c>
      <c r="F114" s="725">
        <f>SUMIFS(Пр.12!I$10:I$1559,Пр.12!$D$10:$D$1559,C114)</f>
        <v>892946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SUMIFS(Пр.12!G$10:G$1559,Пр.12!$D$10:$D$1559,C115)</f>
        <v>850000</v>
      </c>
      <c r="E115" s="454">
        <f>SUMIFS(Пр.12!H$10:H$1559,Пр.12!$D$10:$D$1559,C115)</f>
        <v>0</v>
      </c>
      <c r="F115" s="668">
        <f>SUMIFS(Пр.12!I$10:I$1559,Пр.12!$D$10:$D$1559,C115)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SUMIFS(Пр.12!G$10:G$1559,Пр.12!$D$10:$D$1559,C116)</f>
        <v>850000</v>
      </c>
      <c r="E116" s="459">
        <f>SUMIFS(Пр.12!H$10:H$1559,Пр.12!$D$10:$D$1559,C116)</f>
        <v>0</v>
      </c>
      <c r="F116" s="677">
        <f>SUMIFS(Пр.12!I$10:I$1559,Пр.12!$D$10:$D$1559,C116)</f>
        <v>850000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SUMIFS(Пр.12!G$10:G$1559,Пр.12!$D$10:$D$1559,C117)</f>
        <v>0</v>
      </c>
      <c r="E117" s="461">
        <f>SUMIFS(Пр.12!H$10:H$1559,Пр.12!$D$10:$D$1559,C117)</f>
        <v>0</v>
      </c>
      <c r="F117" s="663">
        <f>SUMIFS(Пр.12!I$10:I$1559,Пр.12!$D$10:$D$1559,C117)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SUMIFS(Пр.12!G$10:G$1559,Пр.12!$D$10:$D$1559,C118)</f>
        <v>156000</v>
      </c>
      <c r="E118" s="454">
        <f>SUMIFS(Пр.12!H$10:H$1559,Пр.12!$D$10:$D$1559,C118)</f>
        <v>0</v>
      </c>
      <c r="F118" s="669">
        <f>SUMIFS(Пр.12!I$10:I$1559,Пр.12!$D$10:$D$1559,C118)</f>
        <v>156000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SUMIFS(Пр.12!G$10:G$1559,Пр.12!$D$10:$D$1559,C119)</f>
        <v>156000</v>
      </c>
      <c r="E119" s="512">
        <f>SUMIFS(Пр.12!H$10:H$1559,Пр.12!$D$10:$D$1559,C119)</f>
        <v>0</v>
      </c>
      <c r="F119" s="667">
        <f>SUMIFS(Пр.12!I$10:I$1559,Пр.12!$D$10:$D$1559,C119)</f>
        <v>156000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SUMIFS(Пр.12!G$10:G$1559,Пр.12!$D$10:$D$1559,C120)</f>
        <v>20255130</v>
      </c>
      <c r="E120" s="454">
        <f>SUMIFS(Пр.12!H$10:H$1559,Пр.12!$D$10:$D$1559,C120)</f>
        <v>0</v>
      </c>
      <c r="F120" s="668">
        <f>SUMIFS(Пр.12!I$10:I$1559,Пр.12!$D$10:$D$1559,C120)</f>
        <v>20255130</v>
      </c>
    </row>
    <row r="121" spans="1:6" ht="48" thickBot="1" x14ac:dyDescent="0.3">
      <c r="A121" s="170" t="s">
        <v>698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616</v>
      </c>
      <c r="D121" s="722">
        <f>SUMIFS(Пр.12!G$10:G$1559,Пр.12!$D$10:$D$1559,C121)</f>
        <v>20255130</v>
      </c>
      <c r="E121" s="723">
        <f>SUMIFS(Пр.12!H$10:H$1559,Пр.12!$D$10:$D$1559,C121)</f>
        <v>0</v>
      </c>
      <c r="F121" s="710">
        <f>SUMIFS(Пр.12!I$10:I$1559,Пр.12!$D$10:$D$1559,C121)</f>
        <v>20255130</v>
      </c>
    </row>
    <row r="122" spans="1:6" ht="32.25" hidden="1" thickBot="1" x14ac:dyDescent="0.3">
      <c r="A122" s="170" t="s">
        <v>1472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1355</v>
      </c>
      <c r="D122" s="724">
        <f>SUMIFS(Пр.12!G$10:G$1559,Пр.12!$D$10:$D$1559,C122)</f>
        <v>0</v>
      </c>
      <c r="E122" s="719">
        <f>SUMIFS(Пр.12!H$10:H$1559,Пр.12!$D$10:$D$1559,C122)</f>
        <v>0</v>
      </c>
      <c r="F122" s="713">
        <f>SUMIFS(Пр.12!I$10:I$1559,Пр.12!$D$10:$D$1559,C122)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SUMIFS(Пр.12!G$10:G$1559,Пр.12!$D$10:$D$1559,C123)</f>
        <v>0</v>
      </c>
      <c r="E123" s="454">
        <f>SUMIFS(Пр.12!H$10:H$1559,Пр.12!$D$10:$D$1559,C123)</f>
        <v>0</v>
      </c>
      <c r="F123" s="577">
        <f>SUMIFS(Пр.12!I$10:I$1559,Пр.12!$D$10:$D$1559,C123)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SUMIFS(Пр.12!G$10:G$1559,Пр.12!$D$10:$D$1559,C124)</f>
        <v>0</v>
      </c>
      <c r="E124" s="459">
        <f>SUMIFS(Пр.12!H$10:H$1559,Пр.12!$D$10:$D$1559,C124)</f>
        <v>0</v>
      </c>
      <c r="F124" s="579">
        <f>SUMIFS(Пр.12!I$10:I$1559,Пр.12!$D$10:$D$1559,C124)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SUMIFS(Пр.12!G$10:G$1559,Пр.12!$D$10:$D$1559,C125)</f>
        <v>0</v>
      </c>
      <c r="E125" s="596">
        <f>SUMIFS(Пр.12!H$10:H$1559,Пр.12!$D$10:$D$1559,C125)</f>
        <v>0</v>
      </c>
      <c r="F125" s="579">
        <f>SUMIFS(Пр.12!I$10:I$1559,Пр.12!$D$10:$D$1559,C125)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709</v>
      </c>
      <c r="D126" s="179">
        <f>SUMIFS(Пр.12!G$10:G$1559,Пр.12!$D$10:$D$1559,C126)</f>
        <v>0</v>
      </c>
      <c r="E126" s="596">
        <f>SUMIFS(Пр.12!H$10:H$1559,Пр.12!$D$10:$D$1559,C126)</f>
        <v>0</v>
      </c>
      <c r="F126" s="578">
        <f>SUMIFS(Пр.12!I$10:I$1559,Пр.12!$D$10:$D$1559,C126)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SUMIFS(Пр.12!G$10:G$1559,Пр.12!$D$10:$D$1559,C127)</f>
        <v>0</v>
      </c>
      <c r="E127" s="596">
        <f>SUMIFS(Пр.12!H$10:H$1559,Пр.12!$D$10:$D$1559,C127)</f>
        <v>0</v>
      </c>
      <c r="F127" s="579">
        <f>SUMIFS(Пр.12!I$10:I$1559,Пр.12!$D$10:$D$1559,C127)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SUMIFS(Пр.12!G$10:G$1559,Пр.12!$D$10:$D$1559,C128)</f>
        <v>0</v>
      </c>
      <c r="E128" s="596">
        <f>SUMIFS(Пр.12!H$10:H$1559,Пр.12!$D$10:$D$1559,C128)</f>
        <v>0</v>
      </c>
      <c r="F128" s="579">
        <f>SUMIFS(Пр.12!I$10:I$1559,Пр.12!$D$10:$D$1559,C128)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SUMIFS(Пр.12!G$10:G$1559,Пр.12!$D$10:$D$1559,C129)</f>
        <v>0</v>
      </c>
      <c r="E129" s="596">
        <f>SUMIFS(Пр.12!H$10:H$1559,Пр.12!$D$10:$D$1559,C129)</f>
        <v>0</v>
      </c>
      <c r="F129" s="579">
        <f>SUMIFS(Пр.12!I$10:I$1559,Пр.12!$D$10:$D$1559,C129)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1358</v>
      </c>
      <c r="D130" s="587">
        <f>SUMIFS(Пр.12!G$10:G$1559,Пр.12!$D$10:$D$1559,C130)</f>
        <v>0</v>
      </c>
      <c r="E130" s="461">
        <f>SUMIFS(Пр.12!H$10:H$1559,Пр.12!$D$10:$D$1559,C130)</f>
        <v>0</v>
      </c>
      <c r="F130" s="663">
        <f>SUMIFS(Пр.12!I$10:I$1559,Пр.12!$D$10:$D$1559,C130)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SUMIFS(Пр.12!G$10:G$1559,Пр.12!$D$10:$D$1559,C131)</f>
        <v>64664694</v>
      </c>
      <c r="E131" s="454">
        <f>SUMIFS(Пр.12!H$10:H$1559,Пр.12!$D$10:$D$1559,C131)</f>
        <v>6619394</v>
      </c>
      <c r="F131" s="668">
        <f>SUMIFS(Пр.12!I$10:I$1559,Пр.12!$D$10:$D$1559,C131)</f>
        <v>71284088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720</v>
      </c>
      <c r="D132" s="708">
        <f>SUMIFS(Пр.12!G$10:G$1559,Пр.12!$D$10:$D$1559,C132)</f>
        <v>656864</v>
      </c>
      <c r="E132" s="709">
        <f>SUMIFS(Пр.12!H$10:H$1559,Пр.12!$D$10:$D$1559,C132)</f>
        <v>0</v>
      </c>
      <c r="F132" s="710">
        <f>SUMIFS(Пр.12!I$10:I$1559,Пр.12!$D$10:$D$1559,C132)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SUMIFS(Пр.12!G$10:G$1559,Пр.12!$D$10:$D$1559,C133)</f>
        <v>656864</v>
      </c>
      <c r="E133" s="712">
        <f>SUMIFS(Пр.12!H$10:H$1559,Пр.12!$D$10:$D$1559,C133)</f>
        <v>0</v>
      </c>
      <c r="F133" s="713">
        <f>SUMIFS(Пр.12!I$10:I$1559,Пр.12!$D$10:$D$1559,C133)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5">
        <f>SUMIFS(Пр.12!G$10:G$1559,Пр.12!$D$10:$D$1559,C134)</f>
        <v>49201205</v>
      </c>
      <c r="E134" s="716">
        <f>SUMIFS(Пр.12!H$10:H$1559,Пр.12!$D$10:$D$1559,C134)</f>
        <v>6419394</v>
      </c>
      <c r="F134" s="713">
        <f>SUMIFS(Пр.12!I$10:I$1559,Пр.12!$D$10:$D$1559,C134)</f>
        <v>55620599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SUMIFS(Пр.12!G$10:G$1559,Пр.12!$D$10:$D$1559,C135)</f>
        <v>20022824</v>
      </c>
      <c r="E135" s="712">
        <f>SUMIFS(Пр.12!H$10:H$1559,Пр.12!$D$10:$D$1559,C135)</f>
        <v>-2664627</v>
      </c>
      <c r="F135" s="713">
        <f>SUMIFS(Пр.12!I$10:I$1559,Пр.12!$D$10:$D$1559,C135)</f>
        <v>17358197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SUMIFS(Пр.12!G$10:G$1559,Пр.12!$D$10:$D$1559,C136)</f>
        <v>4571404</v>
      </c>
      <c r="E136" s="712">
        <f>SUMIFS(Пр.12!H$10:H$1559,Пр.12!$D$10:$D$1559,C136)</f>
        <v>2203763</v>
      </c>
      <c r="F136" s="713">
        <f>SUMIFS(Пр.12!I$10:I$1559,Пр.12!$D$10:$D$1559,C136)</f>
        <v>6775167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SUMIFS(Пр.12!G$10:G$1559,Пр.12!$D$10:$D$1559,C137)</f>
        <v>0</v>
      </c>
      <c r="E137" s="712">
        <f>SUMIFS(Пр.12!H$10:H$1559,Пр.12!$D$10:$D$1559,C137)</f>
        <v>0</v>
      </c>
      <c r="F137" s="713">
        <f>SUMIFS(Пр.12!I$10:I$1559,Пр.12!$D$10:$D$1559,C137)</f>
        <v>0</v>
      </c>
    </row>
    <row r="138" spans="1:6" ht="48" thickBot="1" x14ac:dyDescent="0.3">
      <c r="A138" s="170"/>
      <c r="B138" s="711" t="str">
        <f>IF(C138&gt;0,VLOOKUP(C138,Программа!A$2:B$5112,2))</f>
        <v>Реализация мероприятий Губернаторского прпоекта "Решаем вместе" по  благоустройству территории городского поселения Тутаев</v>
      </c>
      <c r="C138" s="176" t="s">
        <v>1899</v>
      </c>
      <c r="D138" s="159">
        <f>SUMIFS(Пр.12!G$10:G$1559,Пр.12!$D$10:$D$1559,C138)</f>
        <v>24606977</v>
      </c>
      <c r="E138" s="712">
        <f>SUMIFS(Пр.12!H$10:H$1559,Пр.12!$D$10:$D$1559,C138)</f>
        <v>6880258</v>
      </c>
      <c r="F138" s="713">
        <f>SUMIFS(Пр.12!I$10:I$1559,Пр.12!$D$10:$D$1559,C138)</f>
        <v>31487235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1621</v>
      </c>
      <c r="D139" s="159">
        <f>SUMIFS(Пр.12!G$10:G$1559,Пр.12!$D$10:$D$1559,C139)</f>
        <v>13114777</v>
      </c>
      <c r="E139" s="716">
        <f>SUMIFS(Пр.12!H$10:H$1559,Пр.12!$D$10:$D$1559,C139)</f>
        <v>0</v>
      </c>
      <c r="F139" s="713">
        <f>SUMIFS(Пр.12!I$10:I$1559,Пр.12!$D$10:$D$1559,C139)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1622</v>
      </c>
      <c r="D140" s="159">
        <f>SUMIFS(Пр.12!G$10:G$1559,Пр.12!$D$10:$D$1559,C140)</f>
        <v>13114777</v>
      </c>
      <c r="E140" s="712">
        <f>SUMIFS(Пр.12!H$10:H$1559,Пр.12!$D$10:$D$1559,C140)</f>
        <v>0</v>
      </c>
      <c r="F140" s="713">
        <f>SUMIFS(Пр.12!I$10:I$1559,Пр.12!$D$10:$D$1559,C140)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1623</v>
      </c>
      <c r="D141" s="159">
        <f>SUMIFS(Пр.12!G$10:G$1559,Пр.12!$D$10:$D$1559,C141)</f>
        <v>1691848</v>
      </c>
      <c r="E141" s="716">
        <f>SUMIFS(Пр.12!H$10:H$1559,Пр.12!$D$10:$D$1559,C141)</f>
        <v>200000</v>
      </c>
      <c r="F141" s="713">
        <f>SUMIFS(Пр.12!I$10:I$1559,Пр.12!$D$10:$D$1559,C141)</f>
        <v>1891848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1624</v>
      </c>
      <c r="D142" s="159">
        <f>SUMIFS(Пр.12!G$10:G$1559,Пр.12!$D$10:$D$1559,C142)</f>
        <v>1691848</v>
      </c>
      <c r="E142" s="719">
        <f>SUMIFS(Пр.12!H$10:H$1559,Пр.12!$D$10:$D$1559,C142)</f>
        <v>200000</v>
      </c>
      <c r="F142" s="713">
        <f>SUMIFS(Пр.12!I$10:I$1559,Пр.12!$D$10:$D$1559,C142)</f>
        <v>1891848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SUMIFS(Пр.12!G$10:G$1559,Пр.12!$D$10:$D$1559,C143)</f>
        <v>0</v>
      </c>
      <c r="E143" s="454">
        <f>SUMIFS(Пр.12!H$10:H$1559,Пр.12!$D$10:$D$1559,C143)</f>
        <v>0</v>
      </c>
      <c r="F143" s="577">
        <f>SUMIFS(Пр.12!I$10:I$1559,Пр.12!$D$10:$D$1559,C143)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732</v>
      </c>
      <c r="D144" s="591">
        <f>SUMIFS(Пр.12!G$10:G$1559,Пр.12!$D$10:$D$1559,C144)</f>
        <v>0</v>
      </c>
      <c r="E144" s="512">
        <f>SUMIFS(Пр.12!H$10:H$1559,Пр.12!$D$10:$D$1559,C144)</f>
        <v>0</v>
      </c>
      <c r="F144" s="663">
        <f>SUMIFS(Пр.12!I$10:I$1559,Пр.12!$D$10:$D$1559,C144)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SUMIFS(Пр.12!G$10:G$1559,Пр.12!$D$10:$D$1559,C145)</f>
        <v>1400000</v>
      </c>
      <c r="E145" s="454">
        <f>SUMIFS(Пр.12!H$10:H$1559,Пр.12!$D$10:$D$1559,C145)</f>
        <v>380000</v>
      </c>
      <c r="F145" s="668">
        <f>SUMIFS(Пр.12!I$10:I$1559,Пр.12!$D$10:$D$1559,C145)</f>
        <v>1780000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SUMIFS(Пр.12!G$10:G$1559,Пр.12!$D$10:$D$1559,C146)</f>
        <v>0</v>
      </c>
      <c r="E146" s="459">
        <f>SUMIFS(Пр.12!H$10:H$1559,Пр.12!$D$10:$D$1559,C146)</f>
        <v>0</v>
      </c>
      <c r="F146" s="677">
        <f>SUMIFS(Пр.12!I$10:I$1559,Пр.12!$D$10:$D$1559,C146)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24">
        <f>SUMIFS(Пр.12!G$10:G$1559,Пр.12!$D$10:$D$1559,C147)</f>
        <v>1400000</v>
      </c>
      <c r="E147" s="719">
        <f>SUMIFS(Пр.12!H$10:H$1559,Пр.12!$D$10:$D$1559,C147)</f>
        <v>380000</v>
      </c>
      <c r="F147" s="713">
        <f>SUMIFS(Пр.12!I$10:I$1559,Пр.12!$D$10:$D$1559,C147)</f>
        <v>1780000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SUMIFS(Пр.12!G$10:G$1559,Пр.12!$D$10:$D$1559,C148)</f>
        <v>0</v>
      </c>
      <c r="E148" s="454">
        <f>SUMIFS(Пр.12!H$10:H$1559,Пр.12!$D$10:$D$1559,C148)</f>
        <v>0</v>
      </c>
      <c r="F148" s="577">
        <f>SUMIFS(Пр.12!I$10:I$1559,Пр.12!$D$10:$D$1559,C148)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SUMIFS(Пр.12!G$10:G$1559,Пр.12!$D$10:$D$1559,C149)</f>
        <v>0</v>
      </c>
      <c r="E149" s="459">
        <f>SUMIFS(Пр.12!H$10:H$1559,Пр.12!$D$10:$D$1559,C149)</f>
        <v>0</v>
      </c>
      <c r="F149" s="579">
        <f>SUMIFS(Пр.12!I$10:I$1559,Пр.12!$D$10:$D$1559,C149)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SUMIFS(Пр.12!G$10:G$1559,Пр.12!$D$10:$D$1559,C150)</f>
        <v>0</v>
      </c>
      <c r="E150" s="461">
        <f>SUMIFS(Пр.12!H$10:H$1559,Пр.12!$D$10:$D$1559,C150)</f>
        <v>0</v>
      </c>
      <c r="F150" s="579">
        <f>SUMIFS(Пр.12!I$10:I$1559,Пр.12!$D$10:$D$1559,C150)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1124</v>
      </c>
      <c r="D151" s="585">
        <f>SUMIFS(Пр.12!G$10:G$1559,Пр.12!$D$10:$D$1559,C151)</f>
        <v>0</v>
      </c>
      <c r="E151" s="454">
        <f>SUMIFS(Пр.12!H$10:H$1559,Пр.12!$D$10:$D$1559,C151)</f>
        <v>0</v>
      </c>
      <c r="F151" s="577">
        <f>SUMIFS(Пр.12!I$10:I$1559,Пр.12!$D$10:$D$1559,C151)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SUMIFS(Пр.12!G$10:G$1559,Пр.12!$D$10:$D$1559,C152)</f>
        <v>0</v>
      </c>
      <c r="E152" s="459">
        <f>SUMIFS(Пр.12!H$10:H$1559,Пр.12!$D$10:$D$1559,C152)</f>
        <v>0</v>
      </c>
      <c r="F152" s="579">
        <f>SUMIFS(Пр.12!I$10:I$1559,Пр.12!$D$10:$D$1559,C152)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SUMIFS(Пр.12!G$10:G$1559,Пр.12!$D$10:$D$1559,C153)</f>
        <v>0</v>
      </c>
      <c r="E153" s="596">
        <f>SUMIFS(Пр.12!H$10:H$1559,Пр.12!$D$10:$D$1559,C153)</f>
        <v>0</v>
      </c>
      <c r="F153" s="579">
        <f>SUMIFS(Пр.12!I$10:I$1559,Пр.12!$D$10:$D$1559,C153)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SUMIFS(Пр.12!G$10:G$1559,Пр.12!$D$10:$D$1559,C154)</f>
        <v>0</v>
      </c>
      <c r="E154" s="461">
        <f>SUMIFS(Пр.12!H$10:H$1559,Пр.12!$D$10:$D$1559,C154)</f>
        <v>0</v>
      </c>
      <c r="F154" s="663">
        <f>SUMIFS(Пр.12!I$10:I$1559,Пр.12!$D$10:$D$1559,C154)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SUMIFS(Пр.12!G$10:G$1559,Пр.12!$D$10:$D$1559,C155)</f>
        <v>114463280</v>
      </c>
      <c r="E155" s="454">
        <f>SUMIFS(Пр.12!H$10:H$1559,Пр.12!$D$10:$D$1559,C155)</f>
        <v>2288216</v>
      </c>
      <c r="F155" s="668">
        <f>SUMIFS(Пр.12!I$10:I$1559,Пр.12!$D$10:$D$1559,C155)</f>
        <v>116751496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территорий</v>
      </c>
      <c r="C156" s="293" t="s">
        <v>1248</v>
      </c>
      <c r="D156" s="722">
        <f>SUMIFS(Пр.12!G$10:G$1559,Пр.12!$D$10:$D$1559,C156)</f>
        <v>11319488</v>
      </c>
      <c r="E156" s="723">
        <f>SUMIFS(Пр.12!H$10:H$1559,Пр.12!$D$10:$D$1559,C156)</f>
        <v>-444452</v>
      </c>
      <c r="F156" s="710">
        <f>SUMIFS(Пр.12!I$10:I$1559,Пр.12!$D$10:$D$1559,C156)</f>
        <v>10875036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1249</v>
      </c>
      <c r="D157" s="159">
        <f>SUMIFS(Пр.12!G$10:G$1559,Пр.12!$D$10:$D$1559,C157)</f>
        <v>0</v>
      </c>
      <c r="E157" s="712">
        <f>SUMIFS(Пр.12!H$10:H$1559,Пр.12!$D$10:$D$1559,C157)</f>
        <v>0</v>
      </c>
      <c r="F157" s="713">
        <f>SUMIFS(Пр.12!I$10:I$1559,Пр.12!$D$10:$D$1559,C157)</f>
        <v>0</v>
      </c>
    </row>
    <row r="158" spans="1:6" ht="31.5" hidden="1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1250</v>
      </c>
      <c r="D158" s="159">
        <f>SUMIFS(Пр.12!G$10:G$1559,Пр.12!$D$10:$D$1559,C158)</f>
        <v>0</v>
      </c>
      <c r="E158" s="712">
        <f>SUMIFS(Пр.12!H$10:H$1559,Пр.12!$D$10:$D$1559,C158)</f>
        <v>0</v>
      </c>
      <c r="F158" s="713">
        <f>SUMIFS(Пр.12!I$10:I$1559,Пр.12!$D$10:$D$1559,C158)</f>
        <v>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1513</v>
      </c>
      <c r="D159" s="724">
        <f>SUMIFS(Пр.12!G$10:G$1559,Пр.12!$D$10:$D$1559,C159)</f>
        <v>103143792</v>
      </c>
      <c r="E159" s="719">
        <f>SUMIFS(Пр.12!H$10:H$1559,Пр.12!$D$10:$D$1559,C159)</f>
        <v>2732668</v>
      </c>
      <c r="F159" s="725">
        <f>SUMIFS(Пр.12!I$10:I$1559,Пр.12!$D$10:$D$1559,C159)</f>
        <v>105876460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1232</v>
      </c>
      <c r="D160" s="453">
        <f>D161</f>
        <v>200000</v>
      </c>
      <c r="E160" s="454">
        <f t="shared" ref="E160:F160" si="0">E161</f>
        <v>50000</v>
      </c>
      <c r="F160" s="668">
        <f t="shared" si="0"/>
        <v>250000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1233</v>
      </c>
      <c r="D161" s="591">
        <f>SUMIFS(Пр.12!G$10:G$1559,Пр.12!$D$10:$D$1559,C161)</f>
        <v>200000</v>
      </c>
      <c r="E161" s="512">
        <f>SUMIFS(Пр.12!H$10:H$1559,Пр.12!$D$10:$D$1559,C161)</f>
        <v>50000</v>
      </c>
      <c r="F161" s="667">
        <f>SUMIFS(Пр.12!I$10:I$1559,Пр.12!$D$10:$D$1559,C161)</f>
        <v>250000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1348</v>
      </c>
      <c r="D162" s="453">
        <f>SUMIFS(Пр.12!G$10:G$1559,Пр.12!$D$10:$D$1559,C162)</f>
        <v>70000</v>
      </c>
      <c r="E162" s="454">
        <f>SUMIFS(Пр.12!H$10:H$1559,Пр.12!$D$10:$D$1559,C162)</f>
        <v>0</v>
      </c>
      <c r="F162" s="668">
        <f>SUMIFS(Пр.12!I$10:I$1559,Пр.12!$D$10:$D$1559,C162)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1349</v>
      </c>
      <c r="D163" s="589">
        <f>SUMIFS(Пр.12!G$10:G$1559,Пр.12!$D$10:$D$1559,C163)</f>
        <v>0</v>
      </c>
      <c r="E163" s="459">
        <f>SUMIFS(Пр.12!H$10:H$1559,Пр.12!$D$10:$D$1559,C163)</f>
        <v>0</v>
      </c>
      <c r="F163" s="677">
        <f>SUMIFS(Пр.12!I$10:I$1559,Пр.12!$D$10:$D$1559,C163)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1352</v>
      </c>
      <c r="D164" s="724">
        <f>SUMIFS(Пр.12!G$10:G$1559,Пр.12!$D$10:$D$1559,C164)</f>
        <v>70000</v>
      </c>
      <c r="E164" s="719">
        <f>SUMIFS(Пр.12!H$10:H$1559,Пр.12!$D$10:$D$1559,C164)</f>
        <v>0</v>
      </c>
      <c r="F164" s="725">
        <f>SUMIFS(Пр.12!I$10:I$1559,Пр.12!$D$10:$D$1559,C164)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1537</v>
      </c>
      <c r="D165" s="453">
        <f>SUMIFS(Пр.12!G$10:G$1559,Пр.12!$D$10:$D$1559,C165)</f>
        <v>400000</v>
      </c>
      <c r="E165" s="454">
        <f>SUMIFS(Пр.12!H$10:H$1559,Пр.12!$D$10:$D$1559,C165)</f>
        <v>0</v>
      </c>
      <c r="F165" s="668">
        <f>SUMIFS(Пр.12!I$10:I$1559,Пр.12!$D$10:$D$1559,C165)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1538</v>
      </c>
      <c r="D166" s="722">
        <f>SUMIFS(Пр.12!G$10:G$1559,Пр.12!$D$10:$D$1559,C166)</f>
        <v>400000</v>
      </c>
      <c r="E166" s="723">
        <f>SUMIFS(Пр.12!H$10:H$1559,Пр.12!$D$10:$D$1559,C166)</f>
        <v>0</v>
      </c>
      <c r="F166" s="710">
        <f>SUMIFS(Пр.12!I$10:I$1559,Пр.12!$D$10:$D$1559,C166)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1539</v>
      </c>
      <c r="D167" s="591">
        <f>SUMIFS(Пр.12!G$10:G$1559,Пр.12!$D$10:$D$1559,C167)</f>
        <v>0</v>
      </c>
      <c r="E167" s="461">
        <f>SUMIFS(Пр.12!H$10:H$1559,Пр.12!$D$10:$D$1559,C167)</f>
        <v>0</v>
      </c>
      <c r="F167" s="663">
        <f>SUMIFS(Пр.12!I$10:I$1559,Пр.12!$D$10:$D$1559,C167)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1656</v>
      </c>
      <c r="D168" s="453">
        <f>SUMIFS(Пр.12!G$10:G$1559,Пр.12!$D$10:$D$1559,C168)</f>
        <v>195055337</v>
      </c>
      <c r="E168" s="597">
        <f>SUMIFS(Пр.12!H$10:H$1559,Пр.12!$D$10:$D$1559,C168)</f>
        <v>4049638</v>
      </c>
      <c r="F168" s="668">
        <f>SUMIFS(Пр.12!I$10:I$1559,Пр.12!$D$10:$D$1559,C168)</f>
        <v>199104975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1657</v>
      </c>
      <c r="D169" s="722">
        <f>SUMIFS(Пр.12!G$10:G$1559,Пр.12!$D$10:$D$1559,C169)</f>
        <v>1300000</v>
      </c>
      <c r="E169" s="723">
        <f>SUMIFS(Пр.12!H$10:H$1559,Пр.12!$D$10:$D$1559,C169)</f>
        <v>1022679</v>
      </c>
      <c r="F169" s="726">
        <f>SUMIFS(Пр.12!I$10:I$1559,Пр.12!$D$10:$D$1559,C169)</f>
        <v>2322679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1658</v>
      </c>
      <c r="D170" s="159">
        <f>SUMIFS(Пр.12!G$10:G$1559,Пр.12!$D$10:$D$1559,C170)</f>
        <v>73885080</v>
      </c>
      <c r="E170" s="159">
        <f>SUMIFS(Пр.12!H$10:H$1559,Пр.12!$D$10:$D$1559,C170)</f>
        <v>3026959</v>
      </c>
      <c r="F170" s="159">
        <f>SUMIFS(Пр.12!I$10:I$1559,Пр.12!$D$10:$D$1559,C170)</f>
        <v>76912039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1892</v>
      </c>
      <c r="D171" s="159">
        <f>SUMIFS(Пр.12!G$10:G$1559,Пр.12!$D$10:$D$1559,C171)</f>
        <v>75425257</v>
      </c>
      <c r="E171" s="159">
        <f>SUMIFS(Пр.12!H$10:H$1559,Пр.12!$D$10:$D$1559,C171)</f>
        <v>0</v>
      </c>
      <c r="F171" s="159">
        <f>SUMIFS(Пр.12!I$10:I$1559,Пр.12!$D$10:$D$1559,C171)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1659</v>
      </c>
      <c r="D172" s="724">
        <f>SUMIFS(Пр.12!G$10:G$1559,Пр.12!$D$10:$D$1559,C172)</f>
        <v>44445000</v>
      </c>
      <c r="E172" s="719">
        <f>SUMIFS(Пр.12!H$10:H$1559,Пр.12!$D$10:$D$1559,C172)</f>
        <v>0</v>
      </c>
      <c r="F172" s="725">
        <f>SUMIFS(Пр.12!I$10:I$1559,Пр.12!$D$10:$D$1559,C172)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1661</v>
      </c>
      <c r="D173" s="453">
        <f>SUMIFS(Пр.12!G$10:G$1559,Пр.12!$D$10:$D$1559,C173)</f>
        <v>5666436</v>
      </c>
      <c r="E173" s="454">
        <f>SUMIFS(Пр.12!H$10:H$1559,Пр.12!$D$10:$D$1559,C173)</f>
        <v>944670</v>
      </c>
      <c r="F173" s="668">
        <f>SUMIFS(Пр.12!I$10:I$1559,Пр.12!$D$10:$D$1559,C173)</f>
        <v>6611106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1663</v>
      </c>
      <c r="D174" s="728">
        <f>SUMIFS(Пр.12!G$10:G$1559,Пр.12!$D$10:$D$1559,C174)</f>
        <v>5666436</v>
      </c>
      <c r="E174" s="729">
        <f>SUMIFS(Пр.12!H$10:H$1559,Пр.12!$D$10:$D$1559,C174)</f>
        <v>944670</v>
      </c>
      <c r="F174" s="726">
        <f>SUMIFS(Пр.12!I$10:I$1559,Пр.12!$D$10:$D$1559,C174)</f>
        <v>6611106</v>
      </c>
    </row>
    <row r="175" spans="1:6" s="154" customFormat="1" ht="48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1728</v>
      </c>
      <c r="D175" s="453">
        <f>SUMIFS(Пр.12!G$10:G$1559,Пр.12!$D$10:$D$1559,C175)</f>
        <v>352000</v>
      </c>
      <c r="E175" s="454">
        <f>SUMIFS(Пр.12!H$10:H$1559,Пр.12!$D$10:$D$1559,C175)</f>
        <v>-315000</v>
      </c>
      <c r="F175" s="668">
        <f>SUMIFS(Пр.12!I$10:I$1559,Пр.12!$D$10:$D$1559,C175)</f>
        <v>37000</v>
      </c>
    </row>
    <row r="176" spans="1:6" ht="32.25" thickBot="1" x14ac:dyDescent="0.3">
      <c r="A176" s="170"/>
      <c r="B176" s="727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1729</v>
      </c>
      <c r="D176" s="728">
        <f>SUMIFS(Пр.12!G$10:G$1559,Пр.12!$D$10:$D$1559,C176)</f>
        <v>352000</v>
      </c>
      <c r="E176" s="729">
        <f>SUMIFS(Пр.12!H$10:H$1559,Пр.12!$D$10:$D$1559,C176)</f>
        <v>-315000</v>
      </c>
      <c r="F176" s="726">
        <f>SUMIFS(Пр.12!I$10:I$1559,Пр.12!$D$10:$D$1559,C176)</f>
        <v>37000</v>
      </c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2367593904.2200003</v>
      </c>
      <c r="E177" s="454">
        <f>E143+E131+E123+E120+E118+E115+E112+E109+E104+E92+E82+E77+E75+E60+E58+E46+E27+E10+E145+E148+E151+E155+E160+E162+E165+E168+E175+E173</f>
        <v>27939906</v>
      </c>
      <c r="F177" s="454">
        <f t="shared" ref="F177" si="1">F143+F131+F123+F120+F118+F115+F112+F109+F104+F92+F82+F77+F75+F60+F58+F46+F27+F10+F145+F148+F151+F155+F160+F162+F165+F168+F175+F173</f>
        <v>2395533810.2200003</v>
      </c>
    </row>
    <row r="178" spans="1:6" ht="16.5" thickBot="1" x14ac:dyDescent="0.25">
      <c r="A178" s="169" t="s">
        <v>733</v>
      </c>
      <c r="B178" s="680" t="str">
        <f>IF(C178&gt;0,VLOOKUP(C178,Программа!A$2:B$5112,2))</f>
        <v>Непрограммные расходы бюджета</v>
      </c>
      <c r="C178" s="681" t="s">
        <v>383</v>
      </c>
      <c r="D178" s="682">
        <f>SUMIFS(Пр.12!G$10:G$1559,Пр.12!$D$10:$D$1559,C178)</f>
        <v>168229820</v>
      </c>
      <c r="E178" s="683">
        <f>SUMIFS(Пр.12!H$10:H$1559,Пр.12!$D$10:$D$1559,C178)</f>
        <v>-1495039</v>
      </c>
      <c r="F178" s="684">
        <f>SUMIFS(Пр.12!I$10:I$1559,Пр.12!$D$10:$D$1559,C178)</f>
        <v>166734781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1808</v>
      </c>
      <c r="D179" s="682">
        <f>SUMIFS(Пр.12!G$10:G$1559,Пр.12!$D$10:$D$1559,C179)</f>
        <v>0</v>
      </c>
      <c r="E179" s="683">
        <f>SUMIFS(Пр.12!H$10:H$1559,Пр.12!$D$10:$D$1559,C179)</f>
        <v>0</v>
      </c>
      <c r="F179" s="684">
        <f>SUMIFS(Пр.12!I$10:I$1559,Пр.12!$D$10:$D$1559,C179)</f>
        <v>0</v>
      </c>
    </row>
    <row r="180" spans="1:6" ht="16.5" thickBot="1" x14ac:dyDescent="0.25">
      <c r="A180" s="169" t="s">
        <v>734</v>
      </c>
      <c r="B180" s="685" t="str">
        <f>IF(C180&gt;0,VLOOKUP(C180,Программа!A$2:B$5112,2))</f>
        <v>Межбюджетные трансферты  поселениям района</v>
      </c>
      <c r="C180" s="686" t="s">
        <v>552</v>
      </c>
      <c r="D180" s="687">
        <f>SUMIFS(Пр.12!G$10:G$1559,Пр.12!$D$10:$D$1559,C180)</f>
        <v>6956576</v>
      </c>
      <c r="E180" s="466">
        <f>SUMIFS(Пр.12!H$10:H$1559,Пр.12!$D$10:$D$1559,C180)</f>
        <v>0</v>
      </c>
      <c r="F180" s="688">
        <f>SUMIFS(Пр.12!I$10:I$1559,Пр.12!$D$10:$D$1559,C180)</f>
        <v>6956576</v>
      </c>
    </row>
    <row r="181" spans="1:6" s="154" customFormat="1" ht="16.5" thickBot="1" x14ac:dyDescent="0.25">
      <c r="A181" s="377"/>
      <c r="B181" s="661" t="s">
        <v>735</v>
      </c>
      <c r="C181" s="679"/>
      <c r="D181" s="662">
        <f>D177+D178+D180+D179</f>
        <v>2542780300.2200003</v>
      </c>
      <c r="E181" s="662">
        <f t="shared" ref="E181" si="2">E177+E178+E180+E179</f>
        <v>26444867</v>
      </c>
      <c r="F181" s="662">
        <f>F177+F178+F180+F179</f>
        <v>2569225167.2200003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1" manualBreakCount="1">
    <brk id="56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2" t="s">
        <v>1640</v>
      </c>
      <c r="C1" s="1012"/>
      <c r="D1" s="1013"/>
      <c r="E1" s="1013"/>
      <c r="F1" s="1012"/>
      <c r="G1" s="1013"/>
      <c r="H1" s="1013"/>
      <c r="I1" s="1012"/>
      <c r="J1" s="427"/>
    </row>
    <row r="2" spans="1:10" x14ac:dyDescent="0.2">
      <c r="B2" s="1012" t="s">
        <v>1</v>
      </c>
      <c r="C2" s="1012"/>
      <c r="D2" s="1013"/>
      <c r="E2" s="1013"/>
      <c r="F2" s="1012"/>
      <c r="G2" s="1013"/>
      <c r="H2" s="1013"/>
      <c r="I2" s="1012"/>
      <c r="J2" s="427"/>
    </row>
    <row r="3" spans="1:10" x14ac:dyDescent="0.2">
      <c r="B3" s="1012" t="s">
        <v>2</v>
      </c>
      <c r="C3" s="1012"/>
      <c r="D3" s="1013"/>
      <c r="E3" s="1013"/>
      <c r="F3" s="1012"/>
      <c r="G3" s="1013"/>
      <c r="H3" s="1013"/>
      <c r="I3" s="1012"/>
      <c r="J3" s="427"/>
    </row>
    <row r="4" spans="1:10" x14ac:dyDescent="0.2">
      <c r="B4" s="1012" t="s">
        <v>1931</v>
      </c>
      <c r="C4" s="1012"/>
      <c r="D4" s="1013"/>
      <c r="E4" s="1013"/>
      <c r="F4" s="1012"/>
      <c r="G4" s="1013"/>
      <c r="H4" s="1013"/>
      <c r="I4" s="1012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4" t="s">
        <v>1833</v>
      </c>
      <c r="C6" s="1014"/>
      <c r="D6" s="908"/>
      <c r="E6" s="908"/>
      <c r="F6" s="1014"/>
      <c r="G6" s="908"/>
      <c r="H6" s="908"/>
      <c r="I6" s="1014"/>
    </row>
    <row r="7" spans="1:10" ht="16.5" thickBot="1" x14ac:dyDescent="0.25">
      <c r="A7" s="157"/>
      <c r="B7" s="484"/>
      <c r="C7" s="484"/>
      <c r="D7" s="157"/>
      <c r="E7" s="1011"/>
      <c r="F7" s="1011"/>
      <c r="G7" s="1011"/>
      <c r="H7" s="1011"/>
      <c r="I7" s="1011"/>
    </row>
    <row r="8" spans="1:10" ht="16.5" thickBot="1" x14ac:dyDescent="0.25">
      <c r="A8" s="1015" t="s">
        <v>649</v>
      </c>
      <c r="B8" s="997" t="s">
        <v>650</v>
      </c>
      <c r="C8" s="992" t="s">
        <v>651</v>
      </c>
      <c r="D8" s="994" t="s">
        <v>1267</v>
      </c>
      <c r="E8" s="1009" t="s">
        <v>736</v>
      </c>
      <c r="F8" s="1007" t="s">
        <v>1618</v>
      </c>
      <c r="G8" s="994" t="s">
        <v>1618</v>
      </c>
      <c r="H8" s="1009" t="s">
        <v>736</v>
      </c>
      <c r="I8" s="1007" t="s">
        <v>1834</v>
      </c>
    </row>
    <row r="9" spans="1:10" ht="16.5" thickBot="1" x14ac:dyDescent="0.25">
      <c r="A9" s="1015"/>
      <c r="B9" s="998"/>
      <c r="C9" s="1016"/>
      <c r="D9" s="995"/>
      <c r="E9" s="1010"/>
      <c r="F9" s="1008"/>
      <c r="G9" s="995"/>
      <c r="H9" s="1010"/>
      <c r="I9" s="1008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470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737</v>
      </c>
      <c r="B11" s="885" t="str">
        <f>IF(C11&gt;0,VLOOKUP(C11,Программа!A$2:B$5112,2))</f>
        <v>Ведомственная целевая программа «Молодежь»</v>
      </c>
      <c r="C11" s="892" t="s">
        <v>573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1685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568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1669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441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664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443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1674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460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450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520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1263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1522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1523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600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739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631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412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390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398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434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402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500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610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1355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709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711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718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723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1621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1622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1623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1624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732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1106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1229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16.5" thickBot="1" x14ac:dyDescent="0.25">
      <c r="B141" s="479" t="str">
        <f>IF(C141&gt;0,VLOOKUP(C141,Программа!A$2:B$5112,2))</f>
        <v>Повышение уровня благоустройства территорий</v>
      </c>
      <c r="C141" s="423" t="s">
        <v>1248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1249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1250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1512</v>
      </c>
      <c r="C144" s="172" t="s">
        <v>1513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1232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1233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1348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1349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1352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1537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1538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1539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1656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1657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1658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1659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1661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1663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735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1837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1528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1835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743</v>
      </c>
      <c r="B9" s="1017"/>
      <c r="C9" s="903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activeCell="E27" sqref="E27"/>
    </sheetView>
  </sheetViews>
  <sheetFormatPr defaultColWidth="9.140625" defaultRowHeight="12.75" x14ac:dyDescent="0.2"/>
  <cols>
    <col min="1" max="1" width="53.5703125" style="278" customWidth="1"/>
    <col min="2" max="2" width="16.140625" style="278" customWidth="1"/>
    <col min="3" max="3" width="12.7109375" style="278" customWidth="1"/>
    <col min="4" max="4" width="16.7109375" style="278" customWidth="1"/>
    <col min="5" max="16384" width="9.140625" style="278"/>
  </cols>
  <sheetData>
    <row r="1" spans="1:4" ht="15.75" x14ac:dyDescent="0.25">
      <c r="A1" s="906" t="s">
        <v>312</v>
      </c>
      <c r="B1" s="906"/>
      <c r="C1" s="906"/>
      <c r="D1" s="906"/>
    </row>
    <row r="2" spans="1:4" ht="15.75" x14ac:dyDescent="0.25">
      <c r="A2" s="906" t="s">
        <v>1</v>
      </c>
      <c r="B2" s="906"/>
      <c r="C2" s="906"/>
      <c r="D2" s="906"/>
    </row>
    <row r="3" spans="1:4" ht="15.75" x14ac:dyDescent="0.25">
      <c r="A3" s="906" t="s">
        <v>2</v>
      </c>
      <c r="B3" s="906"/>
      <c r="C3" s="906"/>
      <c r="D3" s="906"/>
    </row>
    <row r="4" spans="1:4" ht="15.75" x14ac:dyDescent="0.25">
      <c r="A4" s="906" t="s">
        <v>1931</v>
      </c>
      <c r="B4" s="906"/>
      <c r="C4" s="906"/>
      <c r="D4" s="906"/>
    </row>
    <row r="5" spans="1:4" x14ac:dyDescent="0.2">
      <c r="A5" s="281"/>
      <c r="B5" s="281"/>
      <c r="C5" s="281"/>
      <c r="D5" s="280"/>
    </row>
    <row r="6" spans="1:4" ht="35.25" customHeight="1" x14ac:dyDescent="0.2">
      <c r="A6" s="967" t="s">
        <v>1836</v>
      </c>
      <c r="B6" s="967"/>
      <c r="C6" s="967"/>
      <c r="D6" s="967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744</v>
      </c>
      <c r="B8" s="753" t="s">
        <v>1619</v>
      </c>
      <c r="C8" s="754" t="s">
        <v>749</v>
      </c>
      <c r="D8" s="753" t="s">
        <v>1619</v>
      </c>
    </row>
    <row r="9" spans="1:4" s="366" customFormat="1" ht="38.25" customHeight="1" x14ac:dyDescent="0.25">
      <c r="A9" s="755" t="s">
        <v>1115</v>
      </c>
      <c r="B9" s="757">
        <v>360000</v>
      </c>
      <c r="C9" s="756">
        <f>SUM(C10:C13)</f>
        <v>0</v>
      </c>
      <c r="D9" s="757">
        <f>SUM(D10:D13)</f>
        <v>360000</v>
      </c>
    </row>
    <row r="10" spans="1:4" ht="13.7" customHeight="1" x14ac:dyDescent="0.25">
      <c r="A10" s="653" t="s">
        <v>745</v>
      </c>
      <c r="B10" s="287">
        <v>200000</v>
      </c>
      <c r="C10" s="751"/>
      <c r="D10" s="287">
        <v>200000</v>
      </c>
    </row>
    <row r="11" spans="1:4" ht="19.5" customHeight="1" x14ac:dyDescent="0.25">
      <c r="A11" s="653" t="s">
        <v>750</v>
      </c>
      <c r="B11" s="287">
        <v>0</v>
      </c>
      <c r="C11" s="751"/>
      <c r="D11" s="287">
        <v>0</v>
      </c>
    </row>
    <row r="12" spans="1:4" ht="13.7" customHeight="1" x14ac:dyDescent="0.25">
      <c r="A12" s="653" t="s">
        <v>748</v>
      </c>
      <c r="B12" s="287">
        <v>160000</v>
      </c>
      <c r="C12" s="751"/>
      <c r="D12" s="287">
        <v>160000</v>
      </c>
    </row>
    <row r="13" spans="1:4" ht="36" customHeight="1" thickBot="1" x14ac:dyDescent="0.3">
      <c r="A13" s="758" t="s">
        <v>746</v>
      </c>
      <c r="B13" s="761">
        <v>0</v>
      </c>
      <c r="C13" s="760"/>
      <c r="D13" s="761">
        <v>0</v>
      </c>
    </row>
    <row r="14" spans="1:4" ht="97.5" customHeight="1" x14ac:dyDescent="0.2">
      <c r="A14" s="762" t="s">
        <v>1530</v>
      </c>
      <c r="B14" s="764">
        <v>6075160</v>
      </c>
      <c r="C14" s="763">
        <f t="shared" ref="C14:D14" si="0">SUM(C15:C15)</f>
        <v>0</v>
      </c>
      <c r="D14" s="764">
        <f t="shared" si="0"/>
        <v>6075160</v>
      </c>
    </row>
    <row r="15" spans="1:4" ht="18" customHeight="1" thickBot="1" x14ac:dyDescent="0.3">
      <c r="A15" s="765" t="s">
        <v>746</v>
      </c>
      <c r="B15" s="768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1529</v>
      </c>
      <c r="B16" s="764">
        <v>421416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748</v>
      </c>
      <c r="B17" s="900">
        <v>210708</v>
      </c>
      <c r="C17" s="898"/>
      <c r="D17" s="900">
        <v>210708</v>
      </c>
    </row>
    <row r="18" spans="1:4" ht="18" customHeight="1" thickBot="1" x14ac:dyDescent="0.3">
      <c r="A18" s="770" t="s">
        <v>746</v>
      </c>
      <c r="B18" s="768">
        <v>210708</v>
      </c>
      <c r="C18" s="771">
        <v>0</v>
      </c>
      <c r="D18" s="768">
        <v>210708</v>
      </c>
    </row>
    <row r="19" spans="1:4" ht="94.5" x14ac:dyDescent="0.25">
      <c r="A19" s="755" t="s">
        <v>1945</v>
      </c>
      <c r="B19" s="757">
        <f t="shared" ref="B19:D19" si="1">SUM(B20:B23)</f>
        <v>700000</v>
      </c>
      <c r="C19" s="757">
        <f t="shared" si="1"/>
        <v>0</v>
      </c>
      <c r="D19" s="757">
        <f t="shared" si="1"/>
        <v>700000</v>
      </c>
    </row>
    <row r="20" spans="1:4" ht="13.7" customHeight="1" x14ac:dyDescent="0.25">
      <c r="A20" s="653" t="s">
        <v>745</v>
      </c>
      <c r="B20" s="287">
        <v>0</v>
      </c>
      <c r="C20" s="751"/>
      <c r="D20" s="287">
        <f>SUM(B20:C20)</f>
        <v>0</v>
      </c>
    </row>
    <row r="21" spans="1:4" ht="13.7" customHeight="1" x14ac:dyDescent="0.25">
      <c r="A21" s="653" t="s">
        <v>750</v>
      </c>
      <c r="B21" s="287">
        <v>0</v>
      </c>
      <c r="C21" s="751"/>
      <c r="D21" s="287">
        <f t="shared" ref="D21:D23" si="2">SUM(B21:C21)</f>
        <v>0</v>
      </c>
    </row>
    <row r="22" spans="1:4" ht="13.7" customHeight="1" x14ac:dyDescent="0.25">
      <c r="A22" s="653" t="s">
        <v>748</v>
      </c>
      <c r="B22" s="287">
        <v>700000</v>
      </c>
      <c r="C22" s="751"/>
      <c r="D22" s="287">
        <v>700000</v>
      </c>
    </row>
    <row r="23" spans="1:4" ht="13.7" customHeight="1" x14ac:dyDescent="0.25">
      <c r="A23" s="653" t="s">
        <v>746</v>
      </c>
      <c r="B23" s="287">
        <v>0</v>
      </c>
      <c r="C23" s="751"/>
      <c r="D23" s="287">
        <f t="shared" si="2"/>
        <v>0</v>
      </c>
    </row>
    <row r="24" spans="1:4" ht="13.5" thickBot="1" x14ac:dyDescent="0.25">
      <c r="A24" s="772" t="s">
        <v>648</v>
      </c>
      <c r="B24" s="773">
        <f>B9+B14+B16+B19</f>
        <v>7556576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1873</v>
      </c>
      <c r="C1433" s="196"/>
    </row>
    <row r="1434" spans="1:3" x14ac:dyDescent="0.2">
      <c r="A1434" s="201">
        <v>310</v>
      </c>
      <c r="B1434" s="202" t="s">
        <v>1874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1875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1876</v>
      </c>
    </row>
    <row r="1508" spans="1:2" x14ac:dyDescent="0.2">
      <c r="A1508" s="201">
        <v>1301</v>
      </c>
      <c r="B1508" s="202" t="s">
        <v>1877</v>
      </c>
    </row>
    <row r="1509" spans="1:2" x14ac:dyDescent="0.2">
      <c r="A1509" s="201">
        <v>1302</v>
      </c>
      <c r="B1509" s="202" t="s">
        <v>1878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1879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6" t="s">
        <v>149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</row>
    <row r="2" spans="1:15" ht="15.75" x14ac:dyDescent="0.25">
      <c r="A2" s="906" t="s">
        <v>1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</row>
    <row r="3" spans="1:15" ht="15.75" x14ac:dyDescent="0.25">
      <c r="A3" s="906" t="s">
        <v>2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</row>
    <row r="4" spans="1:15" ht="15.75" x14ac:dyDescent="0.25">
      <c r="A4" s="906" t="s">
        <v>1931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5"/>
      <c r="J5" s="905"/>
      <c r="K5" s="312"/>
      <c r="L5" s="312"/>
      <c r="M5" s="312"/>
      <c r="N5" s="312"/>
      <c r="O5" s="312"/>
    </row>
    <row r="6" spans="1:15" ht="57.75" customHeight="1" x14ac:dyDescent="0.2">
      <c r="A6" s="908" t="s">
        <v>1821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10"/>
      <c r="J7" s="910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11"/>
      <c r="J8" s="911"/>
      <c r="K8" s="312"/>
      <c r="L8" s="312"/>
      <c r="M8" s="312"/>
      <c r="N8" s="312"/>
      <c r="O8" s="312"/>
    </row>
    <row r="9" spans="1:15" ht="12.75" customHeight="1" x14ac:dyDescent="0.2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1596</v>
      </c>
      <c r="K9" s="909" t="s">
        <v>736</v>
      </c>
      <c r="L9" s="907" t="s">
        <v>1596</v>
      </c>
      <c r="M9" s="909" t="s">
        <v>1820</v>
      </c>
      <c r="N9" s="913" t="s">
        <v>736</v>
      </c>
      <c r="O9" s="907" t="s">
        <v>1820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9"/>
      <c r="J10" s="909"/>
      <c r="K10" s="909"/>
      <c r="L10" s="907"/>
      <c r="M10" s="909"/>
      <c r="N10" s="914"/>
      <c r="O10" s="907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1346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1268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1838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1907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1904</v>
      </c>
      <c r="F32" s="23" t="s">
        <v>28</v>
      </c>
      <c r="G32" s="24" t="s">
        <v>17</v>
      </c>
      <c r="H32" s="24" t="s">
        <v>46</v>
      </c>
      <c r="I32" s="896" t="s">
        <v>1891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1269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1269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1269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1562</v>
      </c>
      <c r="H52" s="29" t="s">
        <v>1269</v>
      </c>
      <c r="I52" s="35" t="s">
        <v>430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1269</v>
      </c>
      <c r="I53" s="333" t="s">
        <v>1274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1626</v>
      </c>
      <c r="E54" s="23" t="s">
        <v>1627</v>
      </c>
      <c r="F54" s="23" t="s">
        <v>28</v>
      </c>
      <c r="G54" s="29" t="s">
        <v>17</v>
      </c>
      <c r="H54" s="29" t="s">
        <v>1269</v>
      </c>
      <c r="I54" s="35" t="s">
        <v>1628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1269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1272</v>
      </c>
      <c r="H56" s="29" t="s">
        <v>1269</v>
      </c>
      <c r="I56" s="30" t="s">
        <v>1271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1270</v>
      </c>
      <c r="H57" s="29" t="s">
        <v>1269</v>
      </c>
      <c r="I57" s="30" t="s">
        <v>1273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1626</v>
      </c>
      <c r="E58" s="23" t="s">
        <v>1701</v>
      </c>
      <c r="F58" s="23" t="s">
        <v>28</v>
      </c>
      <c r="G58" s="649" t="s">
        <v>17</v>
      </c>
      <c r="H58" s="29" t="s">
        <v>1269</v>
      </c>
      <c r="I58" s="334" t="s">
        <v>1870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1269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1277</v>
      </c>
      <c r="F60" s="320" t="s">
        <v>28</v>
      </c>
      <c r="G60" s="332" t="s">
        <v>17</v>
      </c>
      <c r="H60" s="332" t="s">
        <v>1269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1269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1269</v>
      </c>
      <c r="I62" s="309" t="s">
        <v>1236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1269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1269</v>
      </c>
      <c r="I64" s="309" t="s">
        <v>1241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1269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1269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1269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1269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1269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1269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1269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1269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1269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1269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1269</v>
      </c>
      <c r="I75" s="309" t="s">
        <v>1862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1269</v>
      </c>
      <c r="I76" s="309" t="s">
        <v>1861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1269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1269</v>
      </c>
      <c r="I78" s="309" t="s">
        <v>1856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1269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1269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1269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1269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1269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1238</v>
      </c>
      <c r="H84" s="29" t="s">
        <v>1269</v>
      </c>
      <c r="I84" s="18" t="s">
        <v>1635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1239</v>
      </c>
      <c r="H85" s="29" t="s">
        <v>1269</v>
      </c>
      <c r="I85" s="18" t="s">
        <v>1278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1803</v>
      </c>
      <c r="H86" s="29" t="s">
        <v>1269</v>
      </c>
      <c r="I86" s="807" t="s">
        <v>1857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1777</v>
      </c>
      <c r="H87" s="29" t="s">
        <v>1269</v>
      </c>
      <c r="I87" s="816" t="s">
        <v>1778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1237</v>
      </c>
      <c r="F88" s="320" t="s">
        <v>28</v>
      </c>
      <c r="G88" s="332" t="s">
        <v>17</v>
      </c>
      <c r="H88" s="332" t="s">
        <v>1269</v>
      </c>
      <c r="I88" s="309" t="s">
        <v>1634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1269</v>
      </c>
      <c r="I89" s="18" t="s">
        <v>1164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1269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1269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1863</v>
      </c>
      <c r="F92" s="320" t="s">
        <v>28</v>
      </c>
      <c r="G92" s="332" t="s">
        <v>17</v>
      </c>
      <c r="H92" s="332" t="s">
        <v>1269</v>
      </c>
      <c r="I92" s="309" t="s">
        <v>1865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1269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1269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1269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1779</v>
      </c>
      <c r="F96" s="23" t="s">
        <v>28</v>
      </c>
      <c r="G96" s="29" t="s">
        <v>17</v>
      </c>
      <c r="H96" s="29" t="s">
        <v>1269</v>
      </c>
      <c r="I96" s="309" t="s">
        <v>1780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1781</v>
      </c>
      <c r="F97" s="23" t="s">
        <v>28</v>
      </c>
      <c r="G97" s="29" t="s">
        <v>17</v>
      </c>
      <c r="H97" s="29" t="s">
        <v>1269</v>
      </c>
      <c r="I97" s="807" t="s">
        <v>1799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1804</v>
      </c>
      <c r="F98" s="23" t="s">
        <v>28</v>
      </c>
      <c r="G98" s="29" t="s">
        <v>17</v>
      </c>
      <c r="H98" s="29" t="s">
        <v>1269</v>
      </c>
      <c r="I98" s="816" t="s">
        <v>1805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1269</v>
      </c>
      <c r="I99" s="309" t="s">
        <v>1633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1153</v>
      </c>
      <c r="E100" s="832" t="s">
        <v>1858</v>
      </c>
      <c r="F100" s="832" t="s">
        <v>28</v>
      </c>
      <c r="G100" s="833" t="s">
        <v>17</v>
      </c>
      <c r="H100" s="833" t="s">
        <v>1269</v>
      </c>
      <c r="I100" s="834" t="s">
        <v>1802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1269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1275</v>
      </c>
      <c r="F102" s="31" t="s">
        <v>28</v>
      </c>
      <c r="G102" s="39" t="s">
        <v>17</v>
      </c>
      <c r="H102" s="39" t="s">
        <v>1269</v>
      </c>
      <c r="I102" s="33" t="s">
        <v>1276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1240</v>
      </c>
      <c r="F103" s="359" t="s">
        <v>28</v>
      </c>
      <c r="G103" s="360" t="s">
        <v>17</v>
      </c>
      <c r="H103" s="360" t="s">
        <v>1269</v>
      </c>
      <c r="I103" s="361" t="s">
        <v>1264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1269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1162</v>
      </c>
      <c r="E105" s="858" t="s">
        <v>129</v>
      </c>
      <c r="F105" s="858" t="s">
        <v>28</v>
      </c>
      <c r="G105" s="859" t="s">
        <v>17</v>
      </c>
      <c r="H105" s="859" t="s">
        <v>1269</v>
      </c>
      <c r="I105" s="860" t="s">
        <v>1914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1648</v>
      </c>
      <c r="H106" s="29" t="s">
        <v>1269</v>
      </c>
      <c r="I106" s="543" t="s">
        <v>1649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1650</v>
      </c>
      <c r="H107" s="29" t="s">
        <v>1269</v>
      </c>
      <c r="I107" s="543" t="s">
        <v>1651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1726</v>
      </c>
      <c r="H108" s="29" t="s">
        <v>1269</v>
      </c>
      <c r="I108" s="808" t="s">
        <v>1727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1269</v>
      </c>
      <c r="I109" s="309" t="s">
        <v>1343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1269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1269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1269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1269</v>
      </c>
      <c r="I113" s="309" t="s">
        <v>1476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1269</v>
      </c>
      <c r="I114" s="309" t="s">
        <v>1477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1496</v>
      </c>
      <c r="H115" s="332" t="s">
        <v>1269</v>
      </c>
      <c r="I115" s="309" t="s">
        <v>1497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1572</v>
      </c>
      <c r="H116" s="29" t="s">
        <v>1269</v>
      </c>
      <c r="I116" s="542" t="s">
        <v>1573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1269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1269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1269</v>
      </c>
      <c r="I119" s="309" t="s">
        <v>1478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1269</v>
      </c>
      <c r="I120" s="309" t="s">
        <v>1479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1269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1269</v>
      </c>
      <c r="I122" s="309" t="s">
        <v>1480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1481</v>
      </c>
      <c r="H123" s="332" t="s">
        <v>1269</v>
      </c>
      <c r="I123" s="309" t="s">
        <v>1482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1344</v>
      </c>
      <c r="H124" s="29" t="s">
        <v>1269</v>
      </c>
      <c r="I124" s="18" t="s">
        <v>1345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1503</v>
      </c>
      <c r="H125" s="29" t="s">
        <v>1269</v>
      </c>
      <c r="I125" s="542" t="s">
        <v>1504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1543</v>
      </c>
      <c r="H126" s="29" t="s">
        <v>1269</v>
      </c>
      <c r="I126" s="542" t="s">
        <v>1544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1483</v>
      </c>
      <c r="H127" s="29" t="s">
        <v>1269</v>
      </c>
      <c r="I127" s="18" t="s">
        <v>1484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1498</v>
      </c>
      <c r="H128" s="29" t="s">
        <v>1269</v>
      </c>
      <c r="I128" s="18" t="s">
        <v>1499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1505</v>
      </c>
      <c r="H129" s="29" t="s">
        <v>1269</v>
      </c>
      <c r="I129" s="542" t="s">
        <v>1506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1579</v>
      </c>
      <c r="H130" s="29" t="s">
        <v>1269</v>
      </c>
      <c r="I130" s="542" t="s">
        <v>1578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1508</v>
      </c>
      <c r="H131" s="29" t="s">
        <v>1269</v>
      </c>
      <c r="I131" s="542" t="s">
        <v>1507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1487</v>
      </c>
      <c r="H132" s="29" t="s">
        <v>1269</v>
      </c>
      <c r="I132" s="18" t="s">
        <v>1488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1489</v>
      </c>
      <c r="H133" s="29" t="s">
        <v>1269</v>
      </c>
      <c r="I133" s="542" t="s">
        <v>1490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1500</v>
      </c>
      <c r="H134" s="29" t="s">
        <v>1269</v>
      </c>
      <c r="I134" s="18" t="s">
        <v>1501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1491</v>
      </c>
      <c r="H135" s="29" t="s">
        <v>1269</v>
      </c>
      <c r="I135" s="18" t="s">
        <v>1492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1493</v>
      </c>
      <c r="H136" s="29" t="s">
        <v>1269</v>
      </c>
      <c r="I136" s="18" t="s">
        <v>1494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1652</v>
      </c>
      <c r="H137" s="29" t="s">
        <v>1269</v>
      </c>
      <c r="I137" s="309" t="s">
        <v>1653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1654</v>
      </c>
      <c r="H138" s="29" t="s">
        <v>1269</v>
      </c>
      <c r="I138" s="309" t="s">
        <v>1655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6" t="s">
        <v>1871</v>
      </c>
      <c r="B1" s="906"/>
      <c r="C1" s="906"/>
      <c r="D1" s="906"/>
      <c r="E1" s="906"/>
    </row>
    <row r="2" spans="1:5" ht="15.75" x14ac:dyDescent="0.25">
      <c r="A2" s="906" t="s">
        <v>1</v>
      </c>
      <c r="B2" s="906"/>
      <c r="C2" s="906"/>
      <c r="D2" s="906"/>
      <c r="E2" s="906"/>
    </row>
    <row r="3" spans="1:5" ht="15.75" x14ac:dyDescent="0.25">
      <c r="A3" s="906" t="s">
        <v>2</v>
      </c>
      <c r="B3" s="906"/>
      <c r="C3" s="906"/>
      <c r="D3" s="906"/>
      <c r="E3" s="906"/>
    </row>
    <row r="4" spans="1:5" ht="15.75" x14ac:dyDescent="0.25">
      <c r="A4" s="906" t="s">
        <v>1819</v>
      </c>
      <c r="B4" s="906"/>
      <c r="C4" s="906"/>
      <c r="D4" s="906"/>
      <c r="E4" s="906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7" t="s">
        <v>1872</v>
      </c>
      <c r="B6" s="967"/>
      <c r="C6" s="967"/>
      <c r="D6" s="967"/>
      <c r="E6" s="967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744</v>
      </c>
      <c r="B8" s="753" t="s">
        <v>1619</v>
      </c>
      <c r="C8" s="754" t="s">
        <v>749</v>
      </c>
      <c r="D8" s="753" t="s">
        <v>1887</v>
      </c>
      <c r="E8" s="753" t="s">
        <v>1888</v>
      </c>
    </row>
    <row r="9" spans="1:5" s="366" customFormat="1" ht="31.5" hidden="1" x14ac:dyDescent="0.25">
      <c r="A9" s="755" t="s">
        <v>1115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745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750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748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746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1884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746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1529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746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1764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745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750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748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746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648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34" workbookViewId="0">
      <selection activeCell="B150" sqref="B150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1685</v>
      </c>
      <c r="B8" s="226" t="s">
        <v>1686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1881</v>
      </c>
      <c r="B16" s="226" t="s">
        <v>1670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1531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1942</v>
      </c>
      <c r="B30" s="296" t="s">
        <v>1762</v>
      </c>
    </row>
    <row r="31" spans="1:2" x14ac:dyDescent="0.25">
      <c r="A31" s="295" t="s">
        <v>1674</v>
      </c>
      <c r="B31" s="296" t="s">
        <v>1947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1256</v>
      </c>
    </row>
    <row r="36" spans="1:2" ht="31.5" x14ac:dyDescent="0.25">
      <c r="A36" s="229" t="s">
        <v>461</v>
      </c>
      <c r="B36" s="232" t="s">
        <v>1257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1263</v>
      </c>
      <c r="B43" s="308" t="s">
        <v>1149</v>
      </c>
    </row>
    <row r="44" spans="1:2" x14ac:dyDescent="0.25">
      <c r="A44" s="307" t="s">
        <v>1522</v>
      </c>
      <c r="B44" s="308" t="s">
        <v>1524</v>
      </c>
    </row>
    <row r="45" spans="1:2" x14ac:dyDescent="0.25">
      <c r="A45" s="307" t="s">
        <v>1523</v>
      </c>
      <c r="B45" s="308" t="s">
        <v>1525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1546</v>
      </c>
    </row>
    <row r="48" spans="1:2" ht="31.5" x14ac:dyDescent="0.25">
      <c r="A48" s="229" t="s">
        <v>1545</v>
      </c>
      <c r="B48" s="240" t="s">
        <v>1547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1520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1587</v>
      </c>
      <c r="B61" s="251" t="s">
        <v>1588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1592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1585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1580</v>
      </c>
      <c r="B74" s="568" t="s">
        <v>1581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1689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1712</v>
      </c>
      <c r="B94" s="256" t="s">
        <v>1714</v>
      </c>
    </row>
    <row r="95" spans="1:2" ht="31.5" x14ac:dyDescent="0.25">
      <c r="A95" s="225" t="s">
        <v>1713</v>
      </c>
      <c r="B95" s="248" t="s">
        <v>1715</v>
      </c>
    </row>
    <row r="96" spans="1:2" s="259" customFormat="1" ht="48" thickBot="1" x14ac:dyDescent="0.3">
      <c r="A96" s="260" t="s">
        <v>390</v>
      </c>
      <c r="B96" s="261" t="s">
        <v>1681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6" t="s">
        <v>1682</v>
      </c>
    </row>
    <row r="99" spans="1:2" ht="63.75" thickBot="1" x14ac:dyDescent="0.3">
      <c r="A99" s="220" t="s">
        <v>394</v>
      </c>
      <c r="B99" s="221" t="s">
        <v>1794</v>
      </c>
    </row>
    <row r="100" spans="1:2" ht="31.5" x14ac:dyDescent="0.25">
      <c r="A100" s="721" t="s">
        <v>395</v>
      </c>
      <c r="B100" s="776" t="s">
        <v>1356</v>
      </c>
    </row>
    <row r="101" spans="1:2" ht="47.25" x14ac:dyDescent="0.25">
      <c r="A101" s="237" t="s">
        <v>1792</v>
      </c>
      <c r="B101" s="215" t="s">
        <v>1795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1261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1355</v>
      </c>
      <c r="B114" s="251" t="s">
        <v>1357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1358</v>
      </c>
      <c r="B122" s="267" t="s">
        <v>1359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1687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1798</v>
      </c>
    </row>
    <row r="130" spans="1:2" ht="31.5" x14ac:dyDescent="0.25">
      <c r="A130" s="176" t="s">
        <v>1899</v>
      </c>
      <c r="B130" s="268" t="s">
        <v>1954</v>
      </c>
    </row>
    <row r="131" spans="1:2" ht="63" x14ac:dyDescent="0.25">
      <c r="A131" s="245" t="s">
        <v>1621</v>
      </c>
      <c r="B131" s="246" t="s">
        <v>1711</v>
      </c>
    </row>
    <row r="132" spans="1:2" ht="31.5" x14ac:dyDescent="0.25">
      <c r="A132" s="247" t="s">
        <v>1622</v>
      </c>
      <c r="B132" s="248" t="s">
        <v>1620</v>
      </c>
    </row>
    <row r="133" spans="1:2" ht="31.5" x14ac:dyDescent="0.25">
      <c r="A133" s="245" t="s">
        <v>1623</v>
      </c>
      <c r="B133" s="246" t="s">
        <v>1625</v>
      </c>
    </row>
    <row r="134" spans="1:2" x14ac:dyDescent="0.25">
      <c r="A134" s="247" t="s">
        <v>1624</v>
      </c>
      <c r="B134" s="248" t="s">
        <v>1677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1248</v>
      </c>
      <c r="B148" s="349" t="s">
        <v>1955</v>
      </c>
    </row>
    <row r="149" spans="1:2" x14ac:dyDescent="0.25">
      <c r="A149" s="176" t="s">
        <v>1249</v>
      </c>
      <c r="B149" s="18" t="s">
        <v>1231</v>
      </c>
    </row>
    <row r="150" spans="1:2" ht="31.5" x14ac:dyDescent="0.25">
      <c r="A150" s="225" t="s">
        <v>1250</v>
      </c>
      <c r="B150" s="411" t="s">
        <v>1511</v>
      </c>
    </row>
    <row r="151" spans="1:2" x14ac:dyDescent="0.25">
      <c r="A151" s="225" t="s">
        <v>1513</v>
      </c>
      <c r="B151" s="411" t="s">
        <v>1514</v>
      </c>
    </row>
    <row r="152" spans="1:2" ht="48" thickBot="1" x14ac:dyDescent="0.3">
      <c r="A152" s="269" t="s">
        <v>1232</v>
      </c>
      <c r="B152" s="410" t="s">
        <v>1519</v>
      </c>
    </row>
    <row r="153" spans="1:2" ht="16.5" thickBot="1" x14ac:dyDescent="0.3">
      <c r="A153" s="293" t="s">
        <v>1233</v>
      </c>
      <c r="B153" s="352" t="s">
        <v>1234</v>
      </c>
    </row>
    <row r="154" spans="1:2" ht="47.25" x14ac:dyDescent="0.25">
      <c r="A154" s="396" t="s">
        <v>1348</v>
      </c>
      <c r="B154" s="397" t="s">
        <v>1350</v>
      </c>
    </row>
    <row r="155" spans="1:2" ht="31.5" x14ac:dyDescent="0.25">
      <c r="A155" s="247" t="s">
        <v>1349</v>
      </c>
      <c r="B155" s="401" t="s">
        <v>1351</v>
      </c>
    </row>
    <row r="156" spans="1:2" ht="16.5" thickBot="1" x14ac:dyDescent="0.3">
      <c r="A156" s="402" t="s">
        <v>1352</v>
      </c>
      <c r="B156" s="403" t="s">
        <v>1353</v>
      </c>
    </row>
    <row r="157" spans="1:2" ht="31.5" x14ac:dyDescent="0.25">
      <c r="A157" s="396" t="s">
        <v>1537</v>
      </c>
      <c r="B157" s="397" t="s">
        <v>1540</v>
      </c>
    </row>
    <row r="158" spans="1:2" ht="29.25" customHeight="1" x14ac:dyDescent="0.25">
      <c r="A158" s="247" t="s">
        <v>1538</v>
      </c>
      <c r="B158" s="401" t="s">
        <v>1541</v>
      </c>
    </row>
    <row r="159" spans="1:2" x14ac:dyDescent="0.25">
      <c r="A159" s="247" t="s">
        <v>1539</v>
      </c>
      <c r="B159" s="447" t="s">
        <v>1594</v>
      </c>
    </row>
    <row r="160" spans="1:2" ht="31.5" x14ac:dyDescent="0.25">
      <c r="A160" s="546" t="s">
        <v>1656</v>
      </c>
      <c r="B160" s="547" t="s">
        <v>1585</v>
      </c>
    </row>
    <row r="161" spans="1:2" ht="31.5" x14ac:dyDescent="0.25">
      <c r="A161" s="544" t="s">
        <v>1657</v>
      </c>
      <c r="B161" s="545" t="s">
        <v>1660</v>
      </c>
    </row>
    <row r="162" spans="1:2" ht="37.5" customHeight="1" x14ac:dyDescent="0.25">
      <c r="A162" s="544" t="s">
        <v>1658</v>
      </c>
      <c r="B162" s="545" t="s">
        <v>1668</v>
      </c>
    </row>
    <row r="163" spans="1:2" ht="54.95" customHeight="1" x14ac:dyDescent="0.25">
      <c r="A163" s="544" t="s">
        <v>1892</v>
      </c>
      <c r="B163" s="545" t="s">
        <v>1893</v>
      </c>
    </row>
    <row r="164" spans="1:2" x14ac:dyDescent="0.25">
      <c r="A164" s="544" t="s">
        <v>1659</v>
      </c>
      <c r="B164" s="545" t="s">
        <v>1678</v>
      </c>
    </row>
    <row r="165" spans="1:2" ht="31.5" x14ac:dyDescent="0.25">
      <c r="A165" s="546" t="s">
        <v>1661</v>
      </c>
      <c r="B165" s="547" t="s">
        <v>1688</v>
      </c>
    </row>
    <row r="166" spans="1:2" ht="31.5" x14ac:dyDescent="0.25">
      <c r="A166" s="544" t="s">
        <v>1663</v>
      </c>
      <c r="B166" s="545" t="s">
        <v>1662</v>
      </c>
    </row>
    <row r="167" spans="1:2" ht="31.5" x14ac:dyDescent="0.25">
      <c r="A167" s="546" t="s">
        <v>1728</v>
      </c>
      <c r="B167" s="547" t="s">
        <v>1950</v>
      </c>
    </row>
    <row r="168" spans="1:2" ht="31.5" x14ac:dyDescent="0.25">
      <c r="A168" s="544" t="s">
        <v>1729</v>
      </c>
      <c r="B168" s="545" t="s">
        <v>1951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11" t="s">
        <v>1808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6"/>
  <sheetViews>
    <sheetView topLeftCell="A236" workbookViewId="0">
      <selection activeCell="A243" sqref="A243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1548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1679</v>
      </c>
    </row>
    <row r="9" spans="1:2" ht="50.25" customHeight="1" x14ac:dyDescent="0.25">
      <c r="A9" s="211">
        <v>10052</v>
      </c>
      <c r="B9" s="93" t="s">
        <v>1680</v>
      </c>
    </row>
    <row r="10" spans="1:2" ht="15.75" x14ac:dyDescent="0.25">
      <c r="A10" s="211">
        <v>10060</v>
      </c>
      <c r="B10" s="93" t="s">
        <v>1665</v>
      </c>
    </row>
    <row r="11" spans="1:2" ht="15.75" x14ac:dyDescent="0.25">
      <c r="A11" s="211">
        <v>10070</v>
      </c>
      <c r="B11" s="277" t="s">
        <v>1549</v>
      </c>
    </row>
    <row r="12" spans="1:2" ht="15.75" x14ac:dyDescent="0.25">
      <c r="A12" s="211">
        <v>10080</v>
      </c>
      <c r="B12" s="93" t="s">
        <v>1360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1796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1664</v>
      </c>
    </row>
    <row r="26" spans="1:2" ht="15.75" x14ac:dyDescent="0.25">
      <c r="A26" s="211">
        <v>10420</v>
      </c>
      <c r="B26" s="376" t="s">
        <v>1342</v>
      </c>
    </row>
    <row r="27" spans="1:2" ht="31.5" x14ac:dyDescent="0.25">
      <c r="A27" s="211">
        <v>10430</v>
      </c>
      <c r="B27" s="93" t="s">
        <v>1542</v>
      </c>
    </row>
    <row r="28" spans="1:2" ht="15.75" x14ac:dyDescent="0.25">
      <c r="A28" s="211">
        <v>10440</v>
      </c>
      <c r="B28" s="93" t="s">
        <v>1595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1361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1894</v>
      </c>
    </row>
    <row r="36" spans="1:2" ht="15.75" x14ac:dyDescent="0.25">
      <c r="A36" s="211">
        <v>10700</v>
      </c>
      <c r="B36" s="93" t="s">
        <v>1258</v>
      </c>
    </row>
    <row r="37" spans="1:2" ht="15.75" x14ac:dyDescent="0.25">
      <c r="A37" s="211">
        <v>10701</v>
      </c>
      <c r="B37" s="93" t="s">
        <v>1259</v>
      </c>
    </row>
    <row r="38" spans="1:2" ht="31.5" x14ac:dyDescent="0.25">
      <c r="A38" s="211">
        <v>10702</v>
      </c>
      <c r="B38" s="93" t="s">
        <v>1260</v>
      </c>
    </row>
    <row r="39" spans="1:2" ht="15.75" x14ac:dyDescent="0.25">
      <c r="A39" s="211">
        <v>10703</v>
      </c>
      <c r="B39" s="93" t="s">
        <v>1266</v>
      </c>
    </row>
    <row r="40" spans="1:2" ht="15.75" x14ac:dyDescent="0.25">
      <c r="A40" s="211">
        <v>10704</v>
      </c>
      <c r="B40" s="93" t="s">
        <v>1362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1684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1550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1235</v>
      </c>
    </row>
    <row r="65" spans="1:2" ht="15.75" x14ac:dyDescent="0.25">
      <c r="A65" s="211">
        <v>12300</v>
      </c>
      <c r="B65" s="277" t="s">
        <v>1793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1510</v>
      </c>
    </row>
    <row r="69" spans="1:2" ht="15.75" x14ac:dyDescent="0.25">
      <c r="A69" s="211">
        <v>12600</v>
      </c>
      <c r="B69" s="339" t="s">
        <v>1551</v>
      </c>
    </row>
    <row r="70" spans="1:2" ht="15.75" x14ac:dyDescent="0.25">
      <c r="A70" s="211">
        <v>12700</v>
      </c>
      <c r="B70" s="93" t="s">
        <v>1940</v>
      </c>
    </row>
    <row r="71" spans="1:2" ht="15.75" x14ac:dyDescent="0.25">
      <c r="A71" s="211">
        <v>12710</v>
      </c>
      <c r="B71" s="93" t="s">
        <v>1552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1473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1561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1690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1509</v>
      </c>
    </row>
    <row r="95" spans="1:2" ht="30.75" customHeight="1" x14ac:dyDescent="0.25">
      <c r="A95" s="211">
        <v>13930</v>
      </c>
      <c r="B95" s="93" t="s">
        <v>1582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1363</v>
      </c>
    </row>
    <row r="114" spans="1:2" ht="15.75" x14ac:dyDescent="0.25">
      <c r="A114" s="211">
        <v>15350</v>
      </c>
      <c r="B114" s="277" t="s">
        <v>1392</v>
      </c>
    </row>
    <row r="115" spans="1:2" ht="15.75" x14ac:dyDescent="0.25">
      <c r="A115" s="211">
        <v>15800</v>
      </c>
      <c r="B115" s="277" t="s">
        <v>1464</v>
      </c>
    </row>
    <row r="116" spans="1:2" ht="31.5" x14ac:dyDescent="0.25">
      <c r="A116" s="211">
        <v>15880</v>
      </c>
      <c r="B116" s="277" t="s">
        <v>1521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1364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1949</v>
      </c>
    </row>
    <row r="121" spans="1:2" ht="15.75" x14ac:dyDescent="0.25">
      <c r="A121" s="211">
        <v>16151</v>
      </c>
      <c r="B121" s="93" t="s">
        <v>1365</v>
      </c>
    </row>
    <row r="122" spans="1:2" ht="31.5" x14ac:dyDescent="0.25">
      <c r="A122" s="211">
        <v>16160</v>
      </c>
      <c r="B122" s="93" t="s">
        <v>1554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1683</v>
      </c>
    </row>
    <row r="127" spans="1:2" ht="21" customHeight="1" x14ac:dyDescent="0.25">
      <c r="A127" s="211">
        <v>16950</v>
      </c>
      <c r="B127" s="93" t="s">
        <v>1941</v>
      </c>
    </row>
    <row r="128" spans="1:2" ht="21" customHeight="1" x14ac:dyDescent="0.25">
      <c r="A128" s="211">
        <v>17260</v>
      </c>
      <c r="B128" s="93" t="s">
        <v>1930</v>
      </c>
    </row>
    <row r="129" spans="1:2" ht="21" customHeight="1" x14ac:dyDescent="0.25">
      <c r="A129" s="211">
        <v>21236</v>
      </c>
      <c r="B129" s="93" t="s">
        <v>1366</v>
      </c>
    </row>
    <row r="130" spans="1:2" ht="30.75" customHeight="1" x14ac:dyDescent="0.25">
      <c r="A130" s="211">
        <v>22446</v>
      </c>
      <c r="B130" s="93" t="s">
        <v>1667</v>
      </c>
    </row>
    <row r="131" spans="1:2" ht="48" customHeight="1" x14ac:dyDescent="0.25">
      <c r="A131" s="211">
        <v>22886</v>
      </c>
      <c r="B131" s="93" t="s">
        <v>1897</v>
      </c>
    </row>
    <row r="132" spans="1:2" ht="35.25" customHeight="1" x14ac:dyDescent="0.25">
      <c r="A132" s="211">
        <v>23906</v>
      </c>
      <c r="B132" s="93" t="s">
        <v>1666</v>
      </c>
    </row>
    <row r="133" spans="1:2" ht="35.25" customHeight="1" x14ac:dyDescent="0.25">
      <c r="A133" s="211">
        <v>23936</v>
      </c>
      <c r="B133" s="93" t="s">
        <v>1710</v>
      </c>
    </row>
    <row r="134" spans="1:2" ht="35.25" customHeight="1" x14ac:dyDescent="0.25">
      <c r="A134" s="211">
        <v>25356</v>
      </c>
      <c r="B134" s="93" t="s">
        <v>1367</v>
      </c>
    </row>
    <row r="135" spans="1:2" ht="24" customHeight="1" x14ac:dyDescent="0.25">
      <c r="A135" s="211">
        <v>25626</v>
      </c>
      <c r="B135" s="93" t="s">
        <v>1368</v>
      </c>
    </row>
    <row r="136" spans="1:2" ht="35.25" customHeight="1" x14ac:dyDescent="0.25">
      <c r="A136" s="211">
        <v>26426</v>
      </c>
      <c r="B136" s="93" t="s">
        <v>1591</v>
      </c>
    </row>
    <row r="137" spans="1:2" ht="46.5" customHeight="1" x14ac:dyDescent="0.25">
      <c r="A137" s="211">
        <v>26936</v>
      </c>
      <c r="B137" s="93" t="s">
        <v>1716</v>
      </c>
    </row>
    <row r="138" spans="1:2" ht="28.5" customHeight="1" x14ac:dyDescent="0.25">
      <c r="A138" s="211">
        <v>27266</v>
      </c>
      <c r="B138" s="93" t="s">
        <v>1900</v>
      </c>
    </row>
    <row r="139" spans="1:2" ht="18.95" customHeight="1" x14ac:dyDescent="0.25">
      <c r="A139" s="211">
        <v>29016</v>
      </c>
      <c r="B139" s="214" t="s">
        <v>387</v>
      </c>
    </row>
    <row r="140" spans="1:2" ht="31.5" x14ac:dyDescent="0.25">
      <c r="A140" s="211">
        <v>29026</v>
      </c>
      <c r="B140" s="93" t="s">
        <v>436</v>
      </c>
    </row>
    <row r="141" spans="1:2" ht="31.5" x14ac:dyDescent="0.25">
      <c r="A141" s="211">
        <v>29036</v>
      </c>
      <c r="B141" s="93" t="s">
        <v>1038</v>
      </c>
    </row>
    <row r="142" spans="1:2" ht="15.75" x14ac:dyDescent="0.25">
      <c r="A142" s="211">
        <v>29046</v>
      </c>
      <c r="B142" s="448" t="s">
        <v>1243</v>
      </c>
    </row>
    <row r="143" spans="1:2" ht="15.75" x14ac:dyDescent="0.25">
      <c r="A143" s="211">
        <v>29056</v>
      </c>
      <c r="B143" s="399" t="s">
        <v>1039</v>
      </c>
    </row>
    <row r="144" spans="1:2" ht="15.75" x14ac:dyDescent="0.25">
      <c r="A144" s="211">
        <v>29066</v>
      </c>
      <c r="B144" s="399" t="s">
        <v>1244</v>
      </c>
    </row>
    <row r="145" spans="1:2" ht="15.75" x14ac:dyDescent="0.25">
      <c r="A145" s="211">
        <v>29076</v>
      </c>
      <c r="B145" s="18" t="s">
        <v>1040</v>
      </c>
    </row>
    <row r="146" spans="1:2" ht="23.25" customHeight="1" x14ac:dyDescent="0.25">
      <c r="A146" s="211">
        <v>29086</v>
      </c>
      <c r="B146" s="746" t="s">
        <v>1041</v>
      </c>
    </row>
    <row r="147" spans="1:2" ht="15.75" x14ac:dyDescent="0.25">
      <c r="A147" s="211">
        <v>29096</v>
      </c>
      <c r="B147" s="746" t="s">
        <v>1042</v>
      </c>
    </row>
    <row r="148" spans="1:2" ht="15.75" x14ac:dyDescent="0.25">
      <c r="A148" s="211">
        <v>29106</v>
      </c>
      <c r="B148" s="365" t="s">
        <v>1043</v>
      </c>
    </row>
    <row r="149" spans="1:2" ht="31.5" x14ac:dyDescent="0.25">
      <c r="A149" s="211">
        <v>29116</v>
      </c>
      <c r="B149" s="93" t="s">
        <v>1044</v>
      </c>
    </row>
    <row r="150" spans="1:2" ht="31.5" x14ac:dyDescent="0.25">
      <c r="A150" s="211">
        <v>29126</v>
      </c>
      <c r="B150" s="18" t="s">
        <v>1045</v>
      </c>
    </row>
    <row r="151" spans="1:2" ht="31.5" x14ac:dyDescent="0.25">
      <c r="A151" s="211">
        <v>29136</v>
      </c>
      <c r="B151" s="18" t="s">
        <v>1555</v>
      </c>
    </row>
    <row r="152" spans="1:2" ht="15.75" x14ac:dyDescent="0.25">
      <c r="A152" s="211">
        <v>29146</v>
      </c>
      <c r="B152" s="18" t="s">
        <v>1046</v>
      </c>
    </row>
    <row r="153" spans="1:2" ht="15.75" x14ac:dyDescent="0.25">
      <c r="A153" s="211">
        <v>29156</v>
      </c>
      <c r="B153" s="89" t="s">
        <v>1047</v>
      </c>
    </row>
    <row r="154" spans="1:2" ht="15.75" x14ac:dyDescent="0.25">
      <c r="A154" s="211">
        <v>29166</v>
      </c>
      <c r="B154" s="746" t="s">
        <v>1048</v>
      </c>
    </row>
    <row r="155" spans="1:2" ht="15.75" x14ac:dyDescent="0.25">
      <c r="A155" s="211">
        <v>29176</v>
      </c>
      <c r="B155" s="746" t="s">
        <v>1369</v>
      </c>
    </row>
    <row r="156" spans="1:2" ht="31.5" x14ac:dyDescent="0.25">
      <c r="A156" s="211">
        <v>29186</v>
      </c>
      <c r="B156" s="18" t="s">
        <v>1049</v>
      </c>
    </row>
    <row r="157" spans="1:2" ht="15.75" x14ac:dyDescent="0.25">
      <c r="A157" s="211">
        <v>29196</v>
      </c>
      <c r="B157" s="18" t="s">
        <v>1050</v>
      </c>
    </row>
    <row r="158" spans="1:2" ht="15.75" x14ac:dyDescent="0.25">
      <c r="A158" s="211">
        <v>29206</v>
      </c>
      <c r="B158" s="18" t="s">
        <v>1130</v>
      </c>
    </row>
    <row r="159" spans="1:2" ht="19.5" customHeight="1" x14ac:dyDescent="0.25">
      <c r="A159" s="211">
        <v>29216</v>
      </c>
      <c r="B159" s="746" t="s">
        <v>571</v>
      </c>
    </row>
    <row r="160" spans="1:2" ht="15.75" x14ac:dyDescent="0.25">
      <c r="A160" s="211">
        <v>29226</v>
      </c>
      <c r="B160" s="746" t="s">
        <v>514</v>
      </c>
    </row>
    <row r="161" spans="1:2" ht="15.75" x14ac:dyDescent="0.25">
      <c r="A161" s="211">
        <v>29236</v>
      </c>
      <c r="B161" s="746" t="s">
        <v>1051</v>
      </c>
    </row>
    <row r="162" spans="1:2" ht="15.75" x14ac:dyDescent="0.25">
      <c r="A162" s="211">
        <v>29246</v>
      </c>
      <c r="B162" s="746" t="s">
        <v>1052</v>
      </c>
    </row>
    <row r="163" spans="1:2" ht="15.75" x14ac:dyDescent="0.25">
      <c r="A163" s="211">
        <v>29256</v>
      </c>
      <c r="B163" s="746" t="s">
        <v>1245</v>
      </c>
    </row>
    <row r="164" spans="1:2" ht="15.75" x14ac:dyDescent="0.25">
      <c r="A164" s="211">
        <v>29266</v>
      </c>
      <c r="B164" s="746" t="s">
        <v>1246</v>
      </c>
    </row>
    <row r="165" spans="1:2" ht="31.5" x14ac:dyDescent="0.25">
      <c r="A165" s="211">
        <v>29276</v>
      </c>
      <c r="B165" s="746" t="s">
        <v>1053</v>
      </c>
    </row>
    <row r="166" spans="1:2" ht="15.75" x14ac:dyDescent="0.25">
      <c r="A166" s="211">
        <v>29286</v>
      </c>
      <c r="B166" s="215" t="s">
        <v>1054</v>
      </c>
    </row>
    <row r="167" spans="1:2" ht="30" customHeight="1" x14ac:dyDescent="0.25">
      <c r="A167" s="211">
        <v>29296</v>
      </c>
      <c r="B167" s="215" t="s">
        <v>1055</v>
      </c>
    </row>
    <row r="168" spans="1:2" ht="15.75" x14ac:dyDescent="0.25">
      <c r="A168" s="211">
        <v>29306</v>
      </c>
      <c r="B168" s="365" t="s">
        <v>1056</v>
      </c>
    </row>
    <row r="169" spans="1:2" ht="15.75" x14ac:dyDescent="0.25">
      <c r="A169" s="211">
        <v>29316</v>
      </c>
      <c r="B169" s="746" t="s">
        <v>1057</v>
      </c>
    </row>
    <row r="170" spans="1:2" ht="15.75" x14ac:dyDescent="0.25">
      <c r="A170" s="211">
        <v>29326</v>
      </c>
      <c r="B170" s="18" t="s">
        <v>1058</v>
      </c>
    </row>
    <row r="171" spans="1:2" ht="15.75" x14ac:dyDescent="0.25">
      <c r="A171" s="211">
        <v>29336</v>
      </c>
      <c r="B171" s="399" t="s">
        <v>1059</v>
      </c>
    </row>
    <row r="172" spans="1:2" ht="15.75" x14ac:dyDescent="0.25">
      <c r="A172" s="211">
        <v>29346</v>
      </c>
      <c r="B172" s="746" t="s">
        <v>1060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1061</v>
      </c>
    </row>
    <row r="175" spans="1:2" ht="15.75" x14ac:dyDescent="0.25">
      <c r="A175" s="211">
        <v>29376</v>
      </c>
      <c r="B175" s="93" t="s">
        <v>1556</v>
      </c>
    </row>
    <row r="176" spans="1:2" ht="15.75" x14ac:dyDescent="0.25">
      <c r="A176" s="211">
        <v>29386</v>
      </c>
      <c r="B176" s="448" t="s">
        <v>1370</v>
      </c>
    </row>
    <row r="177" spans="1:2" ht="31.5" x14ac:dyDescent="0.25">
      <c r="A177" s="211">
        <v>29396</v>
      </c>
      <c r="B177" s="93" t="s">
        <v>1062</v>
      </c>
    </row>
    <row r="178" spans="1:2" ht="31.5" x14ac:dyDescent="0.25">
      <c r="A178" s="211">
        <v>29406</v>
      </c>
      <c r="B178" s="215" t="s">
        <v>1063</v>
      </c>
    </row>
    <row r="179" spans="1:2" ht="44.25" customHeight="1" x14ac:dyDescent="0.25">
      <c r="A179" s="211">
        <v>29416</v>
      </c>
      <c r="B179" s="93" t="s">
        <v>1064</v>
      </c>
    </row>
    <row r="180" spans="1:2" ht="15.75" x14ac:dyDescent="0.25">
      <c r="A180" s="211">
        <v>29426</v>
      </c>
      <c r="B180" s="399" t="s">
        <v>1065</v>
      </c>
    </row>
    <row r="181" spans="1:2" ht="15.75" x14ac:dyDescent="0.25">
      <c r="A181" s="211">
        <v>29436</v>
      </c>
      <c r="B181" s="93" t="s">
        <v>1066</v>
      </c>
    </row>
    <row r="182" spans="1:2" ht="31.5" x14ac:dyDescent="0.25">
      <c r="A182" s="211">
        <v>29446</v>
      </c>
      <c r="B182" s="93" t="s">
        <v>1067</v>
      </c>
    </row>
    <row r="183" spans="1:2" ht="15.75" x14ac:dyDescent="0.25">
      <c r="A183" s="211">
        <v>29456</v>
      </c>
      <c r="B183" s="214" t="s">
        <v>1471</v>
      </c>
    </row>
    <row r="184" spans="1:2" ht="15.75" x14ac:dyDescent="0.25">
      <c r="A184" s="211">
        <v>29466</v>
      </c>
      <c r="B184" s="214" t="s">
        <v>1068</v>
      </c>
    </row>
    <row r="185" spans="1:2" ht="15.75" x14ac:dyDescent="0.25">
      <c r="A185" s="211">
        <v>29476</v>
      </c>
      <c r="B185" s="399" t="s">
        <v>1247</v>
      </c>
    </row>
    <row r="186" spans="1:2" ht="15.75" x14ac:dyDescent="0.25">
      <c r="A186" s="211">
        <v>29486</v>
      </c>
      <c r="B186" s="448" t="s">
        <v>1069</v>
      </c>
    </row>
    <row r="187" spans="1:2" ht="15.75" x14ac:dyDescent="0.25">
      <c r="A187" s="211">
        <v>29496</v>
      </c>
      <c r="B187" s="365" t="s">
        <v>1070</v>
      </c>
    </row>
    <row r="188" spans="1:2" ht="15.75" x14ac:dyDescent="0.25">
      <c r="A188" s="211">
        <v>29506</v>
      </c>
      <c r="B188" s="215" t="s">
        <v>1071</v>
      </c>
    </row>
    <row r="189" spans="1:2" ht="15.75" x14ac:dyDescent="0.25">
      <c r="A189" s="211">
        <v>29516</v>
      </c>
      <c r="B189" s="215" t="s">
        <v>1218</v>
      </c>
    </row>
    <row r="190" spans="1:2" ht="15.75" x14ac:dyDescent="0.25">
      <c r="A190" s="211">
        <v>29526</v>
      </c>
      <c r="B190" s="215" t="s">
        <v>1518</v>
      </c>
    </row>
    <row r="191" spans="1:2" ht="15.75" x14ac:dyDescent="0.25">
      <c r="A191" s="211">
        <v>29536</v>
      </c>
      <c r="B191" s="215" t="s">
        <v>1717</v>
      </c>
    </row>
    <row r="192" spans="1:2" ht="31.5" x14ac:dyDescent="0.25">
      <c r="A192" s="211">
        <v>29556</v>
      </c>
      <c r="B192" s="215" t="s">
        <v>1371</v>
      </c>
    </row>
    <row r="193" spans="1:2" ht="15.75" x14ac:dyDescent="0.25">
      <c r="A193" s="211">
        <v>29566</v>
      </c>
      <c r="B193" s="215" t="s">
        <v>1217</v>
      </c>
    </row>
    <row r="194" spans="1:2" ht="31.5" x14ac:dyDescent="0.25">
      <c r="A194" s="211">
        <v>29576</v>
      </c>
      <c r="B194" s="93" t="s">
        <v>1372</v>
      </c>
    </row>
    <row r="195" spans="1:2" ht="31.5" x14ac:dyDescent="0.25">
      <c r="A195" s="211">
        <v>29586</v>
      </c>
      <c r="B195" s="215" t="s">
        <v>1373</v>
      </c>
    </row>
    <row r="196" spans="1:2" ht="15.75" x14ac:dyDescent="0.25">
      <c r="A196" s="211">
        <v>29596</v>
      </c>
      <c r="B196" s="365" t="s">
        <v>1374</v>
      </c>
    </row>
    <row r="197" spans="1:2" ht="15.75" x14ac:dyDescent="0.25">
      <c r="A197" s="211">
        <v>29606</v>
      </c>
      <c r="B197" s="93" t="s">
        <v>1375</v>
      </c>
    </row>
    <row r="198" spans="1:2" ht="15.75" x14ac:dyDescent="0.25">
      <c r="A198" s="211">
        <v>29616</v>
      </c>
      <c r="B198" s="365" t="s">
        <v>1376</v>
      </c>
    </row>
    <row r="199" spans="1:2" ht="15.75" x14ac:dyDescent="0.25">
      <c r="A199" s="211">
        <v>29626</v>
      </c>
      <c r="B199" s="93" t="s">
        <v>1377</v>
      </c>
    </row>
    <row r="200" spans="1:2" ht="15.75" x14ac:dyDescent="0.25">
      <c r="A200" s="211">
        <v>29636</v>
      </c>
      <c r="B200" s="365" t="s">
        <v>1378</v>
      </c>
    </row>
    <row r="201" spans="1:2" ht="15.75" x14ac:dyDescent="0.25">
      <c r="A201" s="211">
        <v>29646</v>
      </c>
      <c r="B201" s="215" t="s">
        <v>1379</v>
      </c>
    </row>
    <row r="202" spans="1:2" ht="15.75" x14ac:dyDescent="0.25">
      <c r="A202" s="211">
        <v>29656</v>
      </c>
      <c r="B202" s="214" t="s">
        <v>1380</v>
      </c>
    </row>
    <row r="203" spans="1:2" ht="15.75" x14ac:dyDescent="0.25">
      <c r="A203" s="211">
        <v>29666</v>
      </c>
      <c r="B203" s="214" t="s">
        <v>1381</v>
      </c>
    </row>
    <row r="204" spans="1:2" ht="31.5" x14ac:dyDescent="0.25">
      <c r="A204" s="211">
        <v>29676</v>
      </c>
      <c r="B204" s="93" t="s">
        <v>1382</v>
      </c>
    </row>
    <row r="205" spans="1:2" ht="15.75" x14ac:dyDescent="0.25">
      <c r="A205" s="211">
        <v>29686</v>
      </c>
      <c r="B205" s="93" t="s">
        <v>1946</v>
      </c>
    </row>
    <row r="206" spans="1:2" ht="15.75" x14ac:dyDescent="0.25">
      <c r="A206" s="211">
        <v>29696</v>
      </c>
      <c r="B206" s="93" t="s">
        <v>1383</v>
      </c>
    </row>
    <row r="207" spans="1:2" ht="15.75" x14ac:dyDescent="0.25">
      <c r="A207" s="211">
        <v>29706</v>
      </c>
      <c r="B207" s="93" t="s">
        <v>1384</v>
      </c>
    </row>
    <row r="208" spans="1:2" ht="15.75" x14ac:dyDescent="0.25">
      <c r="A208" s="211">
        <v>29716</v>
      </c>
      <c r="B208" s="93" t="s">
        <v>1385</v>
      </c>
    </row>
    <row r="209" spans="1:2" ht="31.5" x14ac:dyDescent="0.25">
      <c r="A209" s="211">
        <v>29726</v>
      </c>
      <c r="B209" s="215" t="s">
        <v>1386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1527</v>
      </c>
    </row>
    <row r="213" spans="1:2" ht="15.75" x14ac:dyDescent="0.25">
      <c r="A213" s="211">
        <v>29766</v>
      </c>
      <c r="B213" s="448" t="s">
        <v>1574</v>
      </c>
    </row>
    <row r="214" spans="1:2" ht="15.75" x14ac:dyDescent="0.25">
      <c r="A214" s="211">
        <v>29776</v>
      </c>
      <c r="B214" s="215" t="s">
        <v>1575</v>
      </c>
    </row>
    <row r="215" spans="1:2" ht="15.75" x14ac:dyDescent="0.25">
      <c r="A215" s="211">
        <v>29786</v>
      </c>
      <c r="B215" s="215" t="s">
        <v>1763</v>
      </c>
    </row>
    <row r="216" spans="1:2" ht="15.75" x14ac:dyDescent="0.25">
      <c r="A216" s="211">
        <v>29806</v>
      </c>
      <c r="B216" s="215" t="s">
        <v>1929</v>
      </c>
    </row>
    <row r="217" spans="1:2" ht="31.5" x14ac:dyDescent="0.25">
      <c r="A217" s="211">
        <v>29856</v>
      </c>
      <c r="B217" s="215" t="s">
        <v>1902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921</v>
      </c>
    </row>
    <row r="220" spans="1:2" ht="31.5" x14ac:dyDescent="0.25">
      <c r="A220" s="211">
        <v>50136</v>
      </c>
      <c r="B220" s="277" t="s">
        <v>1589</v>
      </c>
    </row>
    <row r="221" spans="1:2" ht="47.25" x14ac:dyDescent="0.25">
      <c r="A221" s="211">
        <v>50650</v>
      </c>
      <c r="B221" s="212" t="s">
        <v>465</v>
      </c>
    </row>
    <row r="222" spans="1:2" ht="31.5" x14ac:dyDescent="0.25">
      <c r="A222" s="211">
        <v>50840</v>
      </c>
      <c r="B222" s="339" t="s">
        <v>543</v>
      </c>
    </row>
    <row r="223" spans="1:2" ht="31.5" x14ac:dyDescent="0.25">
      <c r="A223" s="211">
        <v>50970</v>
      </c>
      <c r="B223" s="277" t="s">
        <v>1676</v>
      </c>
    </row>
    <row r="224" spans="1:2" ht="15.75" x14ac:dyDescent="0.25">
      <c r="A224" s="211">
        <v>51180</v>
      </c>
      <c r="B224" s="93" t="s">
        <v>553</v>
      </c>
    </row>
    <row r="225" spans="1:2" ht="31.5" x14ac:dyDescent="0.25">
      <c r="A225" s="211">
        <v>51190</v>
      </c>
      <c r="B225" s="212" t="s">
        <v>1072</v>
      </c>
    </row>
    <row r="226" spans="1:2" ht="31.5" x14ac:dyDescent="0.25">
      <c r="A226" s="211">
        <v>51200</v>
      </c>
      <c r="B226" s="93" t="s">
        <v>388</v>
      </c>
    </row>
    <row r="227" spans="1:2" ht="15.75" x14ac:dyDescent="0.25">
      <c r="A227" s="211">
        <v>51370</v>
      </c>
      <c r="B227" s="93" t="s">
        <v>527</v>
      </c>
    </row>
    <row r="228" spans="1:2" ht="15.75" x14ac:dyDescent="0.25">
      <c r="A228" s="211">
        <v>51440</v>
      </c>
      <c r="B228" s="212" t="s">
        <v>1073</v>
      </c>
    </row>
    <row r="229" spans="1:2" ht="31.5" x14ac:dyDescent="0.25">
      <c r="A229" s="211">
        <v>52200</v>
      </c>
      <c r="B229" s="93" t="s">
        <v>528</v>
      </c>
    </row>
    <row r="230" spans="1:2" ht="31.5" x14ac:dyDescent="0.25">
      <c r="A230" s="211">
        <v>52400</v>
      </c>
      <c r="B230" s="93" t="s">
        <v>529</v>
      </c>
    </row>
    <row r="231" spans="1:2" ht="15.75" x14ac:dyDescent="0.25">
      <c r="A231" s="211">
        <v>52500</v>
      </c>
      <c r="B231" s="93" t="s">
        <v>530</v>
      </c>
    </row>
    <row r="232" spans="1:2" ht="31.5" x14ac:dyDescent="0.25">
      <c r="A232" s="211">
        <v>52600</v>
      </c>
      <c r="B232" s="339" t="s">
        <v>509</v>
      </c>
    </row>
    <row r="233" spans="1:2" ht="47.25" x14ac:dyDescent="0.25">
      <c r="A233" s="211">
        <v>52700</v>
      </c>
      <c r="B233" s="339" t="s">
        <v>544</v>
      </c>
    </row>
    <row r="234" spans="1:2" ht="15.75" x14ac:dyDescent="0.25">
      <c r="A234" s="211">
        <v>52930</v>
      </c>
      <c r="B234" s="212" t="s">
        <v>1526</v>
      </c>
    </row>
    <row r="235" spans="1:2" ht="31.5" x14ac:dyDescent="0.25">
      <c r="A235" s="211">
        <v>53031</v>
      </c>
      <c r="B235" s="212" t="s">
        <v>1787</v>
      </c>
    </row>
    <row r="236" spans="1:2" ht="15.75" x14ac:dyDescent="0.25">
      <c r="A236" s="211">
        <v>53116</v>
      </c>
      <c r="B236" s="373" t="s">
        <v>1532</v>
      </c>
    </row>
    <row r="237" spans="1:2" ht="47.25" x14ac:dyDescent="0.25">
      <c r="A237" s="211">
        <v>53800</v>
      </c>
      <c r="B237" s="277" t="s">
        <v>1074</v>
      </c>
    </row>
    <row r="238" spans="1:2" ht="31.5" x14ac:dyDescent="0.25">
      <c r="A238" s="211" t="s">
        <v>1809</v>
      </c>
      <c r="B238" s="277" t="s">
        <v>1810</v>
      </c>
    </row>
    <row r="239" spans="1:2" ht="31.5" x14ac:dyDescent="0.25">
      <c r="A239" s="211">
        <v>53810</v>
      </c>
      <c r="B239" s="93" t="s">
        <v>531</v>
      </c>
    </row>
    <row r="240" spans="1:2" ht="31.5" x14ac:dyDescent="0.25">
      <c r="A240" s="211">
        <v>53850</v>
      </c>
      <c r="B240" s="93" t="s">
        <v>532</v>
      </c>
    </row>
    <row r="241" spans="1:2" ht="15.75" x14ac:dyDescent="0.25">
      <c r="A241" s="211">
        <v>53910</v>
      </c>
      <c r="B241" s="93" t="s">
        <v>406</v>
      </c>
    </row>
    <row r="242" spans="1:2" ht="47.25" x14ac:dyDescent="0.25">
      <c r="A242" s="211">
        <v>54246</v>
      </c>
      <c r="B242" s="373" t="s">
        <v>1903</v>
      </c>
    </row>
    <row r="243" spans="1:2" ht="31.5" x14ac:dyDescent="0.25">
      <c r="A243" s="211">
        <v>54620</v>
      </c>
      <c r="B243" s="93" t="s">
        <v>1251</v>
      </c>
    </row>
    <row r="244" spans="1:2" ht="15.75" x14ac:dyDescent="0.25">
      <c r="A244" s="211">
        <v>54690</v>
      </c>
      <c r="B244" s="93" t="s">
        <v>1786</v>
      </c>
    </row>
    <row r="245" spans="1:2" ht="31.5" x14ac:dyDescent="0.25">
      <c r="A245" s="211">
        <v>55191</v>
      </c>
      <c r="B245" s="93" t="s">
        <v>1882</v>
      </c>
    </row>
    <row r="246" spans="1:2" ht="15.75" x14ac:dyDescent="0.25">
      <c r="A246" s="211">
        <v>55196</v>
      </c>
      <c r="B246" s="93" t="s">
        <v>1673</v>
      </c>
    </row>
    <row r="247" spans="1:2" ht="15.75" x14ac:dyDescent="0.25">
      <c r="A247" s="211">
        <v>55556</v>
      </c>
      <c r="B247" s="93" t="s">
        <v>1536</v>
      </c>
    </row>
    <row r="248" spans="1:2" ht="15.75" x14ac:dyDescent="0.25">
      <c r="A248" s="211">
        <v>55730</v>
      </c>
      <c r="B248" s="93" t="s">
        <v>1948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407</v>
      </c>
    </row>
    <row r="251" spans="1:2" ht="31.5" x14ac:dyDescent="0.25">
      <c r="A251" s="211" t="s">
        <v>1806</v>
      </c>
      <c r="B251" s="93" t="s">
        <v>1807</v>
      </c>
    </row>
    <row r="252" spans="1:2" ht="31.5" x14ac:dyDescent="0.25">
      <c r="A252" s="211">
        <v>70430</v>
      </c>
      <c r="B252" s="339" t="s">
        <v>510</v>
      </c>
    </row>
    <row r="253" spans="1:2" ht="31.5" x14ac:dyDescent="0.25">
      <c r="A253" s="211">
        <v>70460</v>
      </c>
      <c r="B253" s="339" t="s">
        <v>511</v>
      </c>
    </row>
    <row r="254" spans="1:2" ht="31.5" x14ac:dyDescent="0.25">
      <c r="A254" s="211">
        <v>70470</v>
      </c>
      <c r="B254" s="212" t="s">
        <v>487</v>
      </c>
    </row>
    <row r="255" spans="1:2" ht="15.75" x14ac:dyDescent="0.25">
      <c r="A255" s="211">
        <v>70480</v>
      </c>
      <c r="B255" s="212" t="s">
        <v>1075</v>
      </c>
    </row>
    <row r="256" spans="1:2" ht="15.75" x14ac:dyDescent="0.25">
      <c r="A256" s="211">
        <v>70500</v>
      </c>
      <c r="B256" s="339" t="s">
        <v>512</v>
      </c>
    </row>
    <row r="257" spans="1:2" ht="31.5" x14ac:dyDescent="0.25">
      <c r="A257" s="211">
        <v>70510</v>
      </c>
      <c r="B257" s="212" t="s">
        <v>447</v>
      </c>
    </row>
    <row r="258" spans="1:2" ht="15.75" x14ac:dyDescent="0.25">
      <c r="A258" s="211">
        <v>70520</v>
      </c>
      <c r="B258" s="339" t="s">
        <v>457</v>
      </c>
    </row>
    <row r="259" spans="1:2" ht="31.5" x14ac:dyDescent="0.25">
      <c r="A259" s="211">
        <v>70530</v>
      </c>
      <c r="B259" s="339" t="s">
        <v>458</v>
      </c>
    </row>
    <row r="260" spans="1:2" ht="15.75" x14ac:dyDescent="0.25">
      <c r="A260" s="211">
        <v>70550</v>
      </c>
      <c r="B260" s="339" t="s">
        <v>491</v>
      </c>
    </row>
    <row r="261" spans="1:2" ht="31.5" x14ac:dyDescent="0.25">
      <c r="A261" s="211">
        <v>70560</v>
      </c>
      <c r="B261" s="212" t="s">
        <v>1076</v>
      </c>
    </row>
    <row r="262" spans="1:2" ht="31.5" x14ac:dyDescent="0.25">
      <c r="A262" s="211">
        <v>70570</v>
      </c>
      <c r="B262" s="212" t="s">
        <v>1077</v>
      </c>
    </row>
    <row r="263" spans="1:2" ht="31.5" x14ac:dyDescent="0.25">
      <c r="A263" s="211">
        <v>70650</v>
      </c>
      <c r="B263" s="93" t="s">
        <v>578</v>
      </c>
    </row>
    <row r="264" spans="1:2" ht="31.5" x14ac:dyDescent="0.25">
      <c r="A264" s="211">
        <v>70660</v>
      </c>
      <c r="B264" s="212" t="s">
        <v>1078</v>
      </c>
    </row>
    <row r="265" spans="1:2" ht="15.75" x14ac:dyDescent="0.25">
      <c r="A265" s="211">
        <v>70670</v>
      </c>
      <c r="B265" s="212" t="s">
        <v>1079</v>
      </c>
    </row>
    <row r="266" spans="1:2" ht="31.5" x14ac:dyDescent="0.25">
      <c r="A266" s="211">
        <v>70740</v>
      </c>
      <c r="B266" s="93" t="s">
        <v>533</v>
      </c>
    </row>
    <row r="267" spans="1:2" ht="31.5" x14ac:dyDescent="0.25">
      <c r="A267" s="211">
        <v>70750</v>
      </c>
      <c r="B267" s="93" t="s">
        <v>534</v>
      </c>
    </row>
    <row r="268" spans="1:2" ht="31.5" x14ac:dyDescent="0.25">
      <c r="A268" s="211">
        <v>70830</v>
      </c>
      <c r="B268" s="212" t="s">
        <v>545</v>
      </c>
    </row>
    <row r="269" spans="1:2" ht="31.5" x14ac:dyDescent="0.25">
      <c r="A269" s="211">
        <v>70840</v>
      </c>
      <c r="B269" s="93" t="s">
        <v>535</v>
      </c>
    </row>
    <row r="270" spans="1:2" ht="47.25" x14ac:dyDescent="0.25">
      <c r="A270" s="211">
        <v>70850</v>
      </c>
      <c r="B270" s="93" t="s">
        <v>526</v>
      </c>
    </row>
    <row r="271" spans="1:2" ht="15.75" x14ac:dyDescent="0.25">
      <c r="A271" s="211">
        <v>70860</v>
      </c>
      <c r="B271" s="93" t="s">
        <v>536</v>
      </c>
    </row>
    <row r="272" spans="1:2" ht="31.5" x14ac:dyDescent="0.25">
      <c r="A272" s="211">
        <v>70870</v>
      </c>
      <c r="B272" s="277" t="s">
        <v>546</v>
      </c>
    </row>
    <row r="273" spans="1:2" ht="15.75" x14ac:dyDescent="0.25">
      <c r="A273" s="211">
        <v>70890</v>
      </c>
      <c r="B273" s="93" t="s">
        <v>537</v>
      </c>
    </row>
    <row r="274" spans="1:2" ht="15.75" x14ac:dyDescent="0.25">
      <c r="A274" s="211">
        <v>70920</v>
      </c>
      <c r="B274" s="212" t="s">
        <v>1035</v>
      </c>
    </row>
    <row r="275" spans="1:2" ht="31.5" x14ac:dyDescent="0.25">
      <c r="A275" s="211">
        <v>70930</v>
      </c>
      <c r="B275" s="212" t="s">
        <v>1080</v>
      </c>
    </row>
    <row r="276" spans="1:2" ht="31.5" x14ac:dyDescent="0.25">
      <c r="A276" s="211">
        <v>70970</v>
      </c>
      <c r="B276" s="212" t="s">
        <v>513</v>
      </c>
    </row>
    <row r="277" spans="1:2" ht="15.75" x14ac:dyDescent="0.25">
      <c r="A277" s="211">
        <v>70990</v>
      </c>
      <c r="B277" s="212" t="s">
        <v>1081</v>
      </c>
    </row>
    <row r="278" spans="1:2" ht="31.5" x14ac:dyDescent="0.25">
      <c r="A278" s="211">
        <v>71000</v>
      </c>
      <c r="B278" s="277" t="s">
        <v>466</v>
      </c>
    </row>
    <row r="279" spans="1:2" ht="15.75" x14ac:dyDescent="0.25">
      <c r="A279" s="211">
        <v>71010</v>
      </c>
      <c r="B279" s="212" t="s">
        <v>1082</v>
      </c>
    </row>
    <row r="280" spans="1:2" ht="31.5" x14ac:dyDescent="0.25">
      <c r="A280" s="211">
        <v>71060</v>
      </c>
      <c r="B280" s="277" t="s">
        <v>467</v>
      </c>
    </row>
    <row r="281" spans="1:2" ht="31.5" x14ac:dyDescent="0.25">
      <c r="A281" s="211">
        <v>71160</v>
      </c>
      <c r="B281" s="212" t="s">
        <v>1083</v>
      </c>
    </row>
    <row r="282" spans="1:2" ht="31.5" x14ac:dyDescent="0.25">
      <c r="A282" s="211">
        <v>71170</v>
      </c>
      <c r="B282" s="212" t="s">
        <v>1084</v>
      </c>
    </row>
    <row r="283" spans="1:2" ht="31.5" x14ac:dyDescent="0.25">
      <c r="A283" s="211">
        <v>71180</v>
      </c>
      <c r="B283" s="212" t="s">
        <v>1085</v>
      </c>
    </row>
    <row r="284" spans="1:2" ht="31.5" x14ac:dyDescent="0.25">
      <c r="A284" s="211">
        <v>71190</v>
      </c>
      <c r="B284" s="212" t="s">
        <v>1086</v>
      </c>
    </row>
    <row r="285" spans="1:2" ht="31.5" x14ac:dyDescent="0.25">
      <c r="A285" s="211">
        <v>71230</v>
      </c>
      <c r="B285" s="277" t="s">
        <v>1087</v>
      </c>
    </row>
    <row r="286" spans="1:2" ht="31.5" x14ac:dyDescent="0.25">
      <c r="A286" s="211">
        <v>71236</v>
      </c>
      <c r="B286" s="277" t="s">
        <v>1387</v>
      </c>
    </row>
    <row r="287" spans="1:2" ht="31.5" x14ac:dyDescent="0.25">
      <c r="A287" s="211">
        <v>71280</v>
      </c>
      <c r="B287" s="277" t="s">
        <v>1586</v>
      </c>
    </row>
    <row r="288" spans="1:2" ht="31.5" x14ac:dyDescent="0.25">
      <c r="A288" s="211">
        <v>71430</v>
      </c>
      <c r="B288" s="212" t="s">
        <v>482</v>
      </c>
    </row>
    <row r="289" spans="1:2" ht="15.75" x14ac:dyDescent="0.25">
      <c r="A289" s="211">
        <v>71450</v>
      </c>
      <c r="B289" s="277" t="s">
        <v>1088</v>
      </c>
    </row>
    <row r="290" spans="1:2" ht="31.5" x14ac:dyDescent="0.25">
      <c r="A290" s="211">
        <v>71690</v>
      </c>
      <c r="B290" s="93" t="s">
        <v>1943</v>
      </c>
    </row>
    <row r="291" spans="1:2" ht="15.75" x14ac:dyDescent="0.25">
      <c r="A291" s="211">
        <v>71700</v>
      </c>
      <c r="B291" s="212" t="s">
        <v>1089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1388</v>
      </c>
    </row>
    <row r="294" spans="1:2" ht="31.5" x14ac:dyDescent="0.25">
      <c r="A294" s="211">
        <v>71860</v>
      </c>
      <c r="B294" s="93" t="s">
        <v>1090</v>
      </c>
    </row>
    <row r="295" spans="1:2" ht="15.75" x14ac:dyDescent="0.25">
      <c r="A295" s="211">
        <v>72010</v>
      </c>
      <c r="B295" s="93" t="s">
        <v>1091</v>
      </c>
    </row>
    <row r="296" spans="1:2" ht="31.5" x14ac:dyDescent="0.25">
      <c r="A296" s="211">
        <v>72040</v>
      </c>
      <c r="B296" s="212" t="s">
        <v>1092</v>
      </c>
    </row>
    <row r="297" spans="1:2" ht="15.75" x14ac:dyDescent="0.25">
      <c r="A297" s="211">
        <v>72150</v>
      </c>
      <c r="B297" s="93" t="s">
        <v>1093</v>
      </c>
    </row>
    <row r="298" spans="1:2" ht="31.5" x14ac:dyDescent="0.25">
      <c r="A298" s="211">
        <v>72170</v>
      </c>
      <c r="B298" s="93" t="s">
        <v>1094</v>
      </c>
    </row>
    <row r="299" spans="1:2" ht="15.75" x14ac:dyDescent="0.25">
      <c r="A299" s="211">
        <v>72280</v>
      </c>
      <c r="B299" s="212" t="s">
        <v>1095</v>
      </c>
    </row>
    <row r="300" spans="1:2" ht="15.75" x14ac:dyDescent="0.25">
      <c r="A300" s="211">
        <v>72290</v>
      </c>
      <c r="B300" s="212" t="s">
        <v>1096</v>
      </c>
    </row>
    <row r="301" spans="1:2" ht="15.75" x14ac:dyDescent="0.25">
      <c r="A301" s="210">
        <v>72440</v>
      </c>
      <c r="B301" s="405" t="s">
        <v>627</v>
      </c>
    </row>
    <row r="302" spans="1:2" ht="15.75" x14ac:dyDescent="0.25">
      <c r="A302" s="210" t="s">
        <v>1709</v>
      </c>
      <c r="B302" s="405" t="s">
        <v>627</v>
      </c>
    </row>
    <row r="303" spans="1:2" ht="31.5" x14ac:dyDescent="0.25">
      <c r="A303" s="211">
        <v>72470</v>
      </c>
      <c r="B303" s="93" t="s">
        <v>1097</v>
      </c>
    </row>
    <row r="304" spans="1:2" ht="31.5" x14ac:dyDescent="0.25">
      <c r="A304" s="211">
        <v>72550</v>
      </c>
      <c r="B304" s="93" t="s">
        <v>1128</v>
      </c>
    </row>
    <row r="305" spans="1:2" ht="31.5" x14ac:dyDescent="0.25">
      <c r="A305" s="211">
        <v>72560</v>
      </c>
      <c r="B305" s="93" t="s">
        <v>1129</v>
      </c>
    </row>
    <row r="306" spans="1:2" ht="31.5" x14ac:dyDescent="0.25">
      <c r="A306" s="211">
        <v>72610</v>
      </c>
      <c r="B306" s="212" t="s">
        <v>1098</v>
      </c>
    </row>
    <row r="307" spans="1:2" ht="47.25" x14ac:dyDescent="0.25">
      <c r="A307" s="211">
        <v>72886</v>
      </c>
      <c r="B307" s="277" t="s">
        <v>1898</v>
      </c>
    </row>
    <row r="308" spans="1:2" ht="15.75" x14ac:dyDescent="0.25">
      <c r="A308" s="211">
        <v>72940</v>
      </c>
      <c r="B308" s="212" t="s">
        <v>1099</v>
      </c>
    </row>
    <row r="309" spans="1:2" ht="15.75" x14ac:dyDescent="0.25">
      <c r="A309" s="211">
        <v>72970</v>
      </c>
      <c r="B309" s="93" t="s">
        <v>560</v>
      </c>
    </row>
    <row r="310" spans="1:2" ht="31.5" x14ac:dyDescent="0.25">
      <c r="A310" s="211">
        <v>73000</v>
      </c>
      <c r="B310" s="212" t="s">
        <v>1100</v>
      </c>
    </row>
    <row r="311" spans="1:2" ht="15.75" x14ac:dyDescent="0.25">
      <c r="A311" s="211">
        <v>73040</v>
      </c>
      <c r="B311" s="93" t="s">
        <v>538</v>
      </c>
    </row>
    <row r="312" spans="1:2" ht="31.5" x14ac:dyDescent="0.25">
      <c r="A312" s="211">
        <v>73110</v>
      </c>
      <c r="B312" s="339" t="s">
        <v>448</v>
      </c>
    </row>
    <row r="313" spans="1:2" ht="15.75" x14ac:dyDescent="0.25">
      <c r="A313" s="211">
        <v>73140</v>
      </c>
      <c r="B313" s="212" t="s">
        <v>1553</v>
      </c>
    </row>
    <row r="314" spans="1:2" ht="15.75" x14ac:dyDescent="0.25">
      <c r="A314" s="211">
        <v>73230</v>
      </c>
      <c r="B314" s="212" t="s">
        <v>1101</v>
      </c>
    </row>
    <row r="315" spans="1:2" ht="15.75" x14ac:dyDescent="0.25">
      <c r="A315" s="211">
        <v>73260</v>
      </c>
      <c r="B315" s="277" t="s">
        <v>1389</v>
      </c>
    </row>
    <row r="316" spans="1:2" ht="15.75" x14ac:dyDescent="0.25">
      <c r="A316" s="211">
        <v>73266</v>
      </c>
      <c r="B316" s="277" t="s">
        <v>1557</v>
      </c>
    </row>
    <row r="317" spans="1:2" ht="15.75" x14ac:dyDescent="0.25">
      <c r="A317" s="211">
        <v>73280</v>
      </c>
      <c r="B317" s="212" t="s">
        <v>396</v>
      </c>
    </row>
    <row r="318" spans="1:2" ht="31.5" x14ac:dyDescent="0.25">
      <c r="A318" s="211">
        <v>73900</v>
      </c>
      <c r="B318" s="277" t="s">
        <v>1390</v>
      </c>
    </row>
    <row r="319" spans="1:2" ht="31.5" x14ac:dyDescent="0.25">
      <c r="A319" s="211">
        <v>73930</v>
      </c>
      <c r="B319" s="277" t="s">
        <v>1583</v>
      </c>
    </row>
    <row r="320" spans="1:2" ht="37.5" customHeight="1" x14ac:dyDescent="0.25">
      <c r="A320" s="211">
        <v>73936</v>
      </c>
      <c r="B320" s="277" t="s">
        <v>1584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468</v>
      </c>
    </row>
    <row r="323" spans="1:2" ht="15.75" x14ac:dyDescent="0.25">
      <c r="A323" s="211">
        <v>74420</v>
      </c>
      <c r="B323" s="538" t="s">
        <v>1632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1102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1147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1391</v>
      </c>
    </row>
    <row r="330" spans="1:2" ht="15.75" x14ac:dyDescent="0.25">
      <c r="A330" s="211">
        <v>75350</v>
      </c>
      <c r="B330" s="93" t="s">
        <v>1392</v>
      </c>
    </row>
    <row r="331" spans="1:2" ht="31.5" x14ac:dyDescent="0.25">
      <c r="A331" s="211">
        <v>75356</v>
      </c>
      <c r="B331" s="93" t="s">
        <v>1393</v>
      </c>
    </row>
    <row r="332" spans="1:2" ht="31.5" x14ac:dyDescent="0.25">
      <c r="A332" s="211">
        <v>75480</v>
      </c>
      <c r="B332" s="93" t="s">
        <v>1262</v>
      </c>
    </row>
    <row r="333" spans="1:2" ht="31.5" x14ac:dyDescent="0.25">
      <c r="A333" s="211">
        <v>75490</v>
      </c>
      <c r="B333" s="93" t="s">
        <v>1252</v>
      </c>
    </row>
    <row r="334" spans="1:2" ht="15.75" x14ac:dyDescent="0.25">
      <c r="A334" s="211">
        <v>75510</v>
      </c>
      <c r="B334" s="93" t="s">
        <v>1789</v>
      </c>
    </row>
    <row r="335" spans="1:2" ht="31.5" x14ac:dyDescent="0.25">
      <c r="A335" s="211">
        <v>75520</v>
      </c>
      <c r="B335" s="93" t="s">
        <v>1812</v>
      </c>
    </row>
    <row r="336" spans="1:2" ht="15.75" x14ac:dyDescent="0.25">
      <c r="A336" s="211">
        <v>75550</v>
      </c>
      <c r="B336" s="93" t="s">
        <v>1394</v>
      </c>
    </row>
    <row r="337" spans="1:2" ht="15.75" x14ac:dyDescent="0.25">
      <c r="A337" s="211">
        <v>75556</v>
      </c>
      <c r="B337" s="93" t="s">
        <v>1395</v>
      </c>
    </row>
    <row r="338" spans="1:2" ht="15.75" x14ac:dyDescent="0.25">
      <c r="A338" s="211">
        <v>75620</v>
      </c>
      <c r="B338" s="93" t="s">
        <v>1558</v>
      </c>
    </row>
    <row r="339" spans="1:2" ht="15.75" x14ac:dyDescent="0.25">
      <c r="A339" s="211">
        <v>75626</v>
      </c>
      <c r="B339" s="93" t="s">
        <v>1368</v>
      </c>
    </row>
    <row r="340" spans="1:2" ht="15.75" x14ac:dyDescent="0.25">
      <c r="A340" s="211">
        <v>75800</v>
      </c>
      <c r="B340" s="93" t="s">
        <v>1255</v>
      </c>
    </row>
    <row r="341" spans="1:2" ht="31.5" x14ac:dyDescent="0.25">
      <c r="A341" s="747">
        <v>75870</v>
      </c>
      <c r="B341" s="748" t="s">
        <v>1396</v>
      </c>
    </row>
    <row r="342" spans="1:2" ht="15.75" x14ac:dyDescent="0.25">
      <c r="A342" s="211">
        <v>75876</v>
      </c>
      <c r="B342" s="748" t="s">
        <v>1397</v>
      </c>
    </row>
    <row r="343" spans="1:2" ht="31.5" x14ac:dyDescent="0.25">
      <c r="A343" s="211">
        <v>75880</v>
      </c>
      <c r="B343" s="93" t="s">
        <v>1521</v>
      </c>
    </row>
    <row r="344" spans="1:2" ht="15.75" x14ac:dyDescent="0.25">
      <c r="A344" s="211">
        <v>76150</v>
      </c>
      <c r="B344" s="93" t="s">
        <v>1365</v>
      </c>
    </row>
    <row r="345" spans="1:2" ht="31.5" x14ac:dyDescent="0.25">
      <c r="A345" s="211">
        <v>76160</v>
      </c>
      <c r="B345" s="93" t="s">
        <v>1554</v>
      </c>
    </row>
    <row r="346" spans="1:2" ht="31.5" x14ac:dyDescent="0.25">
      <c r="A346" s="211">
        <v>76426</v>
      </c>
      <c r="B346" s="93" t="s">
        <v>1590</v>
      </c>
    </row>
    <row r="347" spans="1:2" ht="15.75" x14ac:dyDescent="0.25">
      <c r="A347" s="211">
        <v>76900</v>
      </c>
      <c r="B347" s="93" t="s">
        <v>1730</v>
      </c>
    </row>
    <row r="348" spans="1:2" ht="31.5" x14ac:dyDescent="0.25">
      <c r="A348" s="211">
        <v>76935</v>
      </c>
      <c r="B348" s="848" t="s">
        <v>1895</v>
      </c>
    </row>
    <row r="349" spans="1:2" ht="36.950000000000003" customHeight="1" x14ac:dyDescent="0.25">
      <c r="A349" s="211">
        <v>76936</v>
      </c>
      <c r="B349" s="848" t="s">
        <v>1896</v>
      </c>
    </row>
    <row r="350" spans="1:2" ht="36.950000000000003" customHeight="1" x14ac:dyDescent="0.25">
      <c r="A350" s="211">
        <v>76950</v>
      </c>
      <c r="B350" s="93" t="s">
        <v>1365</v>
      </c>
    </row>
    <row r="351" spans="1:2" ht="36.950000000000003" customHeight="1" x14ac:dyDescent="0.25">
      <c r="A351" s="211">
        <v>77260</v>
      </c>
      <c r="B351" s="93" t="s">
        <v>1930</v>
      </c>
    </row>
    <row r="352" spans="1:2" ht="36.950000000000003" customHeight="1" x14ac:dyDescent="0.25">
      <c r="A352" s="211">
        <v>77266</v>
      </c>
      <c r="B352" s="93" t="s">
        <v>1901</v>
      </c>
    </row>
    <row r="353" spans="1:2" ht="15.75" x14ac:dyDescent="0.25">
      <c r="A353" s="211">
        <v>80120</v>
      </c>
      <c r="B353" s="212" t="s">
        <v>1103</v>
      </c>
    </row>
    <row r="354" spans="1:2" ht="31.5" x14ac:dyDescent="0.25">
      <c r="A354" s="211">
        <v>80190</v>
      </c>
      <c r="B354" s="339" t="s">
        <v>408</v>
      </c>
    </row>
    <row r="355" spans="1:2" ht="31.5" x14ac:dyDescent="0.25">
      <c r="A355" s="211">
        <v>80200</v>
      </c>
      <c r="B355" s="339" t="s">
        <v>409</v>
      </c>
    </row>
    <row r="356" spans="1:2" ht="31.5" x14ac:dyDescent="0.25">
      <c r="A356" s="211">
        <v>90050</v>
      </c>
      <c r="B356" s="277" t="s">
        <v>1559</v>
      </c>
    </row>
    <row r="357" spans="1:2" ht="15.75" x14ac:dyDescent="0.25">
      <c r="A357" s="211" t="s">
        <v>1112</v>
      </c>
      <c r="B357" s="406" t="s">
        <v>1113</v>
      </c>
    </row>
    <row r="358" spans="1:2" ht="15.75" x14ac:dyDescent="0.25">
      <c r="A358" s="211" t="s">
        <v>1398</v>
      </c>
      <c r="B358" s="406" t="s">
        <v>1399</v>
      </c>
    </row>
    <row r="359" spans="1:2" ht="31.5" x14ac:dyDescent="0.25">
      <c r="A359" s="211" t="s">
        <v>1765</v>
      </c>
      <c r="B359" s="406" t="s">
        <v>1766</v>
      </c>
    </row>
    <row r="360" spans="1:2" ht="15.75" x14ac:dyDescent="0.25">
      <c r="A360" s="211" t="s">
        <v>1400</v>
      </c>
      <c r="B360" s="406" t="s">
        <v>1401</v>
      </c>
    </row>
    <row r="361" spans="1:2" ht="15.75" x14ac:dyDescent="0.25">
      <c r="A361" s="211" t="s">
        <v>1402</v>
      </c>
      <c r="B361" s="406" t="s">
        <v>1403</v>
      </c>
    </row>
    <row r="362" spans="1:2" ht="15.75" x14ac:dyDescent="0.25">
      <c r="A362" s="211" t="s">
        <v>1671</v>
      </c>
      <c r="B362" s="406" t="s">
        <v>1672</v>
      </c>
    </row>
    <row r="363" spans="1:2" ht="31.5" x14ac:dyDescent="0.25">
      <c r="A363" s="211" t="s">
        <v>1404</v>
      </c>
      <c r="B363" s="406" t="s">
        <v>1405</v>
      </c>
    </row>
    <row r="364" spans="1:2" ht="15.75" x14ac:dyDescent="0.25">
      <c r="A364" s="211" t="s">
        <v>1406</v>
      </c>
      <c r="B364" s="406" t="s">
        <v>1407</v>
      </c>
    </row>
    <row r="365" spans="1:2" ht="31.5" x14ac:dyDescent="0.25">
      <c r="A365" s="211" t="s">
        <v>1408</v>
      </c>
      <c r="B365" s="406" t="s">
        <v>1409</v>
      </c>
    </row>
    <row r="366" spans="1:2" ht="15.75" x14ac:dyDescent="0.25">
      <c r="A366" s="211" t="s">
        <v>1111</v>
      </c>
      <c r="B366" s="406" t="s">
        <v>1114</v>
      </c>
    </row>
    <row r="367" spans="1:2" ht="31.5" x14ac:dyDescent="0.25">
      <c r="A367" s="211" t="s">
        <v>1410</v>
      </c>
      <c r="B367" s="277" t="s">
        <v>408</v>
      </c>
    </row>
    <row r="368" spans="1:2" ht="31.5" x14ac:dyDescent="0.25">
      <c r="A368" s="211" t="s">
        <v>1411</v>
      </c>
      <c r="B368" s="277" t="s">
        <v>409</v>
      </c>
    </row>
    <row r="369" spans="1:2" ht="31.5" x14ac:dyDescent="0.25">
      <c r="A369" s="211" t="s">
        <v>1412</v>
      </c>
      <c r="B369" s="277" t="s">
        <v>510</v>
      </c>
    </row>
    <row r="370" spans="1:2" ht="15.75" x14ac:dyDescent="0.25">
      <c r="A370" s="211"/>
      <c r="B370" s="277"/>
    </row>
    <row r="371" spans="1:2" ht="31.5" x14ac:dyDescent="0.25">
      <c r="A371" s="211" t="s">
        <v>1413</v>
      </c>
      <c r="B371" s="277" t="s">
        <v>511</v>
      </c>
    </row>
    <row r="372" spans="1:2" ht="15.75" x14ac:dyDescent="0.25">
      <c r="A372" s="211" t="s">
        <v>1414</v>
      </c>
      <c r="B372" s="277" t="s">
        <v>512</v>
      </c>
    </row>
    <row r="373" spans="1:2" ht="31.5" x14ac:dyDescent="0.25">
      <c r="A373" s="211" t="s">
        <v>1415</v>
      </c>
      <c r="B373" s="277" t="s">
        <v>447</v>
      </c>
    </row>
    <row r="374" spans="1:2" ht="15.75" x14ac:dyDescent="0.25">
      <c r="A374" s="211" t="s">
        <v>1416</v>
      </c>
      <c r="B374" s="277" t="s">
        <v>457</v>
      </c>
    </row>
    <row r="375" spans="1:2" ht="31.5" x14ac:dyDescent="0.25">
      <c r="A375" s="211" t="s">
        <v>1417</v>
      </c>
      <c r="B375" s="277" t="s">
        <v>458</v>
      </c>
    </row>
    <row r="376" spans="1:2" ht="15.75" x14ac:dyDescent="0.25">
      <c r="A376" s="211" t="s">
        <v>1418</v>
      </c>
      <c r="B376" s="277" t="s">
        <v>491</v>
      </c>
    </row>
    <row r="377" spans="1:2" ht="31.5" x14ac:dyDescent="0.25">
      <c r="A377" s="211" t="s">
        <v>1419</v>
      </c>
      <c r="B377" s="277" t="s">
        <v>578</v>
      </c>
    </row>
    <row r="378" spans="1:2" ht="31.5" x14ac:dyDescent="0.25">
      <c r="A378" s="211" t="s">
        <v>1420</v>
      </c>
      <c r="B378" s="277" t="s">
        <v>533</v>
      </c>
    </row>
    <row r="379" spans="1:2" ht="31.5" x14ac:dyDescent="0.25">
      <c r="A379" s="211" t="s">
        <v>1421</v>
      </c>
      <c r="B379" s="277" t="s">
        <v>534</v>
      </c>
    </row>
    <row r="380" spans="1:2" ht="31.5" x14ac:dyDescent="0.25">
      <c r="A380" s="211" t="s">
        <v>1105</v>
      </c>
      <c r="B380" s="277" t="s">
        <v>545</v>
      </c>
    </row>
    <row r="381" spans="1:2" ht="31.5" x14ac:dyDescent="0.25">
      <c r="A381" s="211" t="s">
        <v>1422</v>
      </c>
      <c r="B381" s="277" t="s">
        <v>535</v>
      </c>
    </row>
    <row r="382" spans="1:2" ht="47.25" x14ac:dyDescent="0.25">
      <c r="A382" s="211" t="s">
        <v>1423</v>
      </c>
      <c r="B382" s="277" t="s">
        <v>526</v>
      </c>
    </row>
    <row r="383" spans="1:2" ht="17.649999999999999" customHeight="1" x14ac:dyDescent="0.25">
      <c r="A383" s="211" t="s">
        <v>1424</v>
      </c>
      <c r="B383" s="277" t="s">
        <v>536</v>
      </c>
    </row>
    <row r="384" spans="1:2" ht="17.649999999999999" customHeight="1" x14ac:dyDescent="0.25">
      <c r="A384" s="211" t="s">
        <v>1425</v>
      </c>
      <c r="B384" s="277" t="s">
        <v>546</v>
      </c>
    </row>
    <row r="385" spans="1:2" ht="17.649999999999999" customHeight="1" x14ac:dyDescent="0.25">
      <c r="A385" s="211" t="s">
        <v>1426</v>
      </c>
      <c r="B385" s="277" t="s">
        <v>537</v>
      </c>
    </row>
    <row r="386" spans="1:2" ht="32.25" customHeight="1" x14ac:dyDescent="0.25">
      <c r="A386" s="211" t="s">
        <v>1427</v>
      </c>
      <c r="B386" s="277" t="s">
        <v>1428</v>
      </c>
    </row>
    <row r="387" spans="1:2" ht="17.649999999999999" customHeight="1" x14ac:dyDescent="0.25">
      <c r="A387" s="211" t="s">
        <v>1429</v>
      </c>
      <c r="B387" s="277" t="s">
        <v>463</v>
      </c>
    </row>
    <row r="388" spans="1:2" ht="31.7" customHeight="1" x14ac:dyDescent="0.25">
      <c r="A388" s="211" t="s">
        <v>1430</v>
      </c>
      <c r="B388" s="277" t="s">
        <v>467</v>
      </c>
    </row>
    <row r="389" spans="1:2" ht="31.7" customHeight="1" x14ac:dyDescent="0.25">
      <c r="A389" s="211" t="s">
        <v>1431</v>
      </c>
      <c r="B389" s="277" t="s">
        <v>482</v>
      </c>
    </row>
    <row r="390" spans="1:2" ht="17.649999999999999" customHeight="1" x14ac:dyDescent="0.25">
      <c r="A390" s="211" t="s">
        <v>1432</v>
      </c>
      <c r="B390" s="277" t="s">
        <v>1088</v>
      </c>
    </row>
    <row r="391" spans="1:2" ht="17.649999999999999" customHeight="1" x14ac:dyDescent="0.25">
      <c r="A391" s="211" t="s">
        <v>1433</v>
      </c>
      <c r="B391" s="277" t="s">
        <v>589</v>
      </c>
    </row>
    <row r="392" spans="1:2" ht="17.649999999999999" customHeight="1" x14ac:dyDescent="0.25">
      <c r="A392" s="211" t="s">
        <v>1434</v>
      </c>
      <c r="B392" s="277" t="s">
        <v>1435</v>
      </c>
    </row>
    <row r="393" spans="1:2" ht="17.649999999999999" customHeight="1" x14ac:dyDescent="0.25">
      <c r="A393" s="211" t="s">
        <v>1436</v>
      </c>
      <c r="B393" s="277" t="s">
        <v>1437</v>
      </c>
    </row>
    <row r="394" spans="1:2" ht="17.649999999999999" customHeight="1" x14ac:dyDescent="0.25">
      <c r="A394" s="211" t="s">
        <v>1438</v>
      </c>
      <c r="B394" s="277" t="s">
        <v>1439</v>
      </c>
    </row>
    <row r="395" spans="1:2" ht="36.950000000000003" customHeight="1" x14ac:dyDescent="0.25">
      <c r="A395" s="211" t="s">
        <v>1440</v>
      </c>
      <c r="B395" s="277" t="s">
        <v>1128</v>
      </c>
    </row>
    <row r="396" spans="1:2" ht="36.950000000000003" customHeight="1" x14ac:dyDescent="0.25">
      <c r="A396" s="211" t="s">
        <v>1441</v>
      </c>
      <c r="B396" s="277" t="s">
        <v>1129</v>
      </c>
    </row>
    <row r="397" spans="1:2" ht="49.15" customHeight="1" x14ac:dyDescent="0.25">
      <c r="A397" s="211" t="s">
        <v>1442</v>
      </c>
      <c r="B397" s="277" t="s">
        <v>1560</v>
      </c>
    </row>
    <row r="398" spans="1:2" ht="15.75" x14ac:dyDescent="0.25">
      <c r="A398" s="211" t="s">
        <v>1790</v>
      </c>
      <c r="B398" s="277" t="s">
        <v>1791</v>
      </c>
    </row>
    <row r="399" spans="1:2" ht="15.75" x14ac:dyDescent="0.25">
      <c r="A399" s="211" t="s">
        <v>1443</v>
      </c>
      <c r="B399" s="277" t="s">
        <v>538</v>
      </c>
    </row>
    <row r="400" spans="1:2" ht="31.5" x14ac:dyDescent="0.25">
      <c r="A400" s="211" t="s">
        <v>1788</v>
      </c>
      <c r="B400" s="277" t="s">
        <v>1811</v>
      </c>
    </row>
    <row r="401" spans="1:2" ht="31.5" x14ac:dyDescent="0.25">
      <c r="A401" s="211" t="s">
        <v>1444</v>
      </c>
      <c r="B401" s="277" t="s">
        <v>448</v>
      </c>
    </row>
    <row r="402" spans="1:2" ht="15.75" x14ac:dyDescent="0.25">
      <c r="A402" s="211" t="s">
        <v>1445</v>
      </c>
      <c r="B402" s="277" t="s">
        <v>1446</v>
      </c>
    </row>
    <row r="403" spans="1:2" ht="15.75" x14ac:dyDescent="0.25">
      <c r="A403" s="211" t="s">
        <v>1813</v>
      </c>
      <c r="B403" s="277" t="s">
        <v>1814</v>
      </c>
    </row>
    <row r="404" spans="1:2" ht="15.75" x14ac:dyDescent="0.25">
      <c r="A404" s="211" t="s">
        <v>1447</v>
      </c>
      <c r="B404" s="277" t="s">
        <v>468</v>
      </c>
    </row>
    <row r="405" spans="1:2" ht="15.75" x14ac:dyDescent="0.25">
      <c r="A405" s="211" t="s">
        <v>1448</v>
      </c>
      <c r="B405" s="277" t="s">
        <v>122</v>
      </c>
    </row>
    <row r="406" spans="1:2" ht="31.5" x14ac:dyDescent="0.25">
      <c r="A406" s="211" t="s">
        <v>1449</v>
      </c>
      <c r="B406" s="277" t="s">
        <v>123</v>
      </c>
    </row>
    <row r="407" spans="1:2" ht="31.5" x14ac:dyDescent="0.25">
      <c r="A407" s="211" t="s">
        <v>1242</v>
      </c>
      <c r="B407" s="277" t="s">
        <v>1251</v>
      </c>
    </row>
    <row r="408" spans="1:2" ht="15.75" x14ac:dyDescent="0.25">
      <c r="A408" s="211" t="s">
        <v>1450</v>
      </c>
      <c r="B408" s="277" t="s">
        <v>119</v>
      </c>
    </row>
    <row r="409" spans="1:2" ht="15.75" x14ac:dyDescent="0.25">
      <c r="A409" s="211" t="s">
        <v>1451</v>
      </c>
      <c r="B409" s="277" t="s">
        <v>1403</v>
      </c>
    </row>
    <row r="410" spans="1:2" ht="15.75" x14ac:dyDescent="0.25">
      <c r="A410" s="211" t="s">
        <v>1452</v>
      </c>
      <c r="B410" s="277" t="s">
        <v>1292</v>
      </c>
    </row>
    <row r="411" spans="1:2" ht="15.75" x14ac:dyDescent="0.25">
      <c r="A411" s="211" t="s">
        <v>1453</v>
      </c>
      <c r="B411" s="277" t="s">
        <v>1392</v>
      </c>
    </row>
    <row r="412" spans="1:2" ht="15.75" x14ac:dyDescent="0.25">
      <c r="A412" s="211" t="s">
        <v>1454</v>
      </c>
      <c r="B412" s="277" t="s">
        <v>1455</v>
      </c>
    </row>
    <row r="413" spans="1:2" ht="31.5" x14ac:dyDescent="0.25">
      <c r="A413" s="211" t="s">
        <v>1456</v>
      </c>
      <c r="B413" s="93" t="s">
        <v>1262</v>
      </c>
    </row>
    <row r="414" spans="1:2" ht="31.5" x14ac:dyDescent="0.25">
      <c r="A414" s="211" t="s">
        <v>1457</v>
      </c>
      <c r="B414" s="277" t="s">
        <v>1252</v>
      </c>
    </row>
    <row r="415" spans="1:2" ht="15.75" x14ac:dyDescent="0.25">
      <c r="A415" s="211" t="s">
        <v>1458</v>
      </c>
      <c r="B415" s="277" t="s">
        <v>1395</v>
      </c>
    </row>
    <row r="416" spans="1:2" ht="15.75" x14ac:dyDescent="0.25">
      <c r="A416" s="211" t="s">
        <v>1459</v>
      </c>
      <c r="B416" s="277" t="s">
        <v>1395</v>
      </c>
    </row>
    <row r="417" spans="1:2" ht="15.75" x14ac:dyDescent="0.25">
      <c r="A417" s="211" t="s">
        <v>1460</v>
      </c>
      <c r="B417" s="277" t="s">
        <v>1461</v>
      </c>
    </row>
    <row r="418" spans="1:2" ht="15.75" x14ac:dyDescent="0.25">
      <c r="A418" s="211" t="s">
        <v>1462</v>
      </c>
      <c r="B418" s="277" t="s">
        <v>1368</v>
      </c>
    </row>
    <row r="419" spans="1:2" ht="15.75" x14ac:dyDescent="0.25">
      <c r="A419" s="211" t="s">
        <v>1463</v>
      </c>
      <c r="B419" s="277" t="s">
        <v>1464</v>
      </c>
    </row>
    <row r="420" spans="1:2" ht="31.5" x14ac:dyDescent="0.25">
      <c r="A420" s="211" t="s">
        <v>488</v>
      </c>
      <c r="B420" s="93" t="s">
        <v>487</v>
      </c>
    </row>
    <row r="421" spans="1:2" ht="31.5" x14ac:dyDescent="0.25">
      <c r="A421" s="211" t="s">
        <v>579</v>
      </c>
      <c r="B421" s="93" t="s">
        <v>578</v>
      </c>
    </row>
    <row r="422" spans="1:2" ht="15.75" x14ac:dyDescent="0.25">
      <c r="A422" s="211" t="s">
        <v>508</v>
      </c>
      <c r="B422" s="93" t="s">
        <v>507</v>
      </c>
    </row>
    <row r="423" spans="1:2" ht="15.75" x14ac:dyDescent="0.25">
      <c r="A423" s="211" t="s">
        <v>464</v>
      </c>
      <c r="B423" s="93" t="s">
        <v>463</v>
      </c>
    </row>
    <row r="424" spans="1:2" ht="15.75" x14ac:dyDescent="0.25">
      <c r="A424" s="211" t="s">
        <v>1465</v>
      </c>
      <c r="B424" s="93" t="s">
        <v>1047</v>
      </c>
    </row>
    <row r="425" spans="1:2" ht="31.5" x14ac:dyDescent="0.25">
      <c r="A425" s="210" t="s">
        <v>481</v>
      </c>
      <c r="B425" s="93" t="s">
        <v>480</v>
      </c>
    </row>
    <row r="426" spans="1:2" ht="15.75" x14ac:dyDescent="0.25">
      <c r="A426" s="210" t="s">
        <v>590</v>
      </c>
      <c r="B426" s="93" t="s">
        <v>589</v>
      </c>
    </row>
    <row r="427" spans="1:2" ht="15.75" x14ac:dyDescent="0.25">
      <c r="A427" s="210" t="s">
        <v>517</v>
      </c>
      <c r="B427" s="93" t="s">
        <v>516</v>
      </c>
    </row>
    <row r="428" spans="1:2" ht="15.75" x14ac:dyDescent="0.25">
      <c r="A428" s="210" t="s">
        <v>1466</v>
      </c>
      <c r="B428" s="93" t="s">
        <v>1041</v>
      </c>
    </row>
    <row r="429" spans="1:2" ht="31.5" x14ac:dyDescent="0.25">
      <c r="A429" s="211" t="s">
        <v>431</v>
      </c>
      <c r="B429" s="216" t="s">
        <v>430</v>
      </c>
    </row>
    <row r="430" spans="1:2" ht="15.75" x14ac:dyDescent="0.25">
      <c r="A430" s="211" t="s">
        <v>1253</v>
      </c>
      <c r="B430" s="216" t="s">
        <v>1553</v>
      </c>
    </row>
    <row r="431" spans="1:2" ht="15.75" x14ac:dyDescent="0.25">
      <c r="A431" s="211" t="s">
        <v>498</v>
      </c>
      <c r="B431" s="93" t="s">
        <v>497</v>
      </c>
    </row>
    <row r="432" spans="1:2" ht="15.75" x14ac:dyDescent="0.25">
      <c r="A432" s="211" t="s">
        <v>1146</v>
      </c>
      <c r="B432" s="93" t="s">
        <v>1147</v>
      </c>
    </row>
    <row r="433" spans="1:2" ht="15.75" x14ac:dyDescent="0.25">
      <c r="A433" s="211" t="s">
        <v>1467</v>
      </c>
      <c r="B433" s="93" t="s">
        <v>1293</v>
      </c>
    </row>
    <row r="434" spans="1:2" ht="15.75" x14ac:dyDescent="0.25">
      <c r="A434" s="211" t="s">
        <v>1468</v>
      </c>
      <c r="B434" s="93" t="s">
        <v>1469</v>
      </c>
    </row>
    <row r="435" spans="1:2" ht="15.75" x14ac:dyDescent="0.25">
      <c r="A435" s="211" t="s">
        <v>1470</v>
      </c>
      <c r="B435" s="277" t="s">
        <v>1368</v>
      </c>
    </row>
    <row r="436" spans="1:2" ht="15.75" x14ac:dyDescent="0.25">
      <c r="A436" s="211" t="s">
        <v>1254</v>
      </c>
      <c r="B436" s="93" t="s">
        <v>1255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149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1957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1823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161714075</v>
      </c>
      <c r="D9" s="62">
        <f t="shared" ref="D9:E9" si="0">D11+D13+D15+D20+D22+D14</f>
        <v>-275093</v>
      </c>
      <c r="E9" s="62">
        <f t="shared" si="0"/>
        <v>161438982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SUMIF(Пр.12!C10:C1120,101,Пр.12!G10:G1120)</f>
        <v>0</v>
      </c>
      <c r="D10" s="65">
        <f>SUMIF(Пр.12!D10:D1120,101,Пр.12!H10:H1120)</f>
        <v>0</v>
      </c>
      <c r="E10" s="65">
        <f>SUMIF(Пр.12!E10:E1120,101,Пр.12!I10:I1120)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SUMIF(Пр.12!C7:C1150,102,Пр.12!G7:G1150)</f>
        <v>1647072</v>
      </c>
      <c r="D11" s="65">
        <f>SUMIF(Пр.12!$C7:$C1150,102,Пр.12!H7:H1150)</f>
        <v>0</v>
      </c>
      <c r="E11" s="65">
        <f>SUMIF(Пр.12!$C7:$C1150,102,Пр.12!I7:I1150)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SUMIF(Пр.12!C8:C1151,103,Пр.12!G8:G1151)</f>
        <v>0</v>
      </c>
      <c r="D12" s="65">
        <f>SUMIF(Пр.12!D8:D1151,103,Пр.12!H8:H1151)</f>
        <v>0</v>
      </c>
      <c r="E12" s="65">
        <f>SUMIF(Пр.12!E8:E1151,103,Пр.12!I8:I1151)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SUMIF(Пр.12!$C9:$C1152,104,Пр.12!G9:G1152)</f>
        <v>40933166</v>
      </c>
      <c r="D13" s="65">
        <f>SUMIF(Пр.12!$C9:$C1152,104,Пр.12!H9:H1152)</f>
        <v>959086</v>
      </c>
      <c r="E13" s="65">
        <f>SUMIF(Пр.12!$C9:$C1152,104,Пр.12!I9:I1152)</f>
        <v>41892252</v>
      </c>
    </row>
    <row r="14" spans="1:5" ht="16.5" thickBot="1" x14ac:dyDescent="0.3">
      <c r="A14" s="63">
        <v>105</v>
      </c>
      <c r="B14" s="66" t="s">
        <v>166</v>
      </c>
      <c r="C14" s="65">
        <f>SUMIF(Пр.12!C7:C1116,105,Пр.12!G7:G1116)</f>
        <v>6589</v>
      </c>
      <c r="D14" s="65">
        <f>SUMIF(Пр.12!C10:C1153,105,Пр.12!H10:H1153)</f>
        <v>0</v>
      </c>
      <c r="E14" s="65">
        <f>SUMIF(Пр.12!$C10:$C1153,105,Пр.12!I10:I1153)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SUMIF(Пр.12!$C10:$C1153,106,Пр.12!G10:G1153)</f>
        <v>19019408</v>
      </c>
      <c r="D15" s="65">
        <f>SUMIF(Пр.12!$C10:$C1153,106,Пр.12!H10:H1153)</f>
        <v>0</v>
      </c>
      <c r="E15" s="65">
        <f>SUMIF(Пр.12!$C10:$C1153,106,Пр.12!I10:I1153)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SUMIF(Пр.12!C10:C1120,107,Пр.12!G10:G1120)</f>
        <v>0</v>
      </c>
      <c r="D16" s="65">
        <f>SUMIF(Пр.12!D10:D1120,107,Пр.12!H10:H1120)</f>
        <v>0</v>
      </c>
      <c r="E16" s="65">
        <f>SUMIF(Пр.12!E10:E1120,107,Пр.12!I10:I1120)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SUMIF(Пр.12!C10:C1120,108,Пр.12!G10:G1120)</f>
        <v>0</v>
      </c>
      <c r="D17" s="65">
        <f>SUMIF(Пр.12!D10:D1120,108,Пр.12!H10:H1120)</f>
        <v>0</v>
      </c>
      <c r="E17" s="65">
        <f>SUMIF(Пр.12!E10:E1120,108,Пр.12!I10:I1120)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SUMIF(Пр.12!C10:C1120,109,Пр.12!G10:G1120)</f>
        <v>0</v>
      </c>
      <c r="D18" s="65">
        <f>SUMIF(Пр.12!D10:D1120,109,Пр.12!H10:H1120)</f>
        <v>0</v>
      </c>
      <c r="E18" s="65">
        <f>SUMIF(Пр.12!E10:E1120,109,Пр.12!I10:I1120)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SUMIF(Пр.12!C10:C1120,110,Пр.12!G10:G1120)</f>
        <v>0</v>
      </c>
      <c r="D19" s="65">
        <f>SUMIF(Пр.12!D10:D1120,110,Пр.12!H10:H1120)</f>
        <v>0</v>
      </c>
      <c r="E19" s="65">
        <f>SUMIF(Пр.12!E10:E1120,110,Пр.12!I10:I1120)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SUMIF(Пр.12!$C10:$C1120,111,Пр.12!G10:G1120)</f>
        <v>2960000</v>
      </c>
      <c r="D20" s="65">
        <f>SUMIF(Пр.12!$C10:$C1120,111,Пр.12!H10:H1120)</f>
        <v>-25000</v>
      </c>
      <c r="E20" s="65">
        <f>SUMIF(Пр.12!$C10:$C1120,111,Пр.12!I10:I1120)</f>
        <v>2935000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SUMIF(Пр.12!C10:C1120,112,Пр.12!G10:G1120)</f>
        <v>0</v>
      </c>
      <c r="D21" s="65">
        <f>SUMIF(Пр.12!D10:D1120,112,Пр.12!H10:H1120)</f>
        <v>0</v>
      </c>
      <c r="E21" s="65">
        <f>SUMIF(Пр.12!E10:E1120,112,Пр.12!I10:I1120)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SUMIF(Пр.12!$C10:$C1150,113,Пр.12!G10:G1150)</f>
        <v>97147840</v>
      </c>
      <c r="D22" s="65">
        <f>SUMIF(Пр.12!$C10:$C1150,113,Пр.12!H10:H1150)</f>
        <v>-1209179</v>
      </c>
      <c r="E22" s="65">
        <f>SUMIF(Пр.12!$C10:$C1150,113,Пр.12!I10:I1150)</f>
        <v>95938661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SUMIF(Пр.12!C10:C1120,201,Пр.12!G10:G1120)</f>
        <v>0</v>
      </c>
      <c r="D24" s="65">
        <f>SUMIF(Пр.12!D10:D1120,201,Пр.12!H10:H1120)</f>
        <v>0</v>
      </c>
      <c r="E24" s="65">
        <f>SUMIF(Пр.12!E10:E1120,201,Пр.12!I10:I1120)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SUMIF(Пр.12!C10:C1120,202,Пр.12!G10:G1120)</f>
        <v>0</v>
      </c>
      <c r="D25" s="65">
        <f>SUMIF(Пр.12!D10:D1120,202,Пр.12!H10:H1120)</f>
        <v>0</v>
      </c>
      <c r="E25" s="65">
        <f>SUMIF(Пр.12!E10:E1120,202,Пр.12!I10:I1120)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SUMIF(Пр.12!$C10:$C1120,203,Пр.12!G10:G1120)</f>
        <v>0</v>
      </c>
      <c r="D26" s="65">
        <f>SUMIF(Пр.12!$C10:$C1120,203,Пр.12!H10:H1120)</f>
        <v>0</v>
      </c>
      <c r="E26" s="65">
        <f>SUMIF(Пр.12!$C10:$C1120,203,Пр.12!I10:I1120)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SUMIF(Пр.12!C10:C1120,204,Пр.12!G10:G1120)</f>
        <v>0</v>
      </c>
      <c r="D27" s="65">
        <f>SUMIF(Пр.12!D10:D1120,204,Пр.12!H10:H1120)</f>
        <v>0</v>
      </c>
      <c r="E27" s="65">
        <f>SUMIF(Пр.12!E10:E1120,204,Пр.12!I10:I1120)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SUMIF(Пр.12!C10:C1120,205,Пр.12!G10:G1120)</f>
        <v>0</v>
      </c>
      <c r="D28" s="65">
        <f>SUMIF(Пр.12!D10:D1120,205,Пр.12!H10:H1120)</f>
        <v>0</v>
      </c>
      <c r="E28" s="65">
        <f>SUMIF(Пр.12!E10:E1120,205,Пр.12!I10:I1120)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SUMIF(Пр.12!C10:C1120,206,Пр.12!G10:G1120)</f>
        <v>0</v>
      </c>
      <c r="D29" s="65">
        <f>SUMIF(Пр.12!D10:D1120,206,Пр.12!H10:H1120)</f>
        <v>0</v>
      </c>
      <c r="E29" s="65">
        <f>SUMIF(Пр.12!E10:E1120,206,Пр.12!I10:I1120)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SUMIF(Пр.12!C10:C1120,207,Пр.12!G10:G1120)</f>
        <v>0</v>
      </c>
      <c r="D30" s="65">
        <f>SUMIF(Пр.12!D10:D1120,207,Пр.12!H10:H1120)</f>
        <v>0</v>
      </c>
      <c r="E30" s="65">
        <f>SUMIF(Пр.12!E10:E1120,207,Пр.12!I10:I1120)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SUMIF(Пр.12!C10:C1120,208,Пр.12!G10:G1120)</f>
        <v>0</v>
      </c>
      <c r="D31" s="65">
        <f>SUMIF(Пр.12!D10:D1120,208,Пр.12!H10:H1120)</f>
        <v>0</v>
      </c>
      <c r="E31" s="65">
        <f>SUMIF(Пр.12!E10:E1120,208,Пр.12!I10:I1120)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SUMIF(Пр.12!C10:C1120,209,Пр.12!G10:G1120)</f>
        <v>0</v>
      </c>
      <c r="D32" s="65">
        <f>SUMIF(Пр.12!D10:D1120,209,Пр.12!H10:H1120)</f>
        <v>0</v>
      </c>
      <c r="E32" s="65">
        <f>SUMIF(Пр.12!E10:E1120,209,Пр.12!I10:I1120)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2852975</v>
      </c>
      <c r="D33" s="62">
        <f t="shared" ref="D33:E33" si="2">SUM(D34:D45)</f>
        <v>0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SUMIF(Пр.12!C10:C1120,303,Пр.12!G10:G1120)</f>
        <v>0</v>
      </c>
      <c r="D34" s="65">
        <f>SUMIF(Пр.12!D10:D1120,303,Пр.12!H10:H1120)</f>
        <v>0</v>
      </c>
      <c r="E34" s="65">
        <f>SUMIF(Пр.12!E10:E1120,303,Пр.12!I10:I1120)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SUMIF(Пр.12!C10:C1120,304,Пр.12!G10:G1120)</f>
        <v>0</v>
      </c>
      <c r="D35" s="65">
        <f>SUMIF(Пр.12!D10:D1120,304,Пр.12!H10:H1120)</f>
        <v>0</v>
      </c>
      <c r="E35" s="65">
        <f>SUMIF(Пр.12!E10:E1120,304,Пр.12!I10:I1120)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SUMIF(Пр.12!C10:C1120,305,Пр.12!G10:G1120)</f>
        <v>0</v>
      </c>
      <c r="D36" s="65">
        <f>SUMIF(Пр.12!D10:D1120,305,Пр.12!H10:H1120)</f>
        <v>0</v>
      </c>
      <c r="E36" s="65">
        <f>SUMIF(Пр.12!E10:E1120,305,Пр.12!I10:I1120)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SUMIF(Пр.12!C10:C1120,306,Пр.12!G10:G1120)</f>
        <v>0</v>
      </c>
      <c r="D37" s="65">
        <f>SUMIF(Пр.12!D10:D1120,306,Пр.12!H10:H1120)</f>
        <v>0</v>
      </c>
      <c r="E37" s="65">
        <f>SUMIF(Пр.12!E10:E1120,306,Пр.12!I10:I1120)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SUMIF(Пр.12!C10:C1120,307,Пр.12!G10:G1120)</f>
        <v>0</v>
      </c>
      <c r="D38" s="65">
        <f>SUMIF(Пр.12!D10:D1120,307,Пр.12!H10:H1120)</f>
        <v>0</v>
      </c>
      <c r="E38" s="65">
        <f>SUMIF(Пр.12!E10:E1120,307,Пр.12!I10:I1120)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SUMIF(Пр.12!C10:C1120,308,Пр.12!G10:G1120)</f>
        <v>0</v>
      </c>
      <c r="D39" s="65">
        <f>SUMIF(Пр.12!D10:D1120,308,Пр.12!H10:H1120)</f>
        <v>0</v>
      </c>
      <c r="E39" s="65">
        <f>SUMIF(Пр.12!E10:E1120,308,Пр.12!I10:I1120)</f>
        <v>0</v>
      </c>
    </row>
    <row r="40" spans="1:5" ht="16.5" hidden="1" thickBot="1" x14ac:dyDescent="0.3">
      <c r="A40" s="63">
        <v>309</v>
      </c>
      <c r="B40" s="91" t="s">
        <v>1873</v>
      </c>
      <c r="C40" s="65">
        <f>SUMIF(Пр.12!C10:C1120,309,Пр.12!G10:G1120)</f>
        <v>0</v>
      </c>
      <c r="D40" s="65">
        <f>SUMIF(Пр.12!$C27:$C1168,309,Пр.12!H27:H1168)</f>
        <v>0</v>
      </c>
      <c r="E40" s="65">
        <f>SUMIF(Пр.12!$C23:$C1143,309,Пр.12!I23:I1143)</f>
        <v>0</v>
      </c>
    </row>
    <row r="41" spans="1:5" ht="33.75" customHeight="1" thickBot="1" x14ac:dyDescent="0.3">
      <c r="A41" s="63">
        <v>310</v>
      </c>
      <c r="B41" s="91" t="s">
        <v>1874</v>
      </c>
      <c r="C41" s="65">
        <f>SUMIF(Пр.12!C10:C1120,310,Пр.12!G10:G1120)</f>
        <v>2702975</v>
      </c>
      <c r="D41" s="65">
        <f>SUMIF(Пр.12!$C28:$C1169,310,Пр.12!H28:H1169)</f>
        <v>0</v>
      </c>
      <c r="E41" s="65">
        <f>SUMIF(Пр.12!$C24:$C1144,310,Пр.12!I24:I1144)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SUMIF(Пр.12!C10:C1120,311,Пр.12!G10:G1120)</f>
        <v>0</v>
      </c>
      <c r="D42" s="65">
        <f>SUMIF(Пр.12!D10:D1120,311,Пр.12!H10:H1120)</f>
        <v>0</v>
      </c>
      <c r="E42" s="65">
        <f>SUMIF(Пр.12!E10:E1120,311,Пр.12!I10:I1120)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SUMIF(Пр.12!C10:C1120,312,Пр.12!G10:G1120)</f>
        <v>0</v>
      </c>
      <c r="D43" s="65">
        <f>SUMIF(Пр.12!D10:D1120,312,Пр.12!H10:H1120)</f>
        <v>0</v>
      </c>
      <c r="E43" s="65">
        <f>SUMIF(Пр.12!E10:E1120,312,Пр.12!I10:I1120)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SUMIF(Пр.12!C10:C1120,313,Пр.12!G10:G1120)</f>
        <v>0</v>
      </c>
      <c r="D44" s="65">
        <f>SUMIF(Пр.12!D10:D1120,313,Пр.12!H10:H1120)</f>
        <v>0</v>
      </c>
      <c r="E44" s="65">
        <f>SUMIF(Пр.12!E10:E1120,313,Пр.12!I10:I1120)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SUMIF(Пр.12!C15:C1134,314,Пр.12!G15:G1134)</f>
        <v>150000</v>
      </c>
      <c r="D45" s="65">
        <f>SUMIF(Пр.12!$C32:$C1173,314,Пр.12!H32:H1173)</f>
        <v>0</v>
      </c>
      <c r="E45" s="65">
        <f>SUMIF(Пр.12!$C28:$C1148,314,Пр.12!I28:I1148)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241412749</v>
      </c>
      <c r="D46" s="62">
        <f>D48+D51+D54+D55+D58+D52+D47</f>
        <v>3898826</v>
      </c>
      <c r="E46" s="62">
        <f>E48+E51+E54+E55+E58+E52+E47</f>
        <v>245311575</v>
      </c>
    </row>
    <row r="47" spans="1:5" ht="16.5" thickBot="1" x14ac:dyDescent="0.3">
      <c r="A47" s="63">
        <v>401</v>
      </c>
      <c r="B47" s="68" t="s">
        <v>197</v>
      </c>
      <c r="C47" s="65">
        <f>SUMIF(Пр.12!C10:C1120,401,Пр.12!G10:G1120)</f>
        <v>847899</v>
      </c>
      <c r="D47" s="65">
        <f>SUMIF(Пр.12!$C2:$C1112,401,Пр.12!H2:H1112)</f>
        <v>-133241</v>
      </c>
      <c r="E47" s="65">
        <f>SUMIF(Пр.12!$C6:$C1116,401,Пр.12!I6:I1116)</f>
        <v>714658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SUMIF(Пр.12!$C10:$C1120,402,Пр.12!G10:G1120)</f>
        <v>0</v>
      </c>
      <c r="D48" s="65">
        <f>SUMIF(Пр.12!$C10:$C1120,402,Пр.12!H10:H1120)</f>
        <v>0</v>
      </c>
      <c r="E48" s="65">
        <f>SUMIF(Пр.12!$C10:$C1120,402,Пр.12!I10:I1120)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SUMIF(Пр.12!C10:C1120,403,Пр.12!G10:G1120)</f>
        <v>0</v>
      </c>
      <c r="D49" s="65">
        <f>SUMIF(Пр.12!D10:D1120,403,Пр.12!H10:H1120)</f>
        <v>0</v>
      </c>
      <c r="E49" s="65">
        <f>SUMIF(Пр.12!E10:E1120,403,Пр.12!I10:I1120)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SUMIF(Пр.12!C10:C1120,404,Пр.12!G10:G1120)</f>
        <v>0</v>
      </c>
      <c r="D50" s="65">
        <f>SUMIF(Пр.12!D10:D1120,404,Пр.12!H10:H1120)</f>
        <v>0</v>
      </c>
      <c r="E50" s="65">
        <f>SUMIF(Пр.12!E10:E1120,404,Пр.12!I10:I1120)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SUMIF(Пр.12!$C10:$C1120,405,Пр.12!G10:G1120)</f>
        <v>859444</v>
      </c>
      <c r="D51" s="65">
        <f>SUMIF(Пр.12!$C10:$C1120,405,Пр.12!H10:H1120)</f>
        <v>0</v>
      </c>
      <c r="E51" s="65">
        <f>SUMIF(Пр.12!$C10:$C1120,405,Пр.12!I10:I1120)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SUMIF(Пр.12!$C10:$C1120,406,Пр.12!G10:G1120)</f>
        <v>0</v>
      </c>
      <c r="D52" s="65">
        <f>SUMIF(Пр.12!$C10:$C1120,406,Пр.12!H10:H1120)</f>
        <v>0</v>
      </c>
      <c r="E52" s="65">
        <f>SUMIF(Пр.12!$C10:$C1120,406,Пр.12!I10:I1120)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SUMIF(Пр.12!C10:C1120,407,Пр.12!G10:G1120)</f>
        <v>0</v>
      </c>
      <c r="D53" s="65">
        <f>SUMIF(Пр.12!D10:D1120,407,Пр.12!H10:H1120)</f>
        <v>0</v>
      </c>
      <c r="E53" s="65">
        <f>SUMIF(Пр.12!E10:E1120,407,Пр.12!I10:I1120)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SUMIF(Пр.12!$C10:$C1120,408,Пр.12!G10:G1120)</f>
        <v>20255130</v>
      </c>
      <c r="D54" s="65">
        <f>SUMIF(Пр.12!$C10:$C1120,408,Пр.12!H10:H1120)</f>
        <v>0</v>
      </c>
      <c r="E54" s="65">
        <f>SUMIF(Пр.12!$C10:$C1120,408,Пр.12!I10:I1120)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SUMIF(Пр.12!$C10:$C1120,409,Пр.12!G10:G1120)</f>
        <v>217741142</v>
      </c>
      <c r="D55" s="65">
        <f>SUMIF(Пр.12!$C10:$C1120,409,Пр.12!H10:H1120)</f>
        <v>4032067</v>
      </c>
      <c r="E55" s="65">
        <f>SUMIF(Пр.12!$C10:$C1120,409,Пр.12!I10:I1120)</f>
        <v>221773209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SUMIF(Пр.12!C10:C1120,410,Пр.12!G10:G1120)</f>
        <v>0</v>
      </c>
      <c r="D56" s="65">
        <f>SUMIF(Пр.12!D10:D1120,410,Пр.12!H10:H1120)</f>
        <v>0</v>
      </c>
      <c r="E56" s="65">
        <f>SUMIF(Пр.12!E10:E1120,410,Пр.12!I10:I1120)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SUMIF(Пр.12!C10:C1120,411,Пр.12!G10:G1120)</f>
        <v>0</v>
      </c>
      <c r="D57" s="65">
        <f>SUMIF(Пр.12!D10:D1120,411,Пр.12!H10:H1120)</f>
        <v>0</v>
      </c>
      <c r="E57" s="65">
        <f>SUMIF(Пр.12!E10:E1120,411,Пр.12!I10:I1120)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SUMIF(Пр.12!$C10:$C1120,412,Пр.12!G10:G1120)</f>
        <v>1709134</v>
      </c>
      <c r="D58" s="65">
        <f>SUMIF(Пр.12!$C10:$C1120,412,Пр.12!H10:H1120)</f>
        <v>0</v>
      </c>
      <c r="E58" s="65">
        <f>SUMIF(Пр.12!$C10:$C1120,412,Пр.12!I10:I1120)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174292589.22</v>
      </c>
      <c r="D59" s="62">
        <f t="shared" ref="D59:E59" si="3">D60+D61+D62+D63+D64</f>
        <v>16729722</v>
      </c>
      <c r="E59" s="62">
        <f t="shared" si="3"/>
        <v>191022311.22</v>
      </c>
    </row>
    <row r="60" spans="1:5" ht="16.5" thickBot="1" x14ac:dyDescent="0.3">
      <c r="A60" s="63">
        <v>501</v>
      </c>
      <c r="B60" s="66" t="s">
        <v>210</v>
      </c>
      <c r="C60" s="65">
        <f>SUMIF(Пр.12!$C10:$C1120,501,Пр.12!G10:G1120)</f>
        <v>6401436</v>
      </c>
      <c r="D60" s="65">
        <f>SUMIF(Пр.12!$C10:$C1120,501,Пр.12!H10:H1120)</f>
        <v>944670</v>
      </c>
      <c r="E60" s="65">
        <f>SUMIF(Пр.12!$C10:$C1120,501,Пр.12!I10:I1120)</f>
        <v>7346106</v>
      </c>
    </row>
    <row r="61" spans="1:5" ht="16.5" thickBot="1" x14ac:dyDescent="0.3">
      <c r="A61" s="63">
        <v>502</v>
      </c>
      <c r="B61" s="66" t="s">
        <v>211</v>
      </c>
      <c r="C61" s="65">
        <f>SUMIF(Пр.12!$C10:$C1120,502,Пр.12!G10:G1120)</f>
        <v>5373824.2199999997</v>
      </c>
      <c r="D61" s="65">
        <f>SUMIF(Пр.12!$C10:$C1120,502,Пр.12!H10:H1120)</f>
        <v>6859871</v>
      </c>
      <c r="E61" s="65">
        <f>SUMIF(Пр.12!$C10:$C1120,502,Пр.12!I10:I1120)</f>
        <v>12233695.219999999</v>
      </c>
    </row>
    <row r="62" spans="1:5" ht="16.5" thickBot="1" x14ac:dyDescent="0.3">
      <c r="A62" s="63">
        <v>503</v>
      </c>
      <c r="B62" s="64" t="s">
        <v>212</v>
      </c>
      <c r="C62" s="65">
        <f>SUMIF(Пр.12!$C10:$C1120,503,Пр.12!G10:G1120)</f>
        <v>162517329</v>
      </c>
      <c r="D62" s="65">
        <f>SUMIF(Пр.12!$C10:$C1120,503,Пр.12!H10:H1120)</f>
        <v>8925181</v>
      </c>
      <c r="E62" s="65">
        <f>SUMIF(Пр.12!$C10:$C1120,503,Пр.12!I10:I1120)</f>
        <v>171442510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SUMIF(Пр.12!C10:C1120,504,Пр.12!G10:G1120)</f>
        <v>0</v>
      </c>
      <c r="D63" s="65">
        <f>SUMIF(Пр.12!D10:D1120,504,Пр.12!H10:H1120)</f>
        <v>0</v>
      </c>
      <c r="E63" s="65">
        <f>SUMIF(Пр.12!E10:E1120,504,Пр.12!I10:I1120)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SUMIF(Пр.12!$C10:$C1120,505,Пр.12!G10:G1120)</f>
        <v>0</v>
      </c>
      <c r="D64" s="65">
        <f>SUMIF(Пр.12!$C10:$C1120,505,Пр.12!H10:H1120)</f>
        <v>0</v>
      </c>
      <c r="E64" s="65">
        <f>SUMIF(Пр.12!$C10:$C1120,505,Пр.12!I10:I1120)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1400000</v>
      </c>
      <c r="D65" s="62">
        <f t="shared" ref="D65:E65" si="4">SUM(D66:D70)</f>
        <v>380000</v>
      </c>
      <c r="E65" s="62">
        <f t="shared" si="4"/>
        <v>1780000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SUMIF(Пр.12!C10:C1120,601,Пр.12!G10:G1120)</f>
        <v>0</v>
      </c>
      <c r="D66" s="65">
        <f>SUMIF(Пр.12!D10:D1120,601,Пр.12!H10:H1120)</f>
        <v>0</v>
      </c>
      <c r="E66" s="65">
        <f>SUMIF(Пр.12!E10:E1120,601,Пр.12!I10:I1120)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SUMIF(Пр.12!C10:C1120,602,Пр.12!G10:G1120)</f>
        <v>0</v>
      </c>
      <c r="D67" s="65">
        <f>SUMIF(Пр.12!D10:D1120,602,Пр.12!H10:H1120)</f>
        <v>0</v>
      </c>
      <c r="E67" s="65">
        <f>SUMIF(Пр.12!E10:E1120,602,Пр.12!I10:I1120)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SUMIF(Пр.12!C10:C1120,603,Пр.12!G10:G1120)</f>
        <v>0</v>
      </c>
      <c r="D68" s="65">
        <f>SUMIF(Пр.12!D10:D1120,603,Пр.12!H10:H1120)</f>
        <v>0</v>
      </c>
      <c r="E68" s="65">
        <f>SUMIF(Пр.12!E10:E1120,603,Пр.12!I10:I1120)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SUMIF(Пр.12!C10:C1120,604,Пр.12!G10:G1120)</f>
        <v>0</v>
      </c>
      <c r="D69" s="65">
        <f>SUMIF(Пр.12!D10:D1120,604,Пр.12!H10:H1120)</f>
        <v>0</v>
      </c>
      <c r="E69" s="65">
        <f>SUMIF(Пр.12!E10:E1120,604,Пр.12!I10:I1120)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SUMIF(Пр.12!$C10:$C1120,605,Пр.12!G10:G1120)</f>
        <v>1400000</v>
      </c>
      <c r="D70" s="65">
        <f>SUMIF(Пр.12!$C10:$C1120,605,Пр.12!H10:H1120)</f>
        <v>380000</v>
      </c>
      <c r="E70" s="65">
        <f>SUMIF(Пр.12!$C10:$C1120,605,Пр.12!I10:I1120)</f>
        <v>1780000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1094206338</v>
      </c>
      <c r="D71" s="62">
        <f>D72+D73+D78+D80+D74+D76</f>
        <v>4163731</v>
      </c>
      <c r="E71" s="62">
        <f>E72+E73+E78+E80+E74+E76</f>
        <v>1098370069</v>
      </c>
    </row>
    <row r="72" spans="1:5" ht="16.5" thickBot="1" x14ac:dyDescent="0.3">
      <c r="A72" s="63">
        <v>701</v>
      </c>
      <c r="B72" s="66" t="s">
        <v>222</v>
      </c>
      <c r="C72" s="65">
        <f>SUMIF(Пр.12!$C10:$C1120,701,Пр.12!G10:G1120)</f>
        <v>419721731</v>
      </c>
      <c r="D72" s="65">
        <f>SUMIF(Пр.12!$C10:$C1120,701,Пр.12!H10:H1120)</f>
        <v>718356</v>
      </c>
      <c r="E72" s="65">
        <f>SUMIF(Пр.12!$C10:$C1120,701,Пр.12!I10:I1120)</f>
        <v>420440087</v>
      </c>
    </row>
    <row r="73" spans="1:5" ht="16.5" thickBot="1" x14ac:dyDescent="0.3">
      <c r="A73" s="63">
        <v>702</v>
      </c>
      <c r="B73" s="66" t="s">
        <v>223</v>
      </c>
      <c r="C73" s="65">
        <f>SUMIF(Пр.12!$C10:$C1120,702,Пр.12!G10:G1120)</f>
        <v>513907871</v>
      </c>
      <c r="D73" s="65">
        <f>SUMIF(Пр.12!$C10:$C1120,702,Пр.12!H10:H1120)</f>
        <v>2985377</v>
      </c>
      <c r="E73" s="65">
        <f>SUMIF(Пр.12!$C10:$C1120,702,Пр.12!I10:I1120)</f>
        <v>516893248</v>
      </c>
    </row>
    <row r="74" spans="1:5" ht="16.5" thickBot="1" x14ac:dyDescent="0.3">
      <c r="A74" s="63">
        <v>703</v>
      </c>
      <c r="B74" s="279" t="s">
        <v>1108</v>
      </c>
      <c r="C74" s="65">
        <f>SUMIF(Пр.12!$C10:$C1120,703,Пр.12!G10:G1120)</f>
        <v>98292531</v>
      </c>
      <c r="D74" s="65">
        <f>SUMIF(Пр.12!$C10:$C1120,703,Пр.12!H10:H1120)</f>
        <v>186515</v>
      </c>
      <c r="E74" s="65">
        <f>SUMIF(Пр.12!$C10:$C1120,703,Пр.12!I10:I1120)</f>
        <v>98479046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SUMIF(Пр.12!C10:C1120,704,Пр.12!G10:G1120)</f>
        <v>0</v>
      </c>
      <c r="D75" s="65">
        <f>SUMIF(Пр.12!$C11:$C1121,704,Пр.12!H11:H1121)</f>
        <v>0</v>
      </c>
      <c r="E75" s="65">
        <f>SUMIF(Пр.12!$C11:$C1121,704,Пр.12!I11:I1121)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SUMIF(Пр.12!C10:C1214,705,Пр.12!G10:G1214)</f>
        <v>1247000</v>
      </c>
      <c r="D76" s="65">
        <f>SUMIF(Пр.12!$C75:$C1214,705,Пр.12!H75:H1214)</f>
        <v>0</v>
      </c>
      <c r="E76" s="65">
        <f>SUMIF(Пр.12!$C12:$C1214,705,Пр.12!I12:I1214)</f>
        <v>1247000</v>
      </c>
    </row>
    <row r="77" spans="1:5" ht="16.5" hidden="1" thickBot="1" x14ac:dyDescent="0.3">
      <c r="A77" s="70">
        <v>706</v>
      </c>
      <c r="B77" s="71" t="s">
        <v>1880</v>
      </c>
      <c r="C77" s="65">
        <f>SUMIF(Пр.12!C10:C1120,706,Пр.12!G10:G1120)</f>
        <v>0</v>
      </c>
      <c r="D77" s="65">
        <f>SUMIF(Пр.12!D10:D1120,706,Пр.12!H10:H1120)</f>
        <v>0</v>
      </c>
      <c r="E77" s="65">
        <f>SUMIF(Пр.12!E10:E1120,706,Пр.12!I10:I1120)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SUMIF(Пр.12!$C10:$C1120,707,Пр.12!G10:G1120)</f>
        <v>17963438</v>
      </c>
      <c r="D78" s="65">
        <f>SUMIF(Пр.12!$C10:$C1120,707,Пр.12!H10:H1120)</f>
        <v>203791</v>
      </c>
      <c r="E78" s="65">
        <f>SUMIF(Пр.12!$C10:$C1120,707,Пр.12!I10:I1120)</f>
        <v>18167229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SUMIF(Пр.12!C10:C1120,708,Пр.12!G10:G1120)</f>
        <v>0</v>
      </c>
      <c r="D79" s="65">
        <f>SUMIF(Пр.12!D10:D1120,708,Пр.12!H10:H1120)</f>
        <v>0</v>
      </c>
      <c r="E79" s="65">
        <f>SUMIF(Пр.12!E10:E1120,708,Пр.12!I10:I1120)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SUMIF(Пр.12!$C10:$C1120,709,Пр.12!G10:G1120)</f>
        <v>43073767</v>
      </c>
      <c r="D80" s="65">
        <f>SUMIF(Пр.12!$C10:$C1120,709,Пр.12!H10:H1120)</f>
        <v>69692</v>
      </c>
      <c r="E80" s="65">
        <f>SUMIF(Пр.12!$C10:$C1120,709,Пр.12!I10:I1120)</f>
        <v>43143459</v>
      </c>
    </row>
    <row r="81" spans="1:5" ht="16.5" thickBot="1" x14ac:dyDescent="0.3">
      <c r="A81" s="60">
        <v>800</v>
      </c>
      <c r="B81" s="69" t="s">
        <v>228</v>
      </c>
      <c r="C81" s="62">
        <f>C82+C85</f>
        <v>162975135</v>
      </c>
      <c r="D81" s="62">
        <f>D82+D85</f>
        <v>1167330</v>
      </c>
      <c r="E81" s="62">
        <f>E82+E85</f>
        <v>164142465</v>
      </c>
    </row>
    <row r="82" spans="1:5" ht="16.5" thickBot="1" x14ac:dyDescent="0.3">
      <c r="A82" s="63">
        <v>801</v>
      </c>
      <c r="B82" s="66" t="s">
        <v>229</v>
      </c>
      <c r="C82" s="65">
        <f>SUMIF(Пр.12!$C10:$C1120,801,Пр.12!G10:G1120)</f>
        <v>130920158</v>
      </c>
      <c r="D82" s="65">
        <f>SUMIF(Пр.12!$C10:$C1120,801,Пр.12!H10:H1120)</f>
        <v>1167330</v>
      </c>
      <c r="E82" s="65">
        <f>SUMIF(Пр.12!$C10:$C1120,801,Пр.12!I10:I1120)</f>
        <v>132087488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SUMIF(Пр.12!C10:C1120,802,Пр.12!G10:G1120)</f>
        <v>0</v>
      </c>
      <c r="D83" s="65">
        <f>SUMIF(Пр.12!D10:D1120,802,Пр.12!H10:H1120)</f>
        <v>0</v>
      </c>
      <c r="E83" s="65">
        <f>SUMIF(Пр.12!E10:E1120,802,Пр.12!I10:I1120)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SUMIF(Пр.12!C10:C1120,803,Пр.12!G10:G1120)</f>
        <v>0</v>
      </c>
      <c r="D84" s="65">
        <f>SUMIF(Пр.12!D10:D1120,803,Пр.12!H10:H1120)</f>
        <v>0</v>
      </c>
      <c r="E84" s="65">
        <f>SUMIF(Пр.12!E10:E1120,803,Пр.12!I10:I1120)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SUMIF(Пр.12!$C10:$C1120,804,Пр.12!G10:G1120)</f>
        <v>32054977</v>
      </c>
      <c r="D85" s="65">
        <f>SUMIF(Пр.12!$C10:$C1120,804,Пр.12!H10:H1120)</f>
        <v>0</v>
      </c>
      <c r="E85" s="65">
        <f>SUMIF(Пр.12!$C10:$C1120,804,Пр.12!I10:I1120)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SUMIF(Пр.12!C10:C1120,901,Пр.12!G10:G1120)</f>
        <v>0</v>
      </c>
      <c r="D87" s="65">
        <f>SUMIF(Пр.12!D10:D1120,901,Пр.12!H10:H1120)</f>
        <v>0</v>
      </c>
      <c r="E87" s="65">
        <f>SUMIF(Пр.12!E10:E1120,901,Пр.12!I10:I1120)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SUMIF(Пр.12!C10:C1120,902,Пр.12!G10:G1120)</f>
        <v>0</v>
      </c>
      <c r="D88" s="65">
        <f>SUMIF(Пр.12!D10:D1120,902,Пр.12!H10:H1120)</f>
        <v>0</v>
      </c>
      <c r="E88" s="65">
        <f>SUMIF(Пр.12!E10:E1120,902,Пр.12!I10:I1120)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SUMIF(Пр.12!C10:C1120,903,Пр.12!G10:G1120)</f>
        <v>0</v>
      </c>
      <c r="D89" s="65">
        <f>SUMIF(Пр.12!D10:D1120,903,Пр.12!H10:H1120)</f>
        <v>0</v>
      </c>
      <c r="E89" s="65">
        <f>SUMIF(Пр.12!E10:E1120,903,Пр.12!I10:I1120)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SUMIF(Пр.12!C10:C1120,904,Пр.12!G10:G1120)</f>
        <v>0</v>
      </c>
      <c r="D90" s="65">
        <f>SUMIF(Пр.12!D10:D1120,904,Пр.12!H10:H1120)</f>
        <v>0</v>
      </c>
      <c r="E90" s="65">
        <f>SUMIF(Пр.12!E10:E1120,904,Пр.12!I10:I1120)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SUMIF(Пр.12!C10:C1120,905,Пр.12!G10:G1120)</f>
        <v>0</v>
      </c>
      <c r="D91" s="65">
        <f>SUMIF(Пр.12!D10:D1120,905,Пр.12!H10:H1120)</f>
        <v>0</v>
      </c>
      <c r="E91" s="65">
        <f>SUMIF(Пр.12!E10:E1120,905,Пр.12!I10:I1120)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SUMIF(Пр.12!C10:C1120,906,Пр.12!G10:G1120)</f>
        <v>0</v>
      </c>
      <c r="D92" s="65">
        <f>SUMIF(Пр.12!D10:D1120,906,Пр.12!H10:H1120)</f>
        <v>0</v>
      </c>
      <c r="E92" s="65">
        <f>SUMIF(Пр.12!E10:E1120,906,Пр.12!I10:I1120)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SUMIF(Пр.12!C10:C1120,907,Пр.12!G10:G1120)</f>
        <v>0</v>
      </c>
      <c r="D93" s="65">
        <f>SUMIF(Пр.12!D10:D1120,907,Пр.12!H10:H1120)</f>
        <v>0</v>
      </c>
      <c r="E93" s="65">
        <f>SUMIF(Пр.12!E10:E1120,907,Пр.12!I10:I1120)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SUMIF(Пр.12!C10:C1120,908,Пр.12!G10:G1120)</f>
        <v>0</v>
      </c>
      <c r="D94" s="65">
        <f>SUMIF(Пр.12!D10:D1120,908,Пр.12!H10:H1120)</f>
        <v>0</v>
      </c>
      <c r="E94" s="65">
        <f>SUMIF(Пр.12!E10:E1120,908,Пр.12!I10:I1120)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SUMIF(Пр.12!C10:C1120,909,Пр.12!G10:G1120)</f>
        <v>0</v>
      </c>
      <c r="D95" s="65">
        <f>SUMIF(Пр.12!D10:D1120,909,Пр.12!H10:H1120)</f>
        <v>0</v>
      </c>
      <c r="E95" s="65">
        <f>SUMIF(Пр.12!E10:E1120,909,Пр.12!I10:I1120)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639515603</v>
      </c>
      <c r="D96" s="62">
        <f t="shared" ref="D96:E96" si="6">D97+D98+D99+D100+D102</f>
        <v>146690</v>
      </c>
      <c r="E96" s="62">
        <f t="shared" si="6"/>
        <v>639662293</v>
      </c>
    </row>
    <row r="97" spans="1:5" ht="16.5" thickBot="1" x14ac:dyDescent="0.3">
      <c r="A97" s="63">
        <v>1001</v>
      </c>
      <c r="B97" s="66" t="s">
        <v>244</v>
      </c>
      <c r="C97" s="65">
        <f>SUMIF(Пр.12!$C10:$C1120,1001,Пр.12!G10:G1120)</f>
        <v>5877426</v>
      </c>
      <c r="D97" s="65">
        <f>SUMIF(Пр.12!$C10:$C1120,1001,Пр.12!H10:H1120)</f>
        <v>-142702</v>
      </c>
      <c r="E97" s="65">
        <f>SUMIF(Пр.12!$C10:$C1120,1001,Пр.12!I10:I1120)</f>
        <v>5734724</v>
      </c>
    </row>
    <row r="98" spans="1:5" ht="16.5" thickBot="1" x14ac:dyDescent="0.3">
      <c r="A98" s="63">
        <v>1002</v>
      </c>
      <c r="B98" s="66" t="s">
        <v>245</v>
      </c>
      <c r="C98" s="65">
        <f>SUMIF(Пр.12!$C10:$C1120,1002,Пр.12!G10:G1120)</f>
        <v>86596900</v>
      </c>
      <c r="D98" s="65">
        <f>SUMIF(Пр.12!$C10:$C1120,1002,Пр.12!H10:H1120)</f>
        <v>0</v>
      </c>
      <c r="E98" s="65">
        <f>SUMIF(Пр.12!$C10:$C1120,1002,Пр.12!I10:I1120)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SUMIF(Пр.12!$C10:$C1120,1003,Пр.12!G10:G1120)</f>
        <v>230342348</v>
      </c>
      <c r="D99" s="65">
        <f>SUMIF(Пр.12!$C10:$C1120,1003,Пр.12!H10:H1120)</f>
        <v>-635176</v>
      </c>
      <c r="E99" s="65">
        <f>SUMIF(Пр.12!$C10:$C1120,1003,Пр.12!I10:I1120)</f>
        <v>229707172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SUMIF(Пр.12!$C10:$C1120,1004,Пр.12!G10:G1120)</f>
        <v>300073493</v>
      </c>
      <c r="D100" s="65">
        <f>SUMIF(Пр.12!$C10:$C1120,1004,Пр.12!H10:H1120)</f>
        <v>685872</v>
      </c>
      <c r="E100" s="65">
        <f>SUMIF(Пр.12!$C10:$C1120,1004,Пр.12!I10:I1120)</f>
        <v>300759365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SUMIF(Пр.12!C10:C1120,1005,Пр.12!G10:G1120)</f>
        <v>0</v>
      </c>
      <c r="D101" s="65">
        <f>SUMIF(Пр.12!D10:D1120,1005,Пр.12!H10:H1120)</f>
        <v>0</v>
      </c>
      <c r="E101" s="65">
        <f>SUMIF(Пр.12!E10:E1120,1005,Пр.12!I10:I1120)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SUMIF(Пр.12!$C10:$C1120,1006,Пр.12!G10:G1120)</f>
        <v>16625436</v>
      </c>
      <c r="D102" s="65">
        <f>SUMIF(Пр.12!$C10:$C1120,1006,Пр.12!H10:H1120)</f>
        <v>238696</v>
      </c>
      <c r="E102" s="65">
        <f>SUMIF(Пр.12!$C10:$C1120,1006,Пр.12!I10:I1120)</f>
        <v>16864132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58149856</v>
      </c>
      <c r="D103" s="62">
        <f t="shared" ref="D103:E103" si="7">SUM(D104:D108)</f>
        <v>583661</v>
      </c>
      <c r="E103" s="62">
        <f t="shared" si="7"/>
        <v>58733517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SUMIF(Пр.12!C10:C1120,1101,Пр.12!G10:G1120)</f>
        <v>0</v>
      </c>
      <c r="D104" s="65">
        <f>SUMIF(Пр.12!D10:D1120,1101,Пр.12!H10:H1120)</f>
        <v>0</v>
      </c>
      <c r="E104" s="65">
        <f>SUMIF(Пр.12!E10:E1120,1101,Пр.12!I10:I1120)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SUMIF(Пр.12!$C10:$C1120,1102,Пр.12!G10:G1120)</f>
        <v>58149856</v>
      </c>
      <c r="D105" s="65">
        <f>SUMIF(Пр.12!$C10:$C1120,1102,Пр.12!H10:H1120)</f>
        <v>583661</v>
      </c>
      <c r="E105" s="65">
        <f>SUMIF(Пр.12!$C10:$C1120,1102,Пр.12!I10:I1120)</f>
        <v>58733517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SUMIF(Пр.12!C10:C1120,1103,Пр.12!G10:G1120)</f>
        <v>0</v>
      </c>
      <c r="D106" s="65">
        <f>SUMIF(Пр.12!D10:D1120,1103,Пр.12!H10:H1120)</f>
        <v>0</v>
      </c>
      <c r="E106" s="65">
        <f>SUMIF(Пр.12!E10:E1120,1103,Пр.12!I10:I1120)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SUMIF(Пр.12!C10:C1120,1104,Пр.12!G10:G1120)</f>
        <v>0</v>
      </c>
      <c r="D107" s="65">
        <f>SUMIF(Пр.12!D10:D1120,1104,Пр.12!H10:H1120)</f>
        <v>0</v>
      </c>
      <c r="E107" s="65">
        <f>SUMIF(Пр.12!E10:E1120,1104,Пр.12!I10:I1120)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SUMIF(Пр.12!C10:C1120,1105,Пр.12!G10:G1120)</f>
        <v>0</v>
      </c>
      <c r="D108" s="65">
        <f>SUMIF(Пр.12!D10:D1120,1105,Пр.12!H10:H1120)</f>
        <v>0</v>
      </c>
      <c r="E108" s="65">
        <f>SUMIF(Пр.12!E10:E1120,1105,Пр.12!I10:I1120)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5660980</v>
      </c>
      <c r="D109" s="62">
        <f t="shared" ref="D109:E109" si="8">SUM(D110:D113)</f>
        <v>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SUMIF(Пр.12!C10:C1120,1201,Пр.12!G10:G1120)</f>
        <v>0</v>
      </c>
      <c r="D110" s="65">
        <f>SUMIF(Пр.12!D10:D1120,1201,Пр.12!H10:H1120)</f>
        <v>0</v>
      </c>
      <c r="E110" s="65">
        <f>SUMIF(Пр.12!E10:E1120,1201,Пр.12!I10:I1120)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SUMIF(Пр.12!$C10:$C1120,1202,Пр.12!G10:G1120)</f>
        <v>5660980</v>
      </c>
      <c r="D111" s="65">
        <f>SUMIF(Пр.12!$C10:$C1120,1202,Пр.12!H10:H1120)</f>
        <v>0</v>
      </c>
      <c r="E111" s="65">
        <f>SUMIF(Пр.12!$C10:$C1120,1202,Пр.12!I10:I1120)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SUMIF(Пр.12!C10:C1120,1203,Пр.12!G10:G1120)</f>
        <v>0</v>
      </c>
      <c r="D112" s="65">
        <f>SUMIF(Пр.12!D10:D1120,1203,Пр.12!H10:H1120)</f>
        <v>0</v>
      </c>
      <c r="E112" s="65">
        <f>SUMIF(Пр.12!E10:E1120,1203,Пр.12!I10:I1120)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SUMIF(Пр.12!C10:C1120,1204,Пр.12!G10:G1120)</f>
        <v>0</v>
      </c>
      <c r="D113" s="65">
        <f>SUMIF(Пр.12!D10:D1120,1204,Пр.12!H10:H1120)</f>
        <v>0</v>
      </c>
      <c r="E113" s="65">
        <f>SUMIF(Пр.12!E10:E1120,1204,Пр.12!I10:I1120)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-350000</v>
      </c>
      <c r="E114" s="62">
        <f t="shared" si="9"/>
        <v>150000</v>
      </c>
    </row>
    <row r="115" spans="1:5" ht="32.25" thickBot="1" x14ac:dyDescent="0.3">
      <c r="A115" s="63">
        <v>1301</v>
      </c>
      <c r="B115" s="91" t="s">
        <v>1877</v>
      </c>
      <c r="C115" s="65">
        <f>SUMIF(Пр.12!$C10:$C1120,1301,Пр.12!G10:G1120)</f>
        <v>500000</v>
      </c>
      <c r="D115" s="65">
        <f>SUMIF(Пр.12!$C10:$C1120,1301,Пр.12!H10:H1120)</f>
        <v>-350000</v>
      </c>
      <c r="E115" s="65">
        <f>SUMIF(Пр.12!$C10:$C1120,1301,Пр.12!I10:I1120)</f>
        <v>150000</v>
      </c>
    </row>
    <row r="116" spans="1:5" ht="32.25" hidden="1" thickBot="1" x14ac:dyDescent="0.3">
      <c r="A116" s="63">
        <v>1302</v>
      </c>
      <c r="B116" s="91" t="s">
        <v>1878</v>
      </c>
      <c r="C116" s="65">
        <f>SUMIF(Пр.12!C10:C1120,1302,Пр.12!G10:G1120)</f>
        <v>0</v>
      </c>
      <c r="D116" s="65">
        <f>SUMIF(Пр.12!D10:D1120,1302,Пр.12!H10:H1120)</f>
        <v>0</v>
      </c>
      <c r="E116" s="65">
        <f>SUMIF(Пр.12!E10:E1120,1302,Пр.12!I10:I1120)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SUMIF(Пр.12!$C10:$C1120,1401,Пр.12!G10:G1120)</f>
        <v>100000</v>
      </c>
      <c r="D118" s="65">
        <f>SUMIF(Пр.12!$C10:$C1120,1401,Пр.12!H10:H1120)</f>
        <v>0</v>
      </c>
      <c r="E118" s="65">
        <f>SUMIF(Пр.12!$C10:$C1120,1401,Пр.12!I10:I1120)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SUMIF(Пр.12!C10:C1120,1402,Пр.12!G10:G1120)</f>
        <v>0</v>
      </c>
      <c r="D119" s="65">
        <f>SUMIF(Пр.12!D10:D1120,1402,Пр.12!H10:H1120)</f>
        <v>0</v>
      </c>
      <c r="E119" s="65">
        <f>SUMIF(Пр.12!E10:E1120,1402,Пр.12!I10:I1120)</f>
        <v>0</v>
      </c>
    </row>
    <row r="120" spans="1:5" ht="16.5" hidden="1" thickBot="1" x14ac:dyDescent="0.3">
      <c r="A120" s="63">
        <v>1403</v>
      </c>
      <c r="B120" s="91" t="s">
        <v>1879</v>
      </c>
      <c r="C120" s="65">
        <f>SUMIF(Пр.12!C10:C1120,1403,Пр.12!G10:G1120)</f>
        <v>0</v>
      </c>
      <c r="D120" s="65">
        <f>SUMIF(Пр.12!D10:D1120,1403,Пр.12!H10:H1120)</f>
        <v>0</v>
      </c>
      <c r="E120" s="65">
        <f>SUMIF(Пр.12!E10:E1120,1403,Пр.12!I10:I1120)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2542780300.2200003</v>
      </c>
      <c r="D121" s="62">
        <f t="shared" ref="D121" si="11">D9+D23+D33+D46+D59+D65+D71+D81+D96+D103+D109+D114+D117</f>
        <v>26444867</v>
      </c>
      <c r="E121" s="62">
        <f>E9+E23+E33+E46+E59+E65+E71+E81+E96+E103+E109+E114+E117</f>
        <v>2569225167.2200003</v>
      </c>
    </row>
    <row r="122" spans="1:5" ht="16.5" thickBot="1" x14ac:dyDescent="0.3">
      <c r="A122" s="915" t="s">
        <v>265</v>
      </c>
      <c r="B122" s="915"/>
      <c r="C122" s="62">
        <f>Пр1!J174-Пр_3!C121</f>
        <v>-31987211.220000267</v>
      </c>
      <c r="D122" s="62">
        <f>Пр1!K174-Пр_3!D121</f>
        <v>0</v>
      </c>
      <c r="E122" s="62">
        <f>Пр1!L174-Пр_3!E121</f>
        <v>-31987211.220000267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1931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1824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1347</v>
      </c>
      <c r="D8" s="58" t="s">
        <v>1885</v>
      </c>
      <c r="E8" s="58" t="s">
        <v>1596</v>
      </c>
      <c r="F8" s="58" t="s">
        <v>1596</v>
      </c>
      <c r="G8" s="58" t="s">
        <v>1886</v>
      </c>
      <c r="H8" s="58" t="s">
        <v>1820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1873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1874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1875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1877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1878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1879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02" t="s">
        <v>157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1957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1825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1502</v>
      </c>
      <c r="E9" s="74" t="s">
        <v>160</v>
      </c>
    </row>
    <row r="10" spans="1:5" ht="32.25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273</v>
      </c>
      <c r="B12" s="64" t="s">
        <v>274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28487211.220000267</v>
      </c>
      <c r="D20" s="76">
        <f>D22-D21</f>
        <v>0</v>
      </c>
      <c r="E20" s="76">
        <f t="shared" si="2"/>
        <v>28487211.220000267</v>
      </c>
    </row>
    <row r="21" spans="1:5" ht="32.25" thickBot="1" x14ac:dyDescent="0.25">
      <c r="A21" s="77" t="s">
        <v>291</v>
      </c>
      <c r="B21" s="64" t="s">
        <v>292</v>
      </c>
      <c r="C21" s="78">
        <f>(Пр1!J174+C12+C25)</f>
        <v>2514293089</v>
      </c>
      <c r="D21" s="78">
        <f>(Пр1!K174+D12+D25)</f>
        <v>26444867</v>
      </c>
      <c r="E21" s="78">
        <f>SUM(C21:D21)</f>
        <v>2540737956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2542780300.2200003</v>
      </c>
      <c r="D22" s="78">
        <f>Пр_3!D121</f>
        <v>26444867</v>
      </c>
      <c r="E22" s="78">
        <f t="shared" si="2"/>
        <v>2569225167.2200003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301</v>
      </c>
      <c r="B26" s="918"/>
      <c r="C26" s="80">
        <f>C20+C10+C23+C15</f>
        <v>31987211.220000267</v>
      </c>
      <c r="D26" s="80">
        <f t="shared" ref="D26" si="8">D20+D10+D23+D15</f>
        <v>0</v>
      </c>
      <c r="E26" s="76">
        <f t="shared" si="2"/>
        <v>31987211.220000267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D14" sqref="D1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customWidth="1"/>
    <col min="4" max="4" width="16" style="42" customWidth="1"/>
    <col min="5" max="5" width="15.140625" style="42" customWidth="1"/>
    <col min="6" max="6" width="16.140625" style="42" customWidth="1"/>
    <col min="7" max="7" width="17" style="42" customWidth="1"/>
    <col min="8" max="8" width="16" style="42" customWidth="1"/>
    <col min="9" max="16384" width="9.140625" style="42"/>
  </cols>
  <sheetData>
    <row r="1" spans="1:8" ht="15.75" x14ac:dyDescent="0.25">
      <c r="A1" s="902" t="s">
        <v>302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1931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1826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268</v>
      </c>
      <c r="C9" s="58" t="s">
        <v>1347</v>
      </c>
      <c r="D9" s="58" t="s">
        <v>736</v>
      </c>
      <c r="E9" s="74" t="s">
        <v>1596</v>
      </c>
      <c r="F9" s="58" t="s">
        <v>1596</v>
      </c>
      <c r="G9" s="74" t="s">
        <v>736</v>
      </c>
      <c r="H9" s="74" t="s">
        <v>1820</v>
      </c>
    </row>
    <row r="10" spans="1:8" ht="48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273</v>
      </c>
      <c r="B12" s="85" t="s">
        <v>304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277</v>
      </c>
      <c r="B14" s="85" t="s">
        <v>305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301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13" zoomScaleSheetLayoutView="100" workbookViewId="0">
      <selection activeCell="A18" sqref="A18:B18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25"/>
      <c r="E1" s="925"/>
    </row>
    <row r="2" spans="1:5" ht="16.5" customHeight="1" x14ac:dyDescent="0.25">
      <c r="A2" s="902" t="s">
        <v>1</v>
      </c>
      <c r="B2" s="902"/>
      <c r="C2" s="902"/>
      <c r="D2" s="925"/>
      <c r="E2" s="925"/>
    </row>
    <row r="3" spans="1:5" ht="16.5" customHeight="1" x14ac:dyDescent="0.25">
      <c r="A3" s="902" t="s">
        <v>2</v>
      </c>
      <c r="B3" s="902"/>
      <c r="C3" s="902"/>
      <c r="D3" s="925"/>
      <c r="E3" s="925"/>
    </row>
    <row r="4" spans="1:5" ht="16.5" customHeight="1" x14ac:dyDescent="0.25">
      <c r="A4" s="902" t="s">
        <v>1931</v>
      </c>
      <c r="B4" s="902"/>
      <c r="C4" s="902"/>
      <c r="D4" s="902"/>
      <c r="E4" s="902"/>
    </row>
    <row r="5" spans="1:5" ht="12.75" customHeight="1" x14ac:dyDescent="0.25">
      <c r="A5" s="902"/>
      <c r="B5" s="925"/>
      <c r="C5" s="925"/>
      <c r="D5" s="925"/>
      <c r="E5" s="925"/>
    </row>
    <row r="6" spans="1:5" ht="15.75" hidden="1" x14ac:dyDescent="0.25">
      <c r="A6" s="926"/>
      <c r="B6" s="927"/>
      <c r="C6" s="927"/>
      <c r="D6" s="927"/>
      <c r="E6" s="927"/>
    </row>
    <row r="7" spans="1:5" ht="35.25" customHeight="1" x14ac:dyDescent="0.2">
      <c r="A7" s="928" t="s">
        <v>1829</v>
      </c>
      <c r="B7" s="929"/>
      <c r="C7" s="929"/>
      <c r="D7" s="929"/>
      <c r="E7" s="929"/>
    </row>
    <row r="8" spans="1:5" ht="17.25" customHeight="1" x14ac:dyDescent="0.25">
      <c r="A8" s="5"/>
      <c r="B8" s="1"/>
      <c r="C8" s="1"/>
      <c r="D8" s="1"/>
      <c r="E8" s="540" t="s">
        <v>1643</v>
      </c>
    </row>
    <row r="9" spans="1:5" ht="15.75" hidden="1" x14ac:dyDescent="0.25">
      <c r="A9" s="930"/>
      <c r="B9" s="927"/>
      <c r="C9" s="927"/>
      <c r="D9" s="927"/>
      <c r="E9" s="927"/>
    </row>
    <row r="10" spans="1:5" ht="33.75" customHeight="1" x14ac:dyDescent="0.2">
      <c r="A10" s="931" t="s">
        <v>1883</v>
      </c>
      <c r="B10" s="932"/>
      <c r="C10" s="932"/>
      <c r="D10" s="932"/>
      <c r="E10" s="932"/>
    </row>
    <row r="11" spans="1:5" ht="0.95" hidden="1" customHeight="1" x14ac:dyDescent="0.25">
      <c r="A11" s="933"/>
      <c r="B11" s="934"/>
      <c r="C11" s="934"/>
      <c r="D11" s="934"/>
      <c r="E11" s="934"/>
    </row>
    <row r="12" spans="1:5" ht="33" customHeight="1" x14ac:dyDescent="0.2">
      <c r="A12" s="935" t="s">
        <v>1636</v>
      </c>
      <c r="B12" s="935"/>
      <c r="C12" s="535" t="s">
        <v>1637</v>
      </c>
      <c r="D12" s="535" t="s">
        <v>1638</v>
      </c>
      <c r="E12" s="535" t="s">
        <v>1828</v>
      </c>
    </row>
    <row r="13" spans="1:5" ht="20.25" customHeight="1" x14ac:dyDescent="0.25">
      <c r="A13" s="936" t="s">
        <v>313</v>
      </c>
      <c r="B13" s="936"/>
      <c r="C13" s="536"/>
      <c r="D13" s="536"/>
      <c r="E13" s="536"/>
    </row>
    <row r="14" spans="1:5" ht="20.25" customHeight="1" x14ac:dyDescent="0.25">
      <c r="A14" s="937" t="s">
        <v>314</v>
      </c>
      <c r="B14" s="937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7" t="s">
        <v>315</v>
      </c>
      <c r="B15" s="937"/>
      <c r="C15" s="536"/>
      <c r="D15" s="536">
        <v>3500000</v>
      </c>
      <c r="E15" s="536">
        <v>3500000</v>
      </c>
    </row>
    <row r="16" spans="1:5" ht="15.75" x14ac:dyDescent="0.25">
      <c r="A16" s="936" t="s">
        <v>316</v>
      </c>
      <c r="B16" s="936"/>
      <c r="C16" s="536"/>
      <c r="D16" s="536"/>
      <c r="E16" s="536"/>
    </row>
    <row r="17" spans="1:5" ht="18" customHeight="1" x14ac:dyDescent="0.25">
      <c r="A17" s="937" t="s">
        <v>1639</v>
      </c>
      <c r="B17" s="937"/>
      <c r="C17" s="536"/>
      <c r="D17" s="536"/>
      <c r="E17" s="536"/>
    </row>
    <row r="18" spans="1:5" ht="15.75" x14ac:dyDescent="0.25">
      <c r="A18" s="938" t="s">
        <v>315</v>
      </c>
      <c r="B18" s="938"/>
      <c r="C18" s="536">
        <f>Пр5!C18</f>
        <v>0</v>
      </c>
      <c r="D18" s="536"/>
      <c r="E18" s="536"/>
    </row>
    <row r="19" spans="1:5" ht="15.75" x14ac:dyDescent="0.25">
      <c r="A19" s="939" t="s">
        <v>317</v>
      </c>
      <c r="B19" s="939"/>
      <c r="C19" s="536"/>
      <c r="D19" s="536"/>
      <c r="E19" s="536"/>
    </row>
    <row r="20" spans="1:5" ht="15.75" x14ac:dyDescent="0.25">
      <c r="A20" s="940" t="s">
        <v>318</v>
      </c>
      <c r="B20" s="940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40" t="s">
        <v>319</v>
      </c>
      <c r="B21" s="940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22" t="s">
        <v>1889</v>
      </c>
      <c r="B22" s="923"/>
      <c r="C22" s="923"/>
      <c r="D22" s="923"/>
      <c r="E22" s="924"/>
    </row>
    <row r="23" spans="1:5" ht="33" customHeight="1" x14ac:dyDescent="0.2">
      <c r="A23" s="947" t="s">
        <v>1641</v>
      </c>
      <c r="B23" s="948"/>
      <c r="C23" s="948"/>
      <c r="D23" s="948"/>
      <c r="E23" s="949"/>
    </row>
    <row r="24" spans="1:5" s="280" customFormat="1" ht="33" customHeight="1" x14ac:dyDescent="0.2">
      <c r="A24" s="539" t="s">
        <v>1637</v>
      </c>
      <c r="B24" s="947" t="s">
        <v>1638</v>
      </c>
      <c r="C24" s="949"/>
      <c r="D24" s="947" t="s">
        <v>1828</v>
      </c>
      <c r="E24" s="949"/>
    </row>
    <row r="25" spans="1:5" s="280" customFormat="1" ht="33" customHeight="1" x14ac:dyDescent="0.2">
      <c r="A25" s="836">
        <v>500000</v>
      </c>
      <c r="B25" s="950">
        <v>500000</v>
      </c>
      <c r="C25" s="951"/>
      <c r="D25" s="950">
        <v>500000</v>
      </c>
      <c r="E25" s="951"/>
    </row>
    <row r="26" spans="1:5" ht="32.25" customHeight="1" x14ac:dyDescent="0.2">
      <c r="A26" s="941" t="s">
        <v>1642</v>
      </c>
      <c r="B26" s="942"/>
      <c r="C26" s="942"/>
      <c r="D26" s="942"/>
      <c r="E26" s="943"/>
    </row>
    <row r="27" spans="1:5" ht="15.75" x14ac:dyDescent="0.25">
      <c r="A27" s="935" t="s">
        <v>1636</v>
      </c>
      <c r="B27" s="946" t="s">
        <v>1933</v>
      </c>
      <c r="C27" s="946"/>
      <c r="D27" s="946"/>
      <c r="E27" s="946"/>
    </row>
    <row r="28" spans="1:5" ht="47.25" x14ac:dyDescent="0.25">
      <c r="A28" s="935"/>
      <c r="B28" s="541" t="s">
        <v>1934</v>
      </c>
      <c r="C28" s="541" t="s">
        <v>1935</v>
      </c>
      <c r="D28" s="541" t="s">
        <v>1936</v>
      </c>
      <c r="E28" s="541" t="s">
        <v>1937</v>
      </c>
    </row>
    <row r="29" spans="1:5" ht="31.7" customHeight="1" x14ac:dyDescent="0.25">
      <c r="A29" s="537" t="s">
        <v>320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7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6" t="s">
        <v>266</v>
      </c>
      <c r="B1" s="906"/>
      <c r="C1" s="906"/>
      <c r="D1" s="906"/>
      <c r="E1" s="906"/>
      <c r="F1" s="906"/>
    </row>
    <row r="2" spans="1:6" ht="15.75" x14ac:dyDescent="0.25">
      <c r="A2" s="906" t="s">
        <v>1</v>
      </c>
      <c r="B2" s="906"/>
      <c r="C2" s="906"/>
      <c r="D2" s="906"/>
      <c r="E2" s="906"/>
      <c r="F2" s="906"/>
    </row>
    <row r="3" spans="1:6" ht="15.75" x14ac:dyDescent="0.25">
      <c r="A3" s="906" t="s">
        <v>2</v>
      </c>
      <c r="B3" s="906"/>
      <c r="C3" s="906"/>
      <c r="D3" s="906"/>
      <c r="E3" s="906"/>
      <c r="F3" s="906"/>
    </row>
    <row r="4" spans="1:6" ht="15.75" x14ac:dyDescent="0.25">
      <c r="A4" s="906" t="s">
        <v>1931</v>
      </c>
      <c r="B4" s="906"/>
      <c r="C4" s="906"/>
      <c r="D4" s="906"/>
      <c r="E4" s="906"/>
      <c r="F4" s="906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7" t="s">
        <v>1827</v>
      </c>
      <c r="B6" s="967"/>
      <c r="C6" s="967"/>
      <c r="D6" s="967"/>
      <c r="E6" s="967"/>
      <c r="F6" s="967"/>
    </row>
    <row r="7" spans="1:6" ht="161.25" customHeight="1" x14ac:dyDescent="0.2">
      <c r="A7" s="952" t="s">
        <v>1845</v>
      </c>
      <c r="B7" s="953"/>
      <c r="C7" s="953"/>
      <c r="D7" s="953"/>
      <c r="E7" s="953"/>
      <c r="F7" s="953"/>
    </row>
    <row r="8" spans="1:6" ht="33" customHeight="1" x14ac:dyDescent="0.2">
      <c r="A8" s="964" t="s">
        <v>1851</v>
      </c>
      <c r="B8" s="964"/>
      <c r="C8" s="964"/>
      <c r="D8" s="964"/>
      <c r="E8" s="964"/>
      <c r="F8" s="964"/>
    </row>
    <row r="9" spans="1:6" s="280" customFormat="1" ht="66" customHeight="1" x14ac:dyDescent="0.2">
      <c r="A9" s="965" t="s">
        <v>1817</v>
      </c>
      <c r="B9" s="966"/>
      <c r="C9" s="814" t="s">
        <v>1938</v>
      </c>
      <c r="D9" s="814" t="s">
        <v>1846</v>
      </c>
      <c r="E9" s="814" t="s">
        <v>1847</v>
      </c>
      <c r="F9" s="813" t="s">
        <v>1848</v>
      </c>
    </row>
    <row r="10" spans="1:6" s="280" customFormat="1" ht="27" customHeight="1" x14ac:dyDescent="0.2">
      <c r="A10" s="954"/>
      <c r="B10" s="955"/>
      <c r="C10" s="814"/>
      <c r="D10" s="814"/>
      <c r="E10" s="814"/>
      <c r="F10" s="813"/>
    </row>
    <row r="11" spans="1:6" ht="45" customHeight="1" x14ac:dyDescent="0.25">
      <c r="A11" s="961" t="s">
        <v>1855</v>
      </c>
      <c r="B11" s="962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0" t="s">
        <v>1849</v>
      </c>
      <c r="B13" s="960"/>
      <c r="C13" s="960"/>
      <c r="D13" s="960"/>
      <c r="E13" s="960"/>
      <c r="F13" s="960"/>
    </row>
    <row r="14" spans="1:6" ht="18" customHeight="1" x14ac:dyDescent="0.25">
      <c r="A14" s="963" t="s">
        <v>1850</v>
      </c>
      <c r="B14" s="963"/>
      <c r="C14" s="963"/>
      <c r="D14" s="963"/>
      <c r="E14" s="963"/>
      <c r="F14" s="963"/>
    </row>
    <row r="15" spans="1:6" ht="14.25" customHeight="1" x14ac:dyDescent="0.2">
      <c r="A15" s="956" t="s">
        <v>1944</v>
      </c>
      <c r="B15" s="956"/>
      <c r="C15" s="956"/>
      <c r="D15" s="956"/>
      <c r="E15" s="956"/>
      <c r="F15" s="956"/>
    </row>
    <row r="16" spans="1:6" ht="15.75" x14ac:dyDescent="0.25">
      <c r="A16" s="957" t="s">
        <v>1852</v>
      </c>
      <c r="B16" s="958"/>
      <c r="C16" s="958"/>
      <c r="D16" s="958"/>
      <c r="E16" s="958"/>
      <c r="F16" s="958"/>
    </row>
    <row r="17" spans="1:6" ht="15.75" x14ac:dyDescent="0.2">
      <c r="A17" s="959" t="s">
        <v>1853</v>
      </c>
      <c r="B17" s="959"/>
      <c r="C17" s="959"/>
      <c r="D17" s="959"/>
      <c r="E17" s="959"/>
      <c r="F17" s="959"/>
    </row>
    <row r="18" spans="1:6" ht="18.95" customHeight="1" x14ac:dyDescent="0.2">
      <c r="A18" s="815" t="s">
        <v>1854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1815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1819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1571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324</v>
      </c>
      <c r="B8" s="972"/>
      <c r="C8" s="973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1691</v>
      </c>
      <c r="C11" s="488" t="s">
        <v>1696</v>
      </c>
    </row>
    <row r="12" spans="1:3" ht="87.75" customHeight="1" x14ac:dyDescent="0.2">
      <c r="A12" s="487">
        <v>950</v>
      </c>
      <c r="B12" s="369" t="s">
        <v>1692</v>
      </c>
      <c r="C12" s="488" t="s">
        <v>1697</v>
      </c>
    </row>
    <row r="13" spans="1:3" ht="94.5" x14ac:dyDescent="0.2">
      <c r="A13" s="487">
        <v>950</v>
      </c>
      <c r="B13" s="369" t="s">
        <v>1693</v>
      </c>
      <c r="C13" s="488" t="s">
        <v>1698</v>
      </c>
    </row>
    <row r="14" spans="1:3" ht="97.5" customHeight="1" x14ac:dyDescent="0.2">
      <c r="A14" s="487">
        <v>950</v>
      </c>
      <c r="B14" s="369" t="s">
        <v>1694</v>
      </c>
      <c r="C14" s="488" t="s">
        <v>1699</v>
      </c>
    </row>
    <row r="15" spans="1:3" ht="101.25" customHeight="1" x14ac:dyDescent="0.2">
      <c r="A15" s="487">
        <v>950</v>
      </c>
      <c r="B15" s="369" t="s">
        <v>1695</v>
      </c>
      <c r="C15" s="488" t="s">
        <v>1700</v>
      </c>
    </row>
    <row r="16" spans="1:3" ht="71.25" customHeight="1" x14ac:dyDescent="0.2">
      <c r="A16" s="487">
        <v>950</v>
      </c>
      <c r="B16" s="660" t="s">
        <v>1703</v>
      </c>
      <c r="C16" s="488" t="s">
        <v>1702</v>
      </c>
    </row>
    <row r="17" spans="1:3" ht="78" customHeight="1" x14ac:dyDescent="0.2">
      <c r="A17" s="487">
        <v>950</v>
      </c>
      <c r="B17" s="660" t="s">
        <v>1705</v>
      </c>
      <c r="C17" s="488" t="s">
        <v>1704</v>
      </c>
    </row>
    <row r="18" spans="1:3" ht="94.5" x14ac:dyDescent="0.2">
      <c r="A18" s="489">
        <v>950</v>
      </c>
      <c r="B18" s="368" t="s">
        <v>1597</v>
      </c>
      <c r="C18" s="488" t="s">
        <v>1609</v>
      </c>
    </row>
    <row r="19" spans="1:3" ht="47.25" x14ac:dyDescent="0.2">
      <c r="A19" s="489">
        <v>950</v>
      </c>
      <c r="B19" s="368" t="s">
        <v>1598</v>
      </c>
      <c r="C19" s="488" t="s">
        <v>1610</v>
      </c>
    </row>
    <row r="20" spans="1:3" ht="78.75" x14ac:dyDescent="0.2">
      <c r="A20" s="489">
        <v>950</v>
      </c>
      <c r="B20" s="368" t="s">
        <v>1599</v>
      </c>
      <c r="C20" s="488" t="s">
        <v>1611</v>
      </c>
    </row>
    <row r="21" spans="1:3" ht="176.25" customHeight="1" x14ac:dyDescent="0.2">
      <c r="A21" s="487">
        <v>950</v>
      </c>
      <c r="B21" s="368" t="s">
        <v>1600</v>
      </c>
      <c r="C21" s="488" t="s">
        <v>1644</v>
      </c>
    </row>
    <row r="22" spans="1:3" ht="171.95" customHeight="1" x14ac:dyDescent="0.2">
      <c r="A22" s="489">
        <v>950</v>
      </c>
      <c r="B22" s="368" t="s">
        <v>1601</v>
      </c>
      <c r="C22" s="488" t="s">
        <v>1645</v>
      </c>
    </row>
    <row r="23" spans="1:3" ht="126" x14ac:dyDescent="0.2">
      <c r="A23" s="489">
        <v>950</v>
      </c>
      <c r="B23" s="368" t="s">
        <v>1602</v>
      </c>
      <c r="C23" s="488" t="s">
        <v>1612</v>
      </c>
    </row>
    <row r="24" spans="1:3" ht="78.75" x14ac:dyDescent="0.2">
      <c r="A24" s="489">
        <v>950</v>
      </c>
      <c r="B24" s="368" t="s">
        <v>1603</v>
      </c>
      <c r="C24" s="488" t="s">
        <v>1613</v>
      </c>
    </row>
    <row r="25" spans="1:3" ht="171" customHeight="1" x14ac:dyDescent="0.2">
      <c r="A25" s="818">
        <v>950</v>
      </c>
      <c r="B25" s="817" t="s">
        <v>1867</v>
      </c>
      <c r="C25" s="819" t="s">
        <v>1868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1302</v>
      </c>
      <c r="C28" s="488" t="s">
        <v>1614</v>
      </c>
    </row>
    <row r="29" spans="1:3" ht="47.25" x14ac:dyDescent="0.2">
      <c r="A29" s="487">
        <v>950</v>
      </c>
      <c r="B29" s="368" t="s">
        <v>1604</v>
      </c>
      <c r="C29" s="488" t="s">
        <v>1279</v>
      </c>
    </row>
    <row r="30" spans="1:3" ht="63" x14ac:dyDescent="0.2">
      <c r="A30" s="489">
        <v>950</v>
      </c>
      <c r="B30" s="368" t="s">
        <v>1605</v>
      </c>
      <c r="C30" s="488" t="s">
        <v>1606</v>
      </c>
    </row>
    <row r="31" spans="1:3" ht="15.75" x14ac:dyDescent="0.2">
      <c r="A31" s="489">
        <v>950</v>
      </c>
      <c r="B31" s="368" t="s">
        <v>1288</v>
      </c>
      <c r="C31" s="488" t="s">
        <v>334</v>
      </c>
    </row>
    <row r="32" spans="1:3" ht="47.25" x14ac:dyDescent="0.2">
      <c r="A32" s="489">
        <v>950</v>
      </c>
      <c r="B32" s="368" t="s">
        <v>1301</v>
      </c>
      <c r="C32" s="488" t="s">
        <v>335</v>
      </c>
    </row>
    <row r="33" spans="1:3" ht="71.25" customHeight="1" x14ac:dyDescent="0.2">
      <c r="A33" s="489">
        <v>950</v>
      </c>
      <c r="B33" s="368" t="s">
        <v>1300</v>
      </c>
      <c r="C33" s="488" t="s">
        <v>1164</v>
      </c>
    </row>
    <row r="34" spans="1:3" ht="41.25" customHeight="1" x14ac:dyDescent="0.2">
      <c r="A34" s="489">
        <v>950</v>
      </c>
      <c r="B34" s="368" t="s">
        <v>1860</v>
      </c>
      <c r="C34" s="488" t="s">
        <v>1785</v>
      </c>
    </row>
    <row r="35" spans="1:3" ht="47.25" x14ac:dyDescent="0.2">
      <c r="A35" s="489">
        <v>950</v>
      </c>
      <c r="B35" s="368" t="s">
        <v>1299</v>
      </c>
      <c r="C35" s="488" t="s">
        <v>1163</v>
      </c>
    </row>
    <row r="36" spans="1:3" ht="78.75" x14ac:dyDescent="0.2">
      <c r="A36" s="491">
        <v>950</v>
      </c>
      <c r="B36" s="369" t="s">
        <v>1289</v>
      </c>
      <c r="C36" s="488" t="s">
        <v>336</v>
      </c>
    </row>
    <row r="37" spans="1:3" ht="31.5" x14ac:dyDescent="0.2">
      <c r="A37" s="491">
        <v>950</v>
      </c>
      <c r="B37" s="369" t="s">
        <v>1298</v>
      </c>
      <c r="C37" s="488" t="s">
        <v>337</v>
      </c>
    </row>
    <row r="38" spans="1:3" ht="31.5" x14ac:dyDescent="0.2">
      <c r="A38" s="491">
        <v>950</v>
      </c>
      <c r="B38" s="369" t="s">
        <v>1607</v>
      </c>
      <c r="C38" s="488" t="s">
        <v>1570</v>
      </c>
    </row>
    <row r="39" spans="1:3" ht="47.25" x14ac:dyDescent="0.2">
      <c r="A39" s="487">
        <v>950</v>
      </c>
      <c r="B39" s="368" t="s">
        <v>1280</v>
      </c>
      <c r="C39" s="488" t="s">
        <v>1281</v>
      </c>
    </row>
    <row r="40" spans="1:3" ht="31.5" x14ac:dyDescent="0.2">
      <c r="A40" s="489">
        <v>950</v>
      </c>
      <c r="B40" s="368" t="s">
        <v>1290</v>
      </c>
      <c r="C40" s="488" t="s">
        <v>333</v>
      </c>
    </row>
    <row r="41" spans="1:3" ht="63" x14ac:dyDescent="0.2">
      <c r="A41" s="489">
        <v>950</v>
      </c>
      <c r="B41" s="368" t="s">
        <v>1303</v>
      </c>
      <c r="C41" s="488" t="s">
        <v>1165</v>
      </c>
    </row>
    <row r="42" spans="1:3" ht="74.25" customHeight="1" x14ac:dyDescent="0.2">
      <c r="A42" s="489">
        <v>950</v>
      </c>
      <c r="B42" s="368" t="s">
        <v>1297</v>
      </c>
      <c r="C42" s="488" t="s">
        <v>1166</v>
      </c>
    </row>
    <row r="43" spans="1:3" ht="75" customHeight="1" x14ac:dyDescent="0.2">
      <c r="A43" s="489">
        <v>950</v>
      </c>
      <c r="B43" s="368" t="s">
        <v>1296</v>
      </c>
      <c r="C43" s="488" t="s">
        <v>1167</v>
      </c>
    </row>
    <row r="44" spans="1:3" ht="78" customHeight="1" x14ac:dyDescent="0.2">
      <c r="A44" s="487">
        <v>950</v>
      </c>
      <c r="B44" s="368" t="s">
        <v>1282</v>
      </c>
      <c r="C44" s="488" t="s">
        <v>1283</v>
      </c>
    </row>
    <row r="45" spans="1:3" ht="48" customHeight="1" x14ac:dyDescent="0.2">
      <c r="A45" s="487">
        <v>950</v>
      </c>
      <c r="B45" s="368" t="s">
        <v>1284</v>
      </c>
      <c r="C45" s="488" t="s">
        <v>1285</v>
      </c>
    </row>
    <row r="46" spans="1:3" ht="70.5" customHeight="1" x14ac:dyDescent="0.2">
      <c r="A46" s="489">
        <v>950</v>
      </c>
      <c r="B46" s="368" t="s">
        <v>1291</v>
      </c>
      <c r="C46" s="488" t="s">
        <v>1168</v>
      </c>
    </row>
    <row r="47" spans="1:3" ht="36" customHeight="1" x14ac:dyDescent="0.2">
      <c r="A47" s="968" t="s">
        <v>338</v>
      </c>
      <c r="B47" s="969"/>
      <c r="C47" s="970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1286</v>
      </c>
      <c r="C50" s="493" t="s">
        <v>1294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1890</v>
      </c>
      <c r="C54" s="493" t="s">
        <v>1891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1287</v>
      </c>
      <c r="C59" s="493" t="s">
        <v>1295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1706</v>
      </c>
      <c r="C61" s="493" t="s">
        <v>1704</v>
      </c>
    </row>
    <row r="62" spans="1:3" ht="94.5" x14ac:dyDescent="0.2">
      <c r="A62" s="492">
        <v>952</v>
      </c>
      <c r="B62" s="371" t="s">
        <v>1597</v>
      </c>
      <c r="C62" s="493" t="s">
        <v>1609</v>
      </c>
    </row>
    <row r="63" spans="1:3" ht="47.25" x14ac:dyDescent="0.2">
      <c r="A63" s="492">
        <v>952</v>
      </c>
      <c r="B63" s="371" t="s">
        <v>1598</v>
      </c>
      <c r="C63" s="493" t="s">
        <v>1610</v>
      </c>
    </row>
    <row r="64" spans="1:3" ht="78.75" x14ac:dyDescent="0.2">
      <c r="A64" s="492">
        <v>952</v>
      </c>
      <c r="B64" s="371" t="s">
        <v>1599</v>
      </c>
      <c r="C64" s="493" t="s">
        <v>1611</v>
      </c>
    </row>
    <row r="65" spans="1:3" ht="178.5" customHeight="1" x14ac:dyDescent="0.2">
      <c r="A65" s="492">
        <v>952</v>
      </c>
      <c r="B65" s="371" t="s">
        <v>1608</v>
      </c>
      <c r="C65" s="493" t="s">
        <v>1644</v>
      </c>
    </row>
    <row r="66" spans="1:3" ht="126" x14ac:dyDescent="0.2">
      <c r="A66" s="492">
        <v>952</v>
      </c>
      <c r="B66" s="371" t="s">
        <v>1602</v>
      </c>
      <c r="C66" s="493" t="s">
        <v>1612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1289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1290</v>
      </c>
      <c r="C70" s="493" t="s">
        <v>333</v>
      </c>
    </row>
    <row r="71" spans="1:3" ht="63" customHeight="1" x14ac:dyDescent="0.2">
      <c r="A71" s="492">
        <v>952</v>
      </c>
      <c r="B71" s="371" t="s">
        <v>1291</v>
      </c>
      <c r="C71" s="493" t="s">
        <v>1168</v>
      </c>
    </row>
    <row r="72" spans="1:3" ht="15.75" x14ac:dyDescent="0.2">
      <c r="A72" s="968" t="s">
        <v>352</v>
      </c>
      <c r="B72" s="969"/>
      <c r="C72" s="970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1706</v>
      </c>
      <c r="C75" s="495" t="s">
        <v>1704</v>
      </c>
    </row>
    <row r="76" spans="1:3" ht="94.5" x14ac:dyDescent="0.2">
      <c r="A76" s="497">
        <v>953</v>
      </c>
      <c r="B76" s="373" t="s">
        <v>1615</v>
      </c>
      <c r="C76" s="495" t="s">
        <v>1609</v>
      </c>
    </row>
    <row r="77" spans="1:3" ht="47.25" x14ac:dyDescent="0.2">
      <c r="A77" s="497">
        <v>953</v>
      </c>
      <c r="B77" s="373" t="s">
        <v>1598</v>
      </c>
      <c r="C77" s="495" t="s">
        <v>1610</v>
      </c>
    </row>
    <row r="78" spans="1:3" ht="78.75" x14ac:dyDescent="0.2">
      <c r="A78" s="497">
        <v>953</v>
      </c>
      <c r="B78" s="373" t="s">
        <v>1599</v>
      </c>
      <c r="C78" s="495" t="s">
        <v>1611</v>
      </c>
    </row>
    <row r="79" spans="1:3" ht="175.7" customHeight="1" x14ac:dyDescent="0.2">
      <c r="A79" s="497">
        <v>953</v>
      </c>
      <c r="B79" s="373" t="s">
        <v>1600</v>
      </c>
      <c r="C79" s="495" t="s">
        <v>1644</v>
      </c>
    </row>
    <row r="80" spans="1:3" ht="126" x14ac:dyDescent="0.2">
      <c r="A80" s="497">
        <v>953</v>
      </c>
      <c r="B80" s="373" t="s">
        <v>1602</v>
      </c>
      <c r="C80" s="495" t="s">
        <v>1612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1629</v>
      </c>
      <c r="C83" s="495" t="s">
        <v>1630</v>
      </c>
    </row>
    <row r="84" spans="1:3" ht="31.5" x14ac:dyDescent="0.2">
      <c r="A84" s="497">
        <v>953</v>
      </c>
      <c r="B84" s="373" t="s">
        <v>1843</v>
      </c>
      <c r="C84" s="495" t="s">
        <v>1844</v>
      </c>
    </row>
    <row r="85" spans="1:3" ht="25.5" customHeight="1" x14ac:dyDescent="0.2">
      <c r="A85" s="497">
        <v>953</v>
      </c>
      <c r="B85" s="373" t="s">
        <v>1288</v>
      </c>
      <c r="C85" s="495" t="s">
        <v>334</v>
      </c>
    </row>
    <row r="86" spans="1:3" ht="47.25" x14ac:dyDescent="0.2">
      <c r="A86" s="497">
        <v>953</v>
      </c>
      <c r="B86" s="373" t="s">
        <v>1301</v>
      </c>
      <c r="C86" s="495" t="s">
        <v>335</v>
      </c>
    </row>
    <row r="87" spans="1:3" ht="56.25" customHeight="1" x14ac:dyDescent="0.2">
      <c r="A87" s="497">
        <v>953</v>
      </c>
      <c r="B87" s="373" t="s">
        <v>1306</v>
      </c>
      <c r="C87" s="495" t="s">
        <v>353</v>
      </c>
    </row>
    <row r="88" spans="1:3" ht="69" customHeight="1" x14ac:dyDescent="0.2">
      <c r="A88" s="497">
        <v>953</v>
      </c>
      <c r="B88" s="373" t="s">
        <v>1840</v>
      </c>
      <c r="C88" s="495" t="s">
        <v>1799</v>
      </c>
    </row>
    <row r="89" spans="1:3" ht="84.75" customHeight="1" x14ac:dyDescent="0.2">
      <c r="A89" s="497">
        <v>953</v>
      </c>
      <c r="B89" s="373" t="s">
        <v>1839</v>
      </c>
      <c r="C89" s="495" t="s">
        <v>1805</v>
      </c>
    </row>
    <row r="90" spans="1:3" ht="78.75" x14ac:dyDescent="0.2">
      <c r="A90" s="497">
        <v>953</v>
      </c>
      <c r="B90" s="373" t="s">
        <v>1289</v>
      </c>
      <c r="C90" s="495" t="s">
        <v>336</v>
      </c>
    </row>
    <row r="91" spans="1:3" ht="47.25" x14ac:dyDescent="0.2">
      <c r="A91" s="497">
        <v>953</v>
      </c>
      <c r="B91" s="373" t="s">
        <v>1280</v>
      </c>
      <c r="C91" s="495" t="s">
        <v>332</v>
      </c>
    </row>
    <row r="92" spans="1:3" ht="63" x14ac:dyDescent="0.2">
      <c r="A92" s="498">
        <v>953</v>
      </c>
      <c r="B92" s="374" t="s">
        <v>1304</v>
      </c>
      <c r="C92" s="499" t="s">
        <v>1305</v>
      </c>
    </row>
    <row r="93" spans="1:3" ht="63" x14ac:dyDescent="0.2">
      <c r="A93" s="497">
        <v>953</v>
      </c>
      <c r="B93" s="373" t="s">
        <v>1291</v>
      </c>
      <c r="C93" s="495" t="s">
        <v>1169</v>
      </c>
    </row>
    <row r="94" spans="1:3" ht="33.75" customHeight="1" x14ac:dyDescent="0.2">
      <c r="A94" s="974" t="s">
        <v>354</v>
      </c>
      <c r="B94" s="975"/>
      <c r="C94" s="976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1706</v>
      </c>
      <c r="C96" s="495" t="s">
        <v>1704</v>
      </c>
    </row>
    <row r="97" spans="1:3" ht="94.5" x14ac:dyDescent="0.2">
      <c r="A97" s="497">
        <v>954</v>
      </c>
      <c r="B97" s="373" t="s">
        <v>1597</v>
      </c>
      <c r="C97" s="495" t="s">
        <v>1609</v>
      </c>
    </row>
    <row r="98" spans="1:3" ht="47.25" x14ac:dyDescent="0.2">
      <c r="A98" s="497">
        <v>954</v>
      </c>
      <c r="B98" s="373" t="s">
        <v>1598</v>
      </c>
      <c r="C98" s="495" t="s">
        <v>1610</v>
      </c>
    </row>
    <row r="99" spans="1:3" ht="178.5" customHeight="1" x14ac:dyDescent="0.2">
      <c r="A99" s="497">
        <v>954</v>
      </c>
      <c r="B99" s="373" t="s">
        <v>1600</v>
      </c>
      <c r="C99" s="495" t="s">
        <v>1644</v>
      </c>
    </row>
    <row r="100" spans="1:3" ht="126" x14ac:dyDescent="0.2">
      <c r="A100" s="497">
        <v>954</v>
      </c>
      <c r="B100" s="373" t="s">
        <v>1602</v>
      </c>
      <c r="C100" s="495" t="s">
        <v>1612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1308</v>
      </c>
      <c r="C102" s="495" t="s">
        <v>1309</v>
      </c>
    </row>
    <row r="103" spans="1:3" ht="47.25" x14ac:dyDescent="0.2">
      <c r="A103" s="497">
        <v>954</v>
      </c>
      <c r="B103" s="373" t="s">
        <v>1301</v>
      </c>
      <c r="C103" s="495" t="s">
        <v>335</v>
      </c>
    </row>
    <row r="104" spans="1:3" ht="78.75" x14ac:dyDescent="0.2">
      <c r="A104" s="497">
        <v>954</v>
      </c>
      <c r="B104" s="373" t="s">
        <v>1310</v>
      </c>
      <c r="C104" s="495" t="s">
        <v>357</v>
      </c>
    </row>
    <row r="105" spans="1:3" ht="78.75" x14ac:dyDescent="0.2">
      <c r="A105" s="497">
        <v>954</v>
      </c>
      <c r="B105" s="373" t="s">
        <v>1311</v>
      </c>
      <c r="C105" s="495" t="s">
        <v>1646</v>
      </c>
    </row>
    <row r="106" spans="1:3" ht="84" customHeight="1" x14ac:dyDescent="0.2">
      <c r="A106" s="497">
        <v>954</v>
      </c>
      <c r="B106" s="373" t="s">
        <v>1313</v>
      </c>
      <c r="C106" s="495" t="s">
        <v>1312</v>
      </c>
    </row>
    <row r="107" spans="1:3" ht="66.75" customHeight="1" x14ac:dyDescent="0.2">
      <c r="A107" s="497">
        <v>954</v>
      </c>
      <c r="B107" s="373" t="s">
        <v>1864</v>
      </c>
      <c r="C107" s="495" t="s">
        <v>1866</v>
      </c>
    </row>
    <row r="108" spans="1:3" ht="47.25" x14ac:dyDescent="0.2">
      <c r="A108" s="497">
        <v>954</v>
      </c>
      <c r="B108" s="373" t="s">
        <v>1314</v>
      </c>
      <c r="C108" s="495" t="s">
        <v>355</v>
      </c>
    </row>
    <row r="109" spans="1:3" ht="94.5" x14ac:dyDescent="0.2">
      <c r="A109" s="497">
        <v>954</v>
      </c>
      <c r="B109" s="373" t="s">
        <v>1315</v>
      </c>
      <c r="C109" s="495" t="s">
        <v>356</v>
      </c>
    </row>
    <row r="110" spans="1:3" ht="47.25" x14ac:dyDescent="0.2">
      <c r="A110" s="497">
        <v>954</v>
      </c>
      <c r="B110" s="373" t="s">
        <v>1841</v>
      </c>
      <c r="C110" s="495" t="s">
        <v>1780</v>
      </c>
    </row>
    <row r="111" spans="1:3" ht="111.75" customHeight="1" x14ac:dyDescent="0.2">
      <c r="A111" s="497">
        <v>954</v>
      </c>
      <c r="B111" s="373" t="s">
        <v>1316</v>
      </c>
      <c r="C111" s="495" t="s">
        <v>1633</v>
      </c>
    </row>
    <row r="112" spans="1:3" ht="65.25" customHeight="1" x14ac:dyDescent="0.2">
      <c r="A112" s="497">
        <v>954</v>
      </c>
      <c r="B112" s="373" t="s">
        <v>1859</v>
      </c>
      <c r="C112" s="495" t="s">
        <v>1802</v>
      </c>
    </row>
    <row r="113" spans="1:3" ht="66.75" customHeight="1" x14ac:dyDescent="0.2">
      <c r="A113" s="497">
        <v>954</v>
      </c>
      <c r="B113" s="373" t="s">
        <v>1317</v>
      </c>
      <c r="C113" s="495" t="s">
        <v>1174</v>
      </c>
    </row>
    <row r="114" spans="1:3" ht="54" customHeight="1" x14ac:dyDescent="0.2">
      <c r="A114" s="496">
        <v>954</v>
      </c>
      <c r="B114" s="486" t="s">
        <v>1318</v>
      </c>
      <c r="C114" s="495" t="s">
        <v>1647</v>
      </c>
    </row>
    <row r="115" spans="1:3" ht="66.75" customHeight="1" x14ac:dyDescent="0.2">
      <c r="A115" s="496">
        <v>954</v>
      </c>
      <c r="B115" s="486" t="s">
        <v>1289</v>
      </c>
      <c r="C115" s="495" t="s">
        <v>336</v>
      </c>
    </row>
    <row r="116" spans="1:3" ht="31.5" x14ac:dyDescent="0.2">
      <c r="A116" s="497">
        <v>954</v>
      </c>
      <c r="B116" s="372" t="s">
        <v>1307</v>
      </c>
      <c r="C116" s="495" t="s">
        <v>337</v>
      </c>
    </row>
    <row r="117" spans="1:3" ht="47.25" x14ac:dyDescent="0.2">
      <c r="A117" s="497">
        <v>954</v>
      </c>
      <c r="B117" s="373" t="s">
        <v>1280</v>
      </c>
      <c r="C117" s="495" t="s">
        <v>332</v>
      </c>
    </row>
    <row r="118" spans="1:3" ht="81" customHeight="1" x14ac:dyDescent="0.2">
      <c r="A118" s="496">
        <v>954</v>
      </c>
      <c r="B118" s="374" t="s">
        <v>1319</v>
      </c>
      <c r="C118" s="495" t="s">
        <v>1320</v>
      </c>
    </row>
    <row r="119" spans="1:3" ht="83.25" customHeight="1" x14ac:dyDescent="0.2">
      <c r="A119" s="496">
        <v>954</v>
      </c>
      <c r="B119" s="374" t="s">
        <v>1321</v>
      </c>
      <c r="C119" s="495" t="s">
        <v>1322</v>
      </c>
    </row>
    <row r="120" spans="1:3" ht="53.25" customHeight="1" x14ac:dyDescent="0.2">
      <c r="A120" s="496">
        <v>954</v>
      </c>
      <c r="B120" s="374" t="s">
        <v>1323</v>
      </c>
      <c r="C120" s="495" t="s">
        <v>1324</v>
      </c>
    </row>
    <row r="121" spans="1:3" ht="135" customHeight="1" x14ac:dyDescent="0.2">
      <c r="A121" s="496">
        <v>954</v>
      </c>
      <c r="B121" s="374" t="s">
        <v>1325</v>
      </c>
      <c r="C121" s="500" t="s">
        <v>1326</v>
      </c>
    </row>
    <row r="122" spans="1:3" ht="161.25" customHeight="1" x14ac:dyDescent="0.2">
      <c r="A122" s="496">
        <v>954</v>
      </c>
      <c r="B122" s="374" t="s">
        <v>1327</v>
      </c>
      <c r="C122" s="500" t="s">
        <v>1328</v>
      </c>
    </row>
    <row r="123" spans="1:3" ht="70.5" customHeight="1" x14ac:dyDescent="0.2">
      <c r="A123" s="496">
        <v>954</v>
      </c>
      <c r="B123" s="374" t="s">
        <v>1329</v>
      </c>
      <c r="C123" s="495" t="s">
        <v>1330</v>
      </c>
    </row>
    <row r="124" spans="1:3" ht="70.5" customHeight="1" x14ac:dyDescent="0.2">
      <c r="A124" s="496">
        <v>954</v>
      </c>
      <c r="B124" s="374" t="s">
        <v>1332</v>
      </c>
      <c r="C124" s="495" t="s">
        <v>1331</v>
      </c>
    </row>
    <row r="125" spans="1:3" ht="63" x14ac:dyDescent="0.2">
      <c r="A125" s="497">
        <v>954</v>
      </c>
      <c r="B125" s="373" t="s">
        <v>1291</v>
      </c>
      <c r="C125" s="495" t="s">
        <v>1169</v>
      </c>
    </row>
    <row r="126" spans="1:3" ht="15.75" x14ac:dyDescent="0.2">
      <c r="A126" s="968" t="s">
        <v>358</v>
      </c>
      <c r="B126" s="969"/>
      <c r="C126" s="970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5">
        <v>955</v>
      </c>
      <c r="B128" s="656" t="s">
        <v>1616</v>
      </c>
      <c r="C128" s="657" t="s">
        <v>1617</v>
      </c>
    </row>
    <row r="129" spans="1:3" ht="86.25" customHeight="1" x14ac:dyDescent="0.2">
      <c r="A129" s="655">
        <v>955</v>
      </c>
      <c r="B129" s="656" t="s">
        <v>1706</v>
      </c>
      <c r="C129" s="657" t="s">
        <v>1704</v>
      </c>
    </row>
    <row r="130" spans="1:3" ht="94.5" x14ac:dyDescent="0.2">
      <c r="A130" s="496">
        <v>955</v>
      </c>
      <c r="B130" s="373" t="s">
        <v>1597</v>
      </c>
      <c r="C130" s="495" t="s">
        <v>1609</v>
      </c>
    </row>
    <row r="131" spans="1:3" ht="78.75" x14ac:dyDescent="0.2">
      <c r="A131" s="497">
        <v>955</v>
      </c>
      <c r="B131" s="373" t="s">
        <v>1599</v>
      </c>
      <c r="C131" s="495" t="s">
        <v>1611</v>
      </c>
    </row>
    <row r="132" spans="1:3" ht="182.25" customHeight="1" x14ac:dyDescent="0.2">
      <c r="A132" s="524">
        <v>955</v>
      </c>
      <c r="B132" s="525" t="s">
        <v>1600</v>
      </c>
      <c r="C132" s="526" t="s">
        <v>1644</v>
      </c>
    </row>
    <row r="133" spans="1:3" ht="126" x14ac:dyDescent="0.2">
      <c r="A133" s="527">
        <v>955</v>
      </c>
      <c r="B133" s="525" t="s">
        <v>1602</v>
      </c>
      <c r="C133" s="526" t="s">
        <v>1612</v>
      </c>
    </row>
    <row r="134" spans="1:3" ht="63" x14ac:dyDescent="0.2">
      <c r="A134" s="675">
        <v>955</v>
      </c>
      <c r="B134" s="525" t="s">
        <v>1708</v>
      </c>
      <c r="C134" s="676" t="s">
        <v>1707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1333</v>
      </c>
      <c r="C137" s="495" t="s">
        <v>1211</v>
      </c>
    </row>
    <row r="138" spans="1:3" ht="33.75" customHeight="1" x14ac:dyDescent="0.2">
      <c r="A138" s="496">
        <v>955</v>
      </c>
      <c r="B138" s="373" t="s">
        <v>1334</v>
      </c>
      <c r="C138" s="495" t="s">
        <v>359</v>
      </c>
    </row>
    <row r="139" spans="1:3" ht="24" customHeight="1" x14ac:dyDescent="0.2">
      <c r="A139" s="496">
        <v>955</v>
      </c>
      <c r="B139" s="373" t="s">
        <v>1335</v>
      </c>
      <c r="C139" s="495" t="s">
        <v>374</v>
      </c>
    </row>
    <row r="140" spans="1:3" ht="78.75" x14ac:dyDescent="0.2">
      <c r="A140" s="496">
        <v>955</v>
      </c>
      <c r="B140" s="373" t="s">
        <v>1289</v>
      </c>
      <c r="C140" s="495" t="s">
        <v>336</v>
      </c>
    </row>
    <row r="141" spans="1:3" ht="63" x14ac:dyDescent="0.2">
      <c r="A141" s="496">
        <v>955</v>
      </c>
      <c r="B141" s="398" t="s">
        <v>1337</v>
      </c>
      <c r="C141" s="499" t="s">
        <v>128</v>
      </c>
    </row>
    <row r="142" spans="1:3" ht="110.25" x14ac:dyDescent="0.2">
      <c r="A142" s="496">
        <v>955</v>
      </c>
      <c r="B142" s="373" t="s">
        <v>1336</v>
      </c>
      <c r="C142" s="495" t="s">
        <v>360</v>
      </c>
    </row>
    <row r="143" spans="1:3" ht="78.75" x14ac:dyDescent="0.2">
      <c r="A143" s="496">
        <v>955</v>
      </c>
      <c r="B143" s="398" t="s">
        <v>1338</v>
      </c>
      <c r="C143" s="499" t="s">
        <v>1339</v>
      </c>
    </row>
    <row r="144" spans="1:3" ht="63" x14ac:dyDescent="0.2">
      <c r="A144" s="496">
        <v>955</v>
      </c>
      <c r="B144" s="373" t="s">
        <v>1303</v>
      </c>
      <c r="C144" s="495" t="s">
        <v>1165</v>
      </c>
    </row>
    <row r="145" spans="1:3" ht="78.75" x14ac:dyDescent="0.2">
      <c r="A145" s="496">
        <v>955</v>
      </c>
      <c r="B145" s="398" t="s">
        <v>1340</v>
      </c>
      <c r="C145" s="490" t="s">
        <v>1341</v>
      </c>
    </row>
    <row r="146" spans="1:3" ht="63" x14ac:dyDescent="0.2">
      <c r="A146" s="496">
        <v>955</v>
      </c>
      <c r="B146" s="373" t="s">
        <v>1291</v>
      </c>
      <c r="C146" s="495" t="s">
        <v>1169</v>
      </c>
    </row>
    <row r="147" spans="1:3" ht="33" customHeight="1" x14ac:dyDescent="0.2">
      <c r="A147" s="968" t="s">
        <v>361</v>
      </c>
      <c r="B147" s="969"/>
      <c r="C147" s="970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1706</v>
      </c>
      <c r="C149" s="495" t="s">
        <v>1704</v>
      </c>
    </row>
    <row r="150" spans="1:3" ht="94.5" x14ac:dyDescent="0.2">
      <c r="A150" s="497">
        <v>956</v>
      </c>
      <c r="B150" s="373" t="s">
        <v>1597</v>
      </c>
      <c r="C150" s="495" t="s">
        <v>1609</v>
      </c>
    </row>
    <row r="151" spans="1:3" ht="47.25" x14ac:dyDescent="0.2">
      <c r="A151" s="497">
        <v>956</v>
      </c>
      <c r="B151" s="373" t="s">
        <v>1598</v>
      </c>
      <c r="C151" s="495" t="s">
        <v>1610</v>
      </c>
    </row>
    <row r="152" spans="1:3" ht="174.75" customHeight="1" x14ac:dyDescent="0.2">
      <c r="A152" s="497">
        <v>956</v>
      </c>
      <c r="B152" s="373" t="s">
        <v>1600</v>
      </c>
      <c r="C152" s="495" t="s">
        <v>1644</v>
      </c>
    </row>
    <row r="153" spans="1:3" ht="126" x14ac:dyDescent="0.2">
      <c r="A153" s="497">
        <v>956</v>
      </c>
      <c r="B153" s="373" t="s">
        <v>1602</v>
      </c>
      <c r="C153" s="495" t="s">
        <v>1612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1842</v>
      </c>
      <c r="C156" s="495" t="s">
        <v>1768</v>
      </c>
    </row>
    <row r="157" spans="1:3" ht="31.5" x14ac:dyDescent="0.2">
      <c r="A157" s="497">
        <v>956</v>
      </c>
      <c r="B157" s="373" t="s">
        <v>1354</v>
      </c>
      <c r="C157" s="495" t="s">
        <v>1214</v>
      </c>
    </row>
    <row r="158" spans="1:3" ht="15.75" customHeight="1" x14ac:dyDescent="0.2">
      <c r="A158" s="496">
        <v>956</v>
      </c>
      <c r="B158" s="373" t="s">
        <v>1288</v>
      </c>
      <c r="C158" s="495" t="s">
        <v>334</v>
      </c>
    </row>
    <row r="159" spans="1:3" ht="78.75" x14ac:dyDescent="0.2">
      <c r="A159" s="496">
        <v>956</v>
      </c>
      <c r="B159" s="373" t="s">
        <v>1289</v>
      </c>
      <c r="C159" s="495" t="s">
        <v>336</v>
      </c>
    </row>
    <row r="160" spans="1:3" ht="47.25" x14ac:dyDescent="0.2">
      <c r="A160" s="497">
        <v>956</v>
      </c>
      <c r="B160" s="373" t="s">
        <v>1280</v>
      </c>
      <c r="C160" s="495" t="s">
        <v>332</v>
      </c>
    </row>
    <row r="161" spans="1:3" ht="63" x14ac:dyDescent="0.2">
      <c r="A161" s="497">
        <v>956</v>
      </c>
      <c r="B161" s="373" t="s">
        <v>1303</v>
      </c>
      <c r="C161" s="495" t="s">
        <v>1165</v>
      </c>
    </row>
    <row r="162" spans="1:3" ht="63.75" thickBot="1" x14ac:dyDescent="0.25">
      <c r="A162" s="501">
        <v>956</v>
      </c>
      <c r="B162" s="502" t="s">
        <v>1291</v>
      </c>
      <c r="C162" s="503" t="s">
        <v>1169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51</vt:i4>
      </vt:variant>
    </vt:vector>
  </HeadingPairs>
  <TitlesOfParts>
    <vt:vector size="80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2021-05-21T13:14:48Z</cp:lastPrinted>
  <dcterms:created xsi:type="dcterms:W3CDTF">2016-11-11T16:27:02Z</dcterms:created>
  <dcterms:modified xsi:type="dcterms:W3CDTF">2021-05-31T08:15:49Z</dcterms:modified>
</cp:coreProperties>
</file>