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7F2A021C-2953-49C3-9E84-72E41F25F7BB}" xr6:coauthVersionLast="47" xr6:coauthVersionMax="47" xr10:uidLastSave="{00000000-0000-0000-0000-000000000000}"/>
  <bookViews>
    <workbookView xWindow="-118" yWindow="-118" windowWidth="25370" windowHeight="13759" activeTab="1" xr2:uid="{00000000-000D-0000-FFFF-FFFF00000000}"/>
  </bookViews>
  <sheets>
    <sheet name="Доходы" sheetId="2" r:id="rId1"/>
    <sheet name="Расходы" sheetId="1" r:id="rId2"/>
    <sheet name="Источники" sheetId="3" state="hidden" r:id="rId3"/>
    <sheet name="Лист1" sheetId="4" state="hidden" r:id="rId4"/>
  </sheets>
  <definedNames>
    <definedName name="_xlnm.Print_Area" localSheetId="0">Доходы!$A$1:$G$121</definedName>
  </definedNames>
  <calcPr calcId="181029"/>
</workbook>
</file>

<file path=xl/calcChain.xml><?xml version="1.0" encoding="utf-8"?>
<calcChain xmlns="http://schemas.openxmlformats.org/spreadsheetml/2006/main">
  <c r="G35" i="1" l="1"/>
  <c r="G66" i="1"/>
  <c r="D78" i="2"/>
  <c r="G62" i="1"/>
  <c r="D45" i="1"/>
  <c r="G209" i="1"/>
  <c r="G114" i="1"/>
  <c r="G191" i="1"/>
  <c r="G28" i="1"/>
  <c r="G34" i="1"/>
  <c r="J20" i="1"/>
  <c r="G12" i="1"/>
  <c r="D9" i="2"/>
  <c r="G203" i="1"/>
  <c r="G206" i="1"/>
  <c r="D22" i="2"/>
  <c r="G159" i="1"/>
  <c r="J181" i="1"/>
  <c r="I181" i="1"/>
  <c r="G181" i="1"/>
  <c r="F181" i="1"/>
  <c r="D181" i="1"/>
  <c r="C181" i="1"/>
  <c r="D91" i="2"/>
  <c r="D84" i="2"/>
  <c r="D83" i="2"/>
  <c r="F80" i="2"/>
  <c r="D93" i="2"/>
  <c r="D86" i="2"/>
  <c r="D85" i="2"/>
  <c r="E92" i="2"/>
  <c r="E80" i="2" s="1"/>
  <c r="D62" i="2"/>
  <c r="J219" i="1"/>
  <c r="N59" i="1"/>
  <c r="M59" i="1"/>
  <c r="J59" i="1"/>
  <c r="I59" i="1"/>
  <c r="F59" i="1"/>
  <c r="D59" i="1"/>
  <c r="C59" i="1"/>
  <c r="G60" i="1"/>
  <c r="J15" i="1"/>
  <c r="G59" i="1" l="1"/>
  <c r="D81" i="2"/>
  <c r="D100" i="2"/>
  <c r="D92" i="2"/>
  <c r="D89" i="2"/>
  <c r="D80" i="2" l="1"/>
  <c r="E109" i="2"/>
  <c r="F109" i="2"/>
  <c r="D109" i="2"/>
  <c r="F49" i="2"/>
  <c r="F32" i="2" s="1"/>
  <c r="E49" i="2"/>
  <c r="E32" i="2" s="1"/>
  <c r="D49" i="2"/>
  <c r="D32" i="2" s="1"/>
  <c r="F64" i="2"/>
  <c r="F57" i="2" s="1"/>
  <c r="E64" i="2"/>
  <c r="E57" i="2" s="1"/>
  <c r="D64" i="2"/>
  <c r="D57" i="2" s="1"/>
  <c r="D79" i="2" l="1"/>
  <c r="D131" i="2" s="1"/>
  <c r="D8" i="2"/>
  <c r="G33" i="1"/>
  <c r="D15" i="2"/>
  <c r="E8" i="2"/>
  <c r="F8" i="2"/>
  <c r="H196" i="1" l="1"/>
  <c r="H192" i="1"/>
  <c r="I173" i="1" l="1"/>
  <c r="H167" i="1"/>
  <c r="K155" i="1"/>
  <c r="H159" i="1"/>
  <c r="J133" i="1"/>
  <c r="K133" i="1" s="1"/>
  <c r="F112" i="1"/>
  <c r="K102" i="1"/>
  <c r="K99" i="1"/>
  <c r="K97" i="1"/>
  <c r="H66" i="1"/>
  <c r="H34" i="1"/>
  <c r="H191" i="1"/>
  <c r="H35" i="1" l="1"/>
  <c r="N88" i="1"/>
  <c r="M88" i="1"/>
  <c r="J88" i="1"/>
  <c r="I88" i="1"/>
  <c r="G88" i="1"/>
  <c r="F88" i="1"/>
  <c r="D88" i="1"/>
  <c r="C88" i="1"/>
  <c r="G77" i="1"/>
  <c r="H77" i="1" s="1"/>
  <c r="G78" i="1"/>
  <c r="H78" i="1" s="1"/>
  <c r="H97" i="1"/>
  <c r="H108" i="1"/>
  <c r="H124" i="1"/>
  <c r="H37" i="1"/>
  <c r="H38" i="1"/>
  <c r="G204" i="1"/>
  <c r="H204" i="1" s="1"/>
  <c r="H207" i="1"/>
  <c r="H208" i="1"/>
  <c r="H206" i="1"/>
  <c r="J191" i="1"/>
  <c r="J144" i="1"/>
  <c r="J138" i="1"/>
  <c r="J217" i="1"/>
  <c r="J216" i="1"/>
  <c r="J158" i="1"/>
  <c r="J159" i="1"/>
  <c r="E88" i="1" l="1"/>
  <c r="H114" i="1"/>
  <c r="G112" i="1"/>
  <c r="N128" i="1"/>
  <c r="M128" i="1"/>
  <c r="G128" i="1"/>
  <c r="F128" i="1"/>
  <c r="D128" i="1"/>
  <c r="C128" i="1"/>
  <c r="J185" i="1"/>
  <c r="I185" i="1"/>
  <c r="G185" i="1"/>
  <c r="F185" i="1"/>
  <c r="C185" i="1"/>
  <c r="K179" i="1"/>
  <c r="M92" i="1"/>
  <c r="I92" i="1"/>
  <c r="G92" i="1"/>
  <c r="F92" i="1"/>
  <c r="D92" i="1"/>
  <c r="C92" i="1"/>
  <c r="J94" i="1"/>
  <c r="J92" i="1" s="1"/>
  <c r="K93" i="1"/>
  <c r="K200" i="1"/>
  <c r="K135" i="1"/>
  <c r="J132" i="1"/>
  <c r="J131" i="1"/>
  <c r="K129" i="1"/>
  <c r="J130" i="1"/>
  <c r="I130" i="1"/>
  <c r="I128" i="1" s="1"/>
  <c r="K154" i="1"/>
  <c r="E151" i="1"/>
  <c r="E150" i="1"/>
  <c r="E89" i="1"/>
  <c r="E71" i="1"/>
  <c r="E72" i="1"/>
  <c r="E73" i="1"/>
  <c r="K85" i="1"/>
  <c r="J152" i="1"/>
  <c r="I152" i="1"/>
  <c r="J153" i="1"/>
  <c r="I153" i="1"/>
  <c r="K158" i="1"/>
  <c r="K159" i="1"/>
  <c r="K11" i="1"/>
  <c r="K201" i="1"/>
  <c r="K205" i="1"/>
  <c r="K194" i="1"/>
  <c r="K202" i="1"/>
  <c r="K193" i="1"/>
  <c r="K204" i="1"/>
  <c r="K192" i="1"/>
  <c r="K92" i="1" l="1"/>
  <c r="K185" i="1"/>
  <c r="L92" i="1"/>
  <c r="J128" i="1"/>
  <c r="K128" i="1" s="1"/>
  <c r="K152" i="1"/>
  <c r="K153" i="1"/>
  <c r="K130" i="1"/>
  <c r="D239" i="1"/>
  <c r="D46" i="1"/>
  <c r="D6" i="1"/>
  <c r="D70" i="1"/>
  <c r="D147" i="1"/>
  <c r="D210" i="1"/>
  <c r="N63" i="1"/>
  <c r="M63" i="1"/>
  <c r="J63" i="1"/>
  <c r="I63" i="1"/>
  <c r="G63" i="1"/>
  <c r="F63" i="1"/>
  <c r="C63" i="1"/>
  <c r="D191" i="1"/>
  <c r="D185" i="1" s="1"/>
  <c r="C210" i="1"/>
  <c r="D65" i="1"/>
  <c r="D63" i="1" s="1"/>
  <c r="E43" i="1"/>
  <c r="E42" i="1"/>
  <c r="E39" i="1"/>
  <c r="H63" i="1" l="1"/>
  <c r="D234" i="1"/>
  <c r="E190" i="1"/>
  <c r="E189" i="1"/>
  <c r="E186" i="1"/>
  <c r="N181" i="1"/>
  <c r="N180" i="1" s="1"/>
  <c r="M181" i="1"/>
  <c r="M180" i="1" s="1"/>
  <c r="J180" i="1"/>
  <c r="I180" i="1"/>
  <c r="G180" i="1"/>
  <c r="F180" i="1"/>
  <c r="D180" i="1"/>
  <c r="C180" i="1"/>
  <c r="E45" i="1"/>
  <c r="D41" i="1"/>
  <c r="C41" i="1"/>
  <c r="D23" i="1"/>
  <c r="C22" i="1"/>
  <c r="D22" i="1"/>
  <c r="E22" i="1" l="1"/>
  <c r="D21" i="1"/>
  <c r="D32" i="1"/>
  <c r="D233" i="1"/>
  <c r="D235" i="1" s="1"/>
  <c r="D242" i="1" s="1"/>
  <c r="E41" i="1"/>
  <c r="L180" i="1"/>
  <c r="L181" i="1"/>
  <c r="H55" i="1"/>
  <c r="N210" i="1"/>
  <c r="M210" i="1"/>
  <c r="G210" i="1"/>
  <c r="H210" i="1"/>
  <c r="I210" i="1"/>
  <c r="J210" i="1"/>
  <c r="K210" i="1"/>
  <c r="F210" i="1"/>
  <c r="F6" i="1"/>
  <c r="L210" i="1"/>
  <c r="H12" i="1" l="1"/>
  <c r="D221" i="1"/>
  <c r="K191" i="1" l="1"/>
  <c r="D123" i="1" l="1"/>
  <c r="H60" i="1" l="1"/>
  <c r="J173" i="1" l="1"/>
  <c r="J142" i="1"/>
  <c r="G6" i="1" l="1"/>
  <c r="H6" i="1" s="1"/>
  <c r="G21" i="1"/>
  <c r="H28" i="1"/>
  <c r="D6" i="2"/>
  <c r="N185" i="1"/>
  <c r="M185" i="1"/>
  <c r="I21" i="1"/>
  <c r="N21" i="1"/>
  <c r="M21" i="1"/>
  <c r="F21" i="1"/>
  <c r="C21" i="1"/>
  <c r="E21" i="1" s="1"/>
  <c r="H21" i="1" l="1"/>
  <c r="D220" i="1"/>
  <c r="J21" i="1" l="1"/>
  <c r="H203" i="1"/>
  <c r="H33" i="1"/>
  <c r="H209" i="1" l="1"/>
  <c r="J226" i="1"/>
  <c r="H185" i="1" l="1"/>
  <c r="N178" i="1"/>
  <c r="M178" i="1"/>
  <c r="J178" i="1"/>
  <c r="I178" i="1"/>
  <c r="G178" i="1"/>
  <c r="F178" i="1"/>
  <c r="D178" i="1"/>
  <c r="C178" i="1"/>
  <c r="N176" i="1"/>
  <c r="M176" i="1"/>
  <c r="J176" i="1"/>
  <c r="I176" i="1"/>
  <c r="G176" i="1"/>
  <c r="F176" i="1"/>
  <c r="D176" i="1"/>
  <c r="C176" i="1"/>
  <c r="K178" i="1" l="1"/>
  <c r="J175" i="1"/>
  <c r="N175" i="1"/>
  <c r="M175" i="1"/>
  <c r="G175" i="1"/>
  <c r="C175" i="1"/>
  <c r="F175" i="1"/>
  <c r="L176" i="1"/>
  <c r="L178" i="1"/>
  <c r="D175" i="1"/>
  <c r="I175" i="1"/>
  <c r="K175" i="1" l="1"/>
  <c r="L175" i="1"/>
  <c r="N134" i="1"/>
  <c r="M134" i="1"/>
  <c r="J134" i="1"/>
  <c r="G134" i="1"/>
  <c r="F134" i="1"/>
  <c r="D134" i="1"/>
  <c r="C134" i="1"/>
  <c r="J147" i="1" l="1"/>
  <c r="N6" i="1" l="1"/>
  <c r="M6" i="1"/>
  <c r="J6" i="1"/>
  <c r="I6" i="1"/>
  <c r="C6" i="1"/>
  <c r="K6" i="1" l="1"/>
  <c r="I7" i="3"/>
  <c r="G32" i="1" l="1"/>
  <c r="N32" i="1" l="1"/>
  <c r="M32" i="1"/>
  <c r="J32" i="1"/>
  <c r="I32" i="1"/>
  <c r="F32" i="1"/>
  <c r="H32" i="1" s="1"/>
  <c r="C32" i="1"/>
  <c r="E32" i="1" s="1"/>
  <c r="H113" i="1"/>
  <c r="E27" i="2" l="1"/>
  <c r="F27" i="2"/>
  <c r="D27" i="2" l="1"/>
  <c r="D123" i="2" s="1"/>
  <c r="F79" i="2" l="1"/>
  <c r="F26" i="2" s="1"/>
  <c r="F25" i="2" s="1"/>
  <c r="E79" i="2"/>
  <c r="E26" i="2" s="1"/>
  <c r="E25" i="2" s="1"/>
  <c r="F15" i="2"/>
  <c r="F6" i="2" s="1"/>
  <c r="E15" i="2"/>
  <c r="E6" i="2" s="1"/>
  <c r="H57" i="2" l="1"/>
  <c r="E121" i="2"/>
  <c r="F121" i="2"/>
  <c r="D26" i="2"/>
  <c r="D25" i="2" s="1"/>
  <c r="D121" i="2" s="1"/>
  <c r="H8" i="3"/>
  <c r="H9" i="3" l="1"/>
  <c r="D215" i="1"/>
  <c r="F222" i="1"/>
  <c r="N70" i="1" l="1"/>
  <c r="M70" i="1"/>
  <c r="J70" i="1"/>
  <c r="I70" i="1"/>
  <c r="G70" i="1"/>
  <c r="F70" i="1"/>
  <c r="C70" i="1"/>
  <c r="H70" i="1" l="1"/>
  <c r="L70" i="1"/>
  <c r="L32" i="1" l="1"/>
  <c r="B6" i="3"/>
  <c r="H6" i="3" l="1"/>
  <c r="N173" i="1"/>
  <c r="M173" i="1"/>
  <c r="N171" i="1"/>
  <c r="M171" i="1"/>
  <c r="J171" i="1"/>
  <c r="I171" i="1"/>
  <c r="G173" i="1"/>
  <c r="F173" i="1"/>
  <c r="G171" i="1"/>
  <c r="F171" i="1"/>
  <c r="D171" i="1"/>
  <c r="D173" i="1"/>
  <c r="C173" i="1"/>
  <c r="C171" i="1"/>
  <c r="N168" i="1"/>
  <c r="M168" i="1"/>
  <c r="N166" i="1"/>
  <c r="M166" i="1"/>
  <c r="J168" i="1"/>
  <c r="I168" i="1"/>
  <c r="J166" i="1"/>
  <c r="I166" i="1"/>
  <c r="G168" i="1"/>
  <c r="F168" i="1"/>
  <c r="G166" i="1"/>
  <c r="F166" i="1"/>
  <c r="D166" i="1"/>
  <c r="D168" i="1"/>
  <c r="C168" i="1"/>
  <c r="C166" i="1"/>
  <c r="N163" i="1"/>
  <c r="M163" i="1"/>
  <c r="N161" i="1"/>
  <c r="M161" i="1"/>
  <c r="J163" i="1"/>
  <c r="I163" i="1"/>
  <c r="J161" i="1"/>
  <c r="I161" i="1"/>
  <c r="G163" i="1"/>
  <c r="F163" i="1"/>
  <c r="G161" i="1"/>
  <c r="F161" i="1"/>
  <c r="D161" i="1"/>
  <c r="D163" i="1"/>
  <c r="C163" i="1"/>
  <c r="C161" i="1"/>
  <c r="N147" i="1"/>
  <c r="M147" i="1"/>
  <c r="N142" i="1"/>
  <c r="M142" i="1"/>
  <c r="I147" i="1"/>
  <c r="I142" i="1"/>
  <c r="G147" i="1"/>
  <c r="F147" i="1"/>
  <c r="G142" i="1"/>
  <c r="F142" i="1"/>
  <c r="D142" i="1"/>
  <c r="C147" i="1"/>
  <c r="E147" i="1" s="1"/>
  <c r="C142" i="1"/>
  <c r="H166" i="1" l="1"/>
  <c r="L147" i="1"/>
  <c r="H147" i="1"/>
  <c r="L163" i="1"/>
  <c r="L168" i="1"/>
  <c r="L173" i="1"/>
  <c r="L171" i="1"/>
  <c r="L161" i="1"/>
  <c r="L142" i="1"/>
  <c r="L166" i="1"/>
  <c r="F160" i="1"/>
  <c r="M160" i="1"/>
  <c r="M165" i="1"/>
  <c r="F170" i="1"/>
  <c r="M170" i="1"/>
  <c r="G160" i="1"/>
  <c r="N160" i="1"/>
  <c r="G170" i="1"/>
  <c r="J160" i="1"/>
  <c r="G165" i="1"/>
  <c r="J170" i="1"/>
  <c r="I141" i="1"/>
  <c r="I165" i="1"/>
  <c r="I170" i="1"/>
  <c r="M141" i="1"/>
  <c r="C160" i="1"/>
  <c r="D141" i="1"/>
  <c r="I160" i="1"/>
  <c r="F141" i="1"/>
  <c r="D165" i="1"/>
  <c r="D160" i="1"/>
  <c r="J141" i="1"/>
  <c r="N165" i="1"/>
  <c r="G141" i="1"/>
  <c r="J165" i="1"/>
  <c r="N170" i="1"/>
  <c r="N141" i="1"/>
  <c r="D170" i="1"/>
  <c r="F165" i="1"/>
  <c r="C170" i="1"/>
  <c r="C165" i="1"/>
  <c r="C141" i="1"/>
  <c r="N139" i="1"/>
  <c r="M139" i="1"/>
  <c r="N137" i="1"/>
  <c r="M137" i="1"/>
  <c r="J139" i="1"/>
  <c r="I139" i="1"/>
  <c r="J137" i="1"/>
  <c r="I137" i="1"/>
  <c r="I134" i="1"/>
  <c r="G139" i="1"/>
  <c r="F139" i="1"/>
  <c r="G137" i="1"/>
  <c r="F137" i="1"/>
  <c r="D139" i="1"/>
  <c r="D137" i="1"/>
  <c r="C137" i="1"/>
  <c r="C139" i="1"/>
  <c r="N125" i="1"/>
  <c r="M125" i="1"/>
  <c r="N123" i="1"/>
  <c r="M123" i="1"/>
  <c r="J125" i="1"/>
  <c r="I125" i="1"/>
  <c r="J123" i="1"/>
  <c r="I123" i="1"/>
  <c r="G125" i="1"/>
  <c r="F125" i="1"/>
  <c r="G123" i="1"/>
  <c r="F123" i="1"/>
  <c r="D125" i="1"/>
  <c r="C125" i="1"/>
  <c r="C123" i="1"/>
  <c r="N120" i="1"/>
  <c r="M120" i="1"/>
  <c r="J120" i="1"/>
  <c r="I120" i="1"/>
  <c r="G120" i="1"/>
  <c r="F120" i="1"/>
  <c r="D120" i="1"/>
  <c r="C120" i="1"/>
  <c r="N118" i="1"/>
  <c r="M118" i="1"/>
  <c r="J118" i="1"/>
  <c r="I118" i="1"/>
  <c r="G118" i="1"/>
  <c r="F118" i="1"/>
  <c r="D118" i="1"/>
  <c r="C118" i="1"/>
  <c r="N116" i="1"/>
  <c r="M116" i="1"/>
  <c r="M115" i="1" s="1"/>
  <c r="J116" i="1"/>
  <c r="I116" i="1"/>
  <c r="G116" i="1"/>
  <c r="F116" i="1"/>
  <c r="D116" i="1"/>
  <c r="C116" i="1"/>
  <c r="N112" i="1"/>
  <c r="M112" i="1"/>
  <c r="J112" i="1"/>
  <c r="I112" i="1"/>
  <c r="D112" i="1"/>
  <c r="C112" i="1"/>
  <c r="N107" i="1"/>
  <c r="M107" i="1"/>
  <c r="J107" i="1"/>
  <c r="I107" i="1"/>
  <c r="G107" i="1"/>
  <c r="F107" i="1"/>
  <c r="D107" i="1"/>
  <c r="C107" i="1"/>
  <c r="N104" i="1"/>
  <c r="M104" i="1"/>
  <c r="J104" i="1"/>
  <c r="I104" i="1"/>
  <c r="G104" i="1"/>
  <c r="F104" i="1"/>
  <c r="D104" i="1"/>
  <c r="C104" i="1"/>
  <c r="N101" i="1"/>
  <c r="M101" i="1"/>
  <c r="J101" i="1"/>
  <c r="I101" i="1"/>
  <c r="F101" i="1"/>
  <c r="D101" i="1"/>
  <c r="C101" i="1"/>
  <c r="N98" i="1"/>
  <c r="M98" i="1"/>
  <c r="J98" i="1"/>
  <c r="I98" i="1"/>
  <c r="G98" i="1"/>
  <c r="F98" i="1"/>
  <c r="N96" i="1"/>
  <c r="M96" i="1"/>
  <c r="J96" i="1"/>
  <c r="I96" i="1"/>
  <c r="G96" i="1"/>
  <c r="F96" i="1"/>
  <c r="D98" i="1"/>
  <c r="C98" i="1"/>
  <c r="D96" i="1"/>
  <c r="C96" i="1"/>
  <c r="N92" i="1"/>
  <c r="N86" i="1"/>
  <c r="M86" i="1"/>
  <c r="J86" i="1"/>
  <c r="I86" i="1"/>
  <c r="G86" i="1"/>
  <c r="F86" i="1"/>
  <c r="D86" i="1"/>
  <c r="C86" i="1"/>
  <c r="N84" i="1"/>
  <c r="M84" i="1"/>
  <c r="J84" i="1"/>
  <c r="I84" i="1"/>
  <c r="G84" i="1"/>
  <c r="F84" i="1"/>
  <c r="D84" i="1"/>
  <c r="C84" i="1"/>
  <c r="N81" i="1"/>
  <c r="M81" i="1"/>
  <c r="J81" i="1"/>
  <c r="I81" i="1"/>
  <c r="G81" i="1"/>
  <c r="F81" i="1"/>
  <c r="D81" i="1"/>
  <c r="C81" i="1"/>
  <c r="N79" i="1"/>
  <c r="M79" i="1"/>
  <c r="M69" i="1" s="1"/>
  <c r="J79" i="1"/>
  <c r="I79" i="1"/>
  <c r="G79" i="1"/>
  <c r="F79" i="1"/>
  <c r="D79" i="1"/>
  <c r="C79" i="1"/>
  <c r="K84" i="1" l="1"/>
  <c r="K96" i="1"/>
  <c r="H123" i="1"/>
  <c r="K101" i="1"/>
  <c r="H96" i="1"/>
  <c r="H107" i="1"/>
  <c r="K98" i="1"/>
  <c r="H165" i="1"/>
  <c r="L185" i="1"/>
  <c r="M83" i="1"/>
  <c r="N106" i="1"/>
  <c r="L139" i="1"/>
  <c r="H112" i="1"/>
  <c r="L141" i="1"/>
  <c r="L128" i="1"/>
  <c r="L170" i="1"/>
  <c r="L134" i="1"/>
  <c r="L165" i="1"/>
  <c r="I106" i="1"/>
  <c r="L137" i="1"/>
  <c r="L81" i="1"/>
  <c r="L88" i="1"/>
  <c r="L96" i="1"/>
  <c r="N95" i="1"/>
  <c r="L101" i="1"/>
  <c r="L104" i="1"/>
  <c r="D106" i="1"/>
  <c r="L107" i="1"/>
  <c r="L112" i="1"/>
  <c r="L116" i="1"/>
  <c r="L118" i="1"/>
  <c r="L120" i="1"/>
  <c r="L79" i="1"/>
  <c r="L86" i="1"/>
  <c r="L123" i="1"/>
  <c r="L84" i="1"/>
  <c r="L98" i="1"/>
  <c r="L125" i="1"/>
  <c r="L160" i="1"/>
  <c r="I122" i="1"/>
  <c r="J95" i="1"/>
  <c r="M122" i="1"/>
  <c r="D122" i="1"/>
  <c r="F83" i="1"/>
  <c r="J122" i="1"/>
  <c r="C127" i="1"/>
  <c r="F122" i="1"/>
  <c r="N122" i="1"/>
  <c r="M127" i="1"/>
  <c r="G95" i="1"/>
  <c r="N127" i="1"/>
  <c r="C122" i="1"/>
  <c r="F127" i="1"/>
  <c r="I127" i="1"/>
  <c r="J127" i="1"/>
  <c r="D127" i="1"/>
  <c r="I115" i="1"/>
  <c r="J115" i="1"/>
  <c r="I95" i="1"/>
  <c r="M106" i="1"/>
  <c r="G122" i="1"/>
  <c r="G127" i="1"/>
  <c r="C115" i="1"/>
  <c r="N115" i="1"/>
  <c r="F115" i="1"/>
  <c r="G115" i="1"/>
  <c r="D115" i="1"/>
  <c r="J106" i="1"/>
  <c r="F106" i="1"/>
  <c r="G106" i="1"/>
  <c r="C106" i="1"/>
  <c r="M100" i="1"/>
  <c r="N100" i="1"/>
  <c r="I100" i="1"/>
  <c r="J100" i="1"/>
  <c r="F100" i="1"/>
  <c r="G100" i="1"/>
  <c r="D100" i="1"/>
  <c r="C100" i="1"/>
  <c r="M95" i="1"/>
  <c r="F95" i="1"/>
  <c r="D95" i="1"/>
  <c r="F69" i="1"/>
  <c r="I69" i="1"/>
  <c r="I83" i="1"/>
  <c r="C95" i="1"/>
  <c r="J83" i="1"/>
  <c r="N83" i="1"/>
  <c r="G83" i="1"/>
  <c r="D83" i="1"/>
  <c r="C83" i="1"/>
  <c r="N69" i="1"/>
  <c r="J69" i="1"/>
  <c r="G69" i="1"/>
  <c r="D69" i="1"/>
  <c r="C69" i="1"/>
  <c r="N67" i="1"/>
  <c r="M67" i="1"/>
  <c r="J67" i="1"/>
  <c r="I67" i="1"/>
  <c r="G67" i="1"/>
  <c r="F67" i="1"/>
  <c r="D67" i="1"/>
  <c r="C67" i="1"/>
  <c r="N57" i="1"/>
  <c r="M57" i="1"/>
  <c r="J57" i="1"/>
  <c r="I57" i="1"/>
  <c r="G57" i="1"/>
  <c r="F57" i="1"/>
  <c r="D57" i="1"/>
  <c r="C57" i="1"/>
  <c r="N29" i="1"/>
  <c r="M29" i="1"/>
  <c r="J29" i="1"/>
  <c r="I29" i="1"/>
  <c r="G29" i="1"/>
  <c r="F29" i="1"/>
  <c r="D29" i="1"/>
  <c r="C29" i="1"/>
  <c r="N16" i="1"/>
  <c r="N13" i="1" s="1"/>
  <c r="M16" i="1"/>
  <c r="M13" i="1" s="1"/>
  <c r="J16" i="1"/>
  <c r="J13" i="1" s="1"/>
  <c r="I16" i="1"/>
  <c r="I13" i="1" s="1"/>
  <c r="G16" i="1"/>
  <c r="G13" i="1" s="1"/>
  <c r="F16" i="1"/>
  <c r="F13" i="1" s="1"/>
  <c r="D16" i="1"/>
  <c r="D13" i="1" s="1"/>
  <c r="C16" i="1"/>
  <c r="C13" i="1" s="1"/>
  <c r="K127" i="1" l="1"/>
  <c r="H59" i="1"/>
  <c r="H122" i="1"/>
  <c r="H95" i="1"/>
  <c r="K95" i="1"/>
  <c r="K83" i="1"/>
  <c r="M31" i="1"/>
  <c r="G31" i="1"/>
  <c r="N31" i="1"/>
  <c r="F31" i="1"/>
  <c r="L13" i="1"/>
  <c r="I31" i="1"/>
  <c r="H106" i="1"/>
  <c r="J31" i="1"/>
  <c r="L29" i="1"/>
  <c r="L59" i="1"/>
  <c r="L67" i="1"/>
  <c r="J5" i="1"/>
  <c r="L100" i="1"/>
  <c r="L63" i="1"/>
  <c r="L16" i="1"/>
  <c r="L69" i="1"/>
  <c r="L115" i="1"/>
  <c r="L6" i="1"/>
  <c r="L127" i="1"/>
  <c r="D31" i="1"/>
  <c r="L57" i="1"/>
  <c r="L122" i="1"/>
  <c r="L83" i="1"/>
  <c r="L95" i="1"/>
  <c r="L106" i="1"/>
  <c r="L21" i="1"/>
  <c r="G5" i="1"/>
  <c r="F5" i="1"/>
  <c r="M5" i="1"/>
  <c r="C31" i="1"/>
  <c r="I5" i="1"/>
  <c r="N5" i="1"/>
  <c r="D5" i="1"/>
  <c r="C5" i="1"/>
  <c r="N184" i="1" l="1"/>
  <c r="N213" i="1" s="1"/>
  <c r="K5" i="1"/>
  <c r="H31" i="1"/>
  <c r="E31" i="1"/>
  <c r="J184" i="1"/>
  <c r="J213" i="1" s="1"/>
  <c r="M184" i="1"/>
  <c r="M213" i="1" s="1"/>
  <c r="F184" i="1"/>
  <c r="C184" i="1"/>
  <c r="G184" i="1"/>
  <c r="G213" i="1" s="1"/>
  <c r="D184" i="1"/>
  <c r="D213" i="1" s="1"/>
  <c r="D216" i="1" s="1"/>
  <c r="I184" i="1"/>
  <c r="H5" i="1"/>
  <c r="L31" i="1"/>
  <c r="L5" i="1"/>
  <c r="F223" i="1" l="1"/>
  <c r="I213" i="1"/>
  <c r="K184" i="1"/>
  <c r="L213" i="1"/>
  <c r="L216" i="1" s="1"/>
  <c r="J229" i="1"/>
  <c r="F213" i="1"/>
  <c r="H184" i="1"/>
  <c r="H222" i="1"/>
  <c r="L184" i="1"/>
  <c r="C213" i="1"/>
  <c r="F224" i="1" l="1"/>
  <c r="I6" i="3"/>
  <c r="J6" i="3" s="1"/>
  <c r="J7" i="3" s="1"/>
</calcChain>
</file>

<file path=xl/sharedStrings.xml><?xml version="1.0" encoding="utf-8"?>
<sst xmlns="http://schemas.openxmlformats.org/spreadsheetml/2006/main" count="560" uniqueCount="529">
  <si>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</si>
  <si>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</si>
  <si>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</si>
  <si>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</si>
  <si>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</si>
  <si>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</si>
  <si>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</si>
  <si>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</si>
  <si>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</si>
  <si>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</si>
  <si>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01.5.00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</si>
  <si>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</si>
  <si>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</si>
  <si>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</si>
  <si>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</si>
  <si>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</si>
  <si>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</si>
  <si>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</si>
  <si>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</si>
  <si>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</si>
  <si>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</si>
  <si>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</si>
  <si>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</si>
  <si>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</si>
  <si>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</si>
  <si>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</si>
  <si>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</si>
  <si>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</si>
  <si>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</si>
  <si>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</si>
  <si>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</si>
  <si>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</si>
  <si>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</si>
  <si>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</si>
  <si>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</si>
  <si>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</si>
  <si>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</si>
  <si>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</si>
  <si>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</si>
  <si>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</si>
  <si>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</si>
  <si>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</si>
  <si>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</si>
  <si>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</si>
  <si>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</si>
  <si>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</si>
  <si>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</si>
  <si>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</si>
  <si>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</si>
  <si>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</si>
  <si>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</si>
  <si>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</si>
  <si>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</si>
  <si>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</si>
  <si>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</si>
  <si>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</si>
  <si>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</si>
  <si>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</si>
  <si>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</si>
  <si>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</si>
  <si>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</si>
  <si>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</si>
  <si>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</si>
  <si>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</si>
  <si>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</si>
  <si>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</si>
  <si>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</si>
  <si>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</si>
  <si>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</si>
  <si>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</si>
  <si>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</si>
  <si>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09.2.01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</si>
  <si>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</si>
  <si>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</si>
  <si>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</si>
  <si>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</si>
  <si>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</si>
  <si>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</si>
  <si>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</si>
  <si>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</si>
  <si>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</si>
  <si>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</si>
  <si>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</si>
  <si>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</si>
  <si>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</si>
  <si>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</si>
  <si>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</si>
  <si>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Реализация   проекта "Наши дворы"</t>
  </si>
  <si>
    <t>Реализация   проекта "Формирование комфортной городской среды"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</si>
  <si>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</si>
  <si>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</si>
  <si>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</si>
  <si>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</si>
  <si>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</si>
  <si>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</si>
  <si>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</si>
  <si>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</si>
  <si>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</si>
  <si>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</si>
  <si>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</si>
  <si>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</si>
  <si>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</si>
  <si>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</si>
  <si>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</si>
  <si>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</si>
  <si>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</si>
  <si>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</si>
  <si>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</si>
  <si>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</si>
  <si>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</si>
  <si>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</si>
  <si>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</si>
  <si>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Значение</t>
  </si>
  <si>
    <t>Средства района</t>
  </si>
  <si>
    <t>Средства вышестоящих бюджетов</t>
  </si>
  <si>
    <t>Средства бюджета поселения</t>
  </si>
  <si>
    <t>% изменения</t>
  </si>
  <si>
    <t>Увеличение (+), уменьшение (-), руб.</t>
  </si>
  <si>
    <t>2025 год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</si>
  <si>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</si>
  <si>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</si>
  <si>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</si>
  <si>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</si>
  <si>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</si>
  <si>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</si>
  <si>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</si>
  <si>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</si>
  <si>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</si>
  <si>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</si>
  <si>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</si>
  <si>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</si>
  <si>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Субвенция на организация присмотра за детьми</t>
  </si>
  <si>
    <t xml:space="preserve"> Субвенция организация  образовательного процесса</t>
  </si>
  <si>
    <t>Субвенция на вознаграждение за классное руководство</t>
  </si>
  <si>
    <t>Субвенция на организацию питания школьников</t>
  </si>
  <si>
    <t>Субвенция на обеспечение деятельности органов опеки</t>
  </si>
  <si>
    <t>Дотация на обеспечение обязательных требований охраны объектов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</si>
  <si>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</si>
  <si>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</si>
  <si>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Субвенция освобождение проезда детей из многодетных семей</t>
  </si>
  <si>
    <t>Субвенция на полномочия по составлению списков кандидатов в присяжные заседатели</t>
  </si>
  <si>
    <t>Субвенция  по государственной регистрации актов гражданского состояния</t>
  </si>
  <si>
    <t>Субвенция на организацию деятельности КДН</t>
  </si>
  <si>
    <t>Субвенция  на полномочия в сфере законодательства об админ.правонарушениях</t>
  </si>
  <si>
    <t>Субсидия на оплату стоимости наборов продуктов питания в лагерях</t>
  </si>
  <si>
    <t>Субвенция на обеспечение отдыха и оздоровления детей погибших сотрудников правоохранительных органов</t>
  </si>
  <si>
    <t>Субвенция на компенсацию части расходов на приобретение путевки в организации отдыха детей</t>
  </si>
  <si>
    <t>Субвенция на частичную оплату стоимости путевки в организации отдых детей</t>
  </si>
  <si>
    <t>ВСЕГО</t>
  </si>
  <si>
    <t>Обеспечение мероприятий  по землеустройству и землепользованию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</si>
  <si>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</si>
  <si>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</t>
  </si>
  <si>
    <t>Расходы на обеспечение мероприятий по организации населению услуг бань  в общих отделениях</t>
  </si>
  <si>
    <t>Расходы на содержание ОМС</t>
  </si>
  <si>
    <t>Обеспечение мероприятий  по переработке и утилизации ливневых стоков</t>
  </si>
  <si>
    <t xml:space="preserve">Обеспечение мероприятий по содержанию  военно-мемориального комплекса 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</si>
  <si>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</si>
  <si>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</si>
  <si>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</si>
  <si>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</si>
  <si>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</si>
  <si>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</si>
  <si>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Расходы на содержание и ремонт дорог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</si>
  <si>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</si>
  <si>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</si>
  <si>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в области благоустройства и озеленения</t>
  </si>
  <si>
    <t>Доплаты к пенсиям муниципальным служащим поселений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</si>
  <si>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</si>
  <si>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</si>
  <si>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</si>
  <si>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</si>
  <si>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</si>
  <si>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</si>
  <si>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</si>
  <si>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</si>
  <si>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</si>
  <si>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</si>
  <si>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</si>
  <si>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</si>
  <si>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</si>
  <si>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</si>
  <si>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182 107 01020 01 0000 110</t>
  </si>
  <si>
    <t>Акцизы</t>
  </si>
  <si>
    <t>Неналоговые доходы</t>
  </si>
  <si>
    <t>Арендная плата за землю</t>
  </si>
  <si>
    <t>Доходы от сдачу в аренду имущества</t>
  </si>
  <si>
    <t>Плата за негативное воздействие на окружающую среду</t>
  </si>
  <si>
    <t>048 112 01000 01 0000 120</t>
  </si>
  <si>
    <t>Прочие доходы от использования имущества ( плата за установку рекламных конструкций)</t>
  </si>
  <si>
    <t>950 111 09080 05 0000 120</t>
  </si>
  <si>
    <t>Прочие доходы от оказания платных услуг (работ) получателями средств бюджетов муниципальных районов</t>
  </si>
  <si>
    <t>Доходы от продажи земельных участков</t>
  </si>
  <si>
    <t>Доходы от реализации имущества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</si>
  <si>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</si>
  <si>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</si>
  <si>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</si>
  <si>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</si>
  <si>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</si>
  <si>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</si>
  <si>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</si>
  <si>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</si>
  <si>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</si>
  <si>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</si>
  <si>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</si>
  <si>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</si>
  <si>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</si>
  <si>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</si>
  <si>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</si>
  <si>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</si>
  <si>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</si>
  <si>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</si>
  <si>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</si>
  <si>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</si>
  <si>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Субвенции бюджетам субъектов Российской Федерации и муниципальных образований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</si>
  <si>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</si>
  <si>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</si>
  <si>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</si>
  <si>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</si>
  <si>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</si>
  <si>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</si>
  <si>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</si>
  <si>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</si>
  <si>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</si>
  <si>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</si>
  <si>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</si>
  <si>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</si>
  <si>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</si>
  <si>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950 2 02 30024 05 3028 150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</si>
  <si>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</si>
  <si>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</si>
  <si>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</si>
  <si>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</si>
  <si>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950 2 02 30024 05 3031 150</t>
  </si>
  <si>
    <t>Субвенция на частичную оплату стоимости путевки в организации отдыха детей и их оздоровления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</si>
  <si>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</si>
  <si>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954 2 02 30024 05 3041 150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</si>
  <si>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</si>
  <si>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</si>
  <si>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</si>
  <si>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</si>
  <si>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</si>
  <si>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</si>
  <si>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</si>
  <si>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</si>
  <si>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</si>
  <si>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</si>
  <si>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</si>
  <si>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</si>
  <si>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</si>
  <si>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</si>
  <si>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</si>
  <si>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</si>
  <si>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</si>
  <si>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</si>
  <si>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</si>
  <si>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</si>
  <si>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</si>
  <si>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</si>
  <si>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</si>
  <si>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</si>
  <si>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</si>
  <si>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</si>
  <si>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</si>
  <si>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</si>
  <si>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</si>
  <si>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</si>
  <si>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</si>
  <si>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</si>
  <si>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</si>
  <si>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</si>
  <si>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</si>
  <si>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</si>
  <si>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</si>
  <si>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</si>
  <si>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</si>
  <si>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</si>
  <si>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</si>
  <si>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</si>
  <si>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</si>
  <si>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Всего</t>
  </si>
  <si>
    <t>182 103 02000 01 0000 110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</si>
  <si>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</si>
  <si>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</si>
  <si>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</si>
  <si>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</si>
  <si>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</si>
  <si>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950 2 02 25519 05 0000 150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</si>
  <si>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</si>
  <si>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</si>
  <si>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950 2 02 25467 05 0000 150</t>
  </si>
  <si>
    <t>950 202 29999 05 2015 150</t>
  </si>
  <si>
    <t>950 202 29999 05 2009 150</t>
  </si>
  <si>
    <t>950 202 29999 05 2006 150</t>
  </si>
  <si>
    <t>950 2 02 29999 05 2037 150</t>
  </si>
  <si>
    <t>950 202 29999 05 2038 150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</si>
  <si>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</si>
  <si>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</si>
  <si>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</si>
  <si>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</si>
  <si>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</si>
  <si>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950 2 02 29999 05 2040 150</t>
  </si>
  <si>
    <t>950 202 30024 05 3006 150</t>
  </si>
  <si>
    <t>950 202 30024 05 3009 150</t>
  </si>
  <si>
    <t>950 202 30024 05 3010 150</t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</si>
  <si>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"Развитие потребительского рынка Тутаевского муниципального района"</t>
    </r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</si>
  <si>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"Развитие предпринимательства в Тутаевском муниципальном районе"</t>
    </r>
  </si>
  <si>
    <r>
      <t xml:space="preserve">Муниципальная </t>
    </r>
    <r>
      <rPr>
        <b/>
        <i/>
        <sz val="10"/>
        <color rgb="FF000000"/>
        <rFont val="Times New Roman"/>
        <family val="1"/>
        <charset val="204"/>
      </rPr>
      <t>целевая</t>
    </r>
    <r>
      <rPr>
        <b/>
        <i/>
        <sz val="10"/>
        <color theme="1"/>
        <rFont val="Times New Roman"/>
        <family val="1"/>
        <charset val="204"/>
      </rPr>
      <t xml:space="preserve"> программа "Санитарно- эпидемиологическая безопасность в Тутаевском  муниципальном районе"</t>
    </r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</si>
  <si>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</si>
  <si>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</si>
  <si>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</si>
  <si>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</si>
  <si>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950 2 02 30024 05 3030 150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</si>
  <si>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</si>
  <si>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</si>
  <si>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</si>
  <si>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</si>
  <si>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</si>
  <si>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</si>
  <si>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</si>
  <si>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</si>
  <si>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</si>
  <si>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</si>
  <si>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</si>
  <si>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</si>
  <si>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</si>
  <si>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</si>
  <si>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</si>
  <si>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</si>
  <si>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</si>
  <si>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</si>
  <si>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Содержание имущества казны</t>
  </si>
  <si>
    <t>Субвенция на компенсацию расходов за присмотр и уход за детьми</t>
  </si>
  <si>
    <t xml:space="preserve">Субвенция на господдержку опеки и попечительства </t>
  </si>
  <si>
    <t>Расходы на обеспечение подъездов к соц. объектам</t>
  </si>
  <si>
    <t>Субвенция на мероприятия обращению с животными без владельцев</t>
  </si>
  <si>
    <t>Содержание подведомственных учреждений</t>
  </si>
  <si>
    <t>Расходы на содержание и организацию  деятельности аварийно-спасательных служб</t>
  </si>
  <si>
    <t>Инициативное бюджетирование (ученическое самоуправление)</t>
  </si>
  <si>
    <t>РП "Спорт - норма жизни" строительство ледового дворца</t>
  </si>
  <si>
    <t>Субвенция на оказание соц. помощи отд.категороиям граждан</t>
  </si>
  <si>
    <t>Обеспечение мероприятий по благоустройству территории , предусмотренных по НПА ЯО (Чебаковское с/п)</t>
  </si>
  <si>
    <t>Письмо Главного администратора доходов</t>
  </si>
  <si>
    <t>Обеспечение деятельности д/садов</t>
  </si>
  <si>
    <t>Дефицит  бюджета                         1 - я редакция</t>
  </si>
  <si>
    <t>Дефицит  бюджета                                   2-я редакция</t>
  </si>
  <si>
    <t>Проведение мероприятий</t>
  </si>
  <si>
    <t>2026 год</t>
  </si>
  <si>
    <t xml:space="preserve">3. Изменения  источников дефицита  бюджета  Тутаевского муниципального района на 2024 год </t>
  </si>
  <si>
    <t>Содержание ребенка в семье опекуна</t>
  </si>
  <si>
    <t>Расходы на мероприятия по ремонту грунтовых дорог</t>
  </si>
  <si>
    <t>Формирование СГС в малых городах и исторических поселениях</t>
  </si>
  <si>
    <t>Разработка ПСД ремонт а/д левый берег Тутаев (ИБК)</t>
  </si>
  <si>
    <t>Расходы на  капитальный ремонт и ремонт а/д</t>
  </si>
  <si>
    <t>Расходы на приведение в нормативное состояние БКД Ярославия</t>
  </si>
  <si>
    <t>Расходы по строительство а/д в инд. парке "Тутаев" (ПСД)</t>
  </si>
  <si>
    <t>Разработка ПСД на строительство канализационных сетей</t>
  </si>
  <si>
    <t>Оказание услуг по захоронению невостребованных трупов</t>
  </si>
  <si>
    <t>Мероприятия по работе с детьми и молодежью</t>
  </si>
  <si>
    <t>Поддержка ТОС</t>
  </si>
  <si>
    <t>Выявление и ликвидация вреда окружающей среде</t>
  </si>
  <si>
    <t>15.0.00</t>
  </si>
  <si>
    <t>15.1.00</t>
  </si>
  <si>
    <t>15.2.00</t>
  </si>
  <si>
    <t>Муниципальная  программ "Обеспечение доступным и комфортным жильем населения  Тутаевского муниципального района"</t>
  </si>
  <si>
    <t>Муниципальная  целевая программа "Переселение граждан из аварийного жилищного фонда Тутаевского муниципального района»</t>
  </si>
  <si>
    <t>Муниципальная 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 Тутаевского муниципального района "</t>
  </si>
  <si>
    <t>Расходы на демонтаж аварийных жилых домов</t>
  </si>
  <si>
    <t>Расходы на приобретение квартир</t>
  </si>
  <si>
    <t xml:space="preserve">гп </t>
  </si>
  <si>
    <t>Обеспечение мероприятий по ремонту дорожного покрытия у музея Космос,  (Чебаковское с/п)</t>
  </si>
  <si>
    <t>Чеб.сп</t>
  </si>
  <si>
    <t>Конст.сп</t>
  </si>
  <si>
    <t>Артем.сп</t>
  </si>
  <si>
    <t>Левобер.сп</t>
  </si>
  <si>
    <t>Содержание учреждений спорта</t>
  </si>
  <si>
    <t>Обеспечение деятельности школ</t>
  </si>
  <si>
    <t>Дотация по НПА ОГВ ЯО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</si>
  <si>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21.12.2023 №25-г "О бюджете Тутаевского муниципального района на 2024 год и на плановый период 2025 - 2026 годов"</t>
  </si>
  <si>
    <t>Штрафы</t>
  </si>
  <si>
    <t xml:space="preserve">950 116 10031 05 0000 140 </t>
  </si>
  <si>
    <t>950 202 29999 05 2065 150</t>
  </si>
  <si>
    <t>Субсидия на обеспечение работы спортивных площадок общеобразовательных организаций</t>
  </si>
  <si>
    <t>950 202 35179 05 0000 150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</si>
  <si>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</si>
  <si>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950 202 20077 05 0000 150</t>
  </si>
  <si>
    <t>Субсидия на реализацию мероприятий по строительству и реконструкции объектов теплоснабжения</t>
  </si>
  <si>
    <t>Субвенция на обеспечение государственных полномочий по организации деятельности территориальных комиссий по делам несовершеннолетних и защите их прав</t>
  </si>
  <si>
    <t xml:space="preserve">950 202 29999 05 2063 150 </t>
  </si>
  <si>
    <t>Субсидия на повышение оплаты труда отдельных категорий работников муниципальных учреждений в сфере физической культуры и спорта</t>
  </si>
  <si>
    <t>950 202 30024 05 3007 150</t>
  </si>
  <si>
    <t>950 202 49999 05 4028 150</t>
  </si>
  <si>
    <t>Межбюджетные трансферты на приведение в нормативное состояние грунтовых дорог местного значения</t>
  </si>
  <si>
    <t>950 202 49999 05 4029 150</t>
  </si>
  <si>
    <t>Межбюджетные трансферты на приведение в нормативное состояние территорий муниципальных образовательных организаций</t>
  </si>
  <si>
    <t>Субсидии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</si>
  <si>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950 202 40014 05 4628 150</t>
  </si>
  <si>
    <t>950 202 40014 05 4629 150</t>
  </si>
  <si>
    <t>950 202 40014 05 4630 150</t>
  </si>
  <si>
    <t>Межбюджетные трансферты на обеспечение мероприятий по обеспечению безопасности людей на водных объектах, охране их жизни и здоровья</t>
  </si>
  <si>
    <t>Межбюджетные трансферты на обеспечение мероприятий по работе с детьми и молодежью</t>
  </si>
  <si>
    <t>Межбюджетные трансферты на выявление и ликвидацию вреда окружающей среде</t>
  </si>
  <si>
    <t>950 202 40014 05 4616 150</t>
  </si>
  <si>
    <t>Межбюджетные трансферты на организацию и осуществление мероприятий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</t>
  </si>
  <si>
    <t>950 202 40014 05 4602 150</t>
  </si>
  <si>
    <t>Обеспечение мероприятий по выполнению иных обязательств органами местного самоуправления</t>
  </si>
  <si>
    <t>Выплата стипендий Главы</t>
  </si>
  <si>
    <t>Организация деятельности подведомственных учреждений</t>
  </si>
  <si>
    <t>Приобретение программных продуктов</t>
  </si>
  <si>
    <t>Расходы на приведение в нормативное состояние территорий мун. образовательных учреждений</t>
  </si>
  <si>
    <t>Обеспечение мероприятий по содержанию и  ремонту автомобильных дорог,  (Левобережное с/п акцизы)</t>
  </si>
  <si>
    <t>Мероприятия по управлению, распоряжению имуществом, оценка недвижимости</t>
  </si>
  <si>
    <t>Содержание учреждений культуры</t>
  </si>
  <si>
    <t>Содержание учреждений (Галактика)</t>
  </si>
  <si>
    <t>разница</t>
  </si>
  <si>
    <t>доходы обл.</t>
  </si>
  <si>
    <t>доходы поселения</t>
  </si>
  <si>
    <t>Инициативное бюджетирование (депутатские средства)</t>
  </si>
  <si>
    <t>Субсидия на повышение оплаты труда отдельных категорий работников</t>
  </si>
  <si>
    <t>доходы</t>
  </si>
  <si>
    <t>расходы</t>
  </si>
  <si>
    <t>дефицит</t>
  </si>
  <si>
    <t>Межбюджетные трансферты</t>
  </si>
  <si>
    <t xml:space="preserve">Мероприятия по безопасности людей </t>
  </si>
  <si>
    <t>950 114 02053 05 0000 410</t>
  </si>
  <si>
    <t>954 202 30024 05 3004 150</t>
  </si>
  <si>
    <t>950 202 30024 05 3033 150</t>
  </si>
  <si>
    <t>950 202 40014 05 4610 150</t>
  </si>
  <si>
    <t>950 202 40014 05 4612 150</t>
  </si>
  <si>
    <t>950 202 40014 05 4618 150</t>
  </si>
  <si>
    <t>950 202 40014 05 4621 150</t>
  </si>
  <si>
    <t>950 202 49999 05 4011 150</t>
  </si>
  <si>
    <t>182 101 02000 01 0000 110</t>
  </si>
  <si>
    <t>Налог на добычу общераспространенных полезных ископаемых</t>
  </si>
  <si>
    <t>950 111 05013 13 0000 120, 950 111 05025 05 0000 120</t>
  </si>
  <si>
    <t xml:space="preserve">950 111 05000 05 0000 120 </t>
  </si>
  <si>
    <t>950 113 01995 05 0000 130</t>
  </si>
  <si>
    <t>950 114 06013 13 0000 430, 950 114 06013 05 0000 430, 950 114 06025 05 0000 430</t>
  </si>
  <si>
    <t>Прочие неналоговые доходы</t>
  </si>
  <si>
    <t>950 117 05050 05 0000 180</t>
  </si>
  <si>
    <t xml:space="preserve">  2. Изменения  расходов  бюджета Тутаевского муниципального района на 2024 год и плановый период 2025-2026гг     (редакция 3 август 2024)</t>
  </si>
  <si>
    <t>МБТ на выплату денежных поощрений лучшим сельским учреждениям культуры и лучшим работникам сельских учреждений культуры</t>
  </si>
  <si>
    <t>МБТ на повышение антитеррористической защищенности объектов образования</t>
  </si>
  <si>
    <t>Субсидия на реализацию мероприятий по приобретению и установке оборудования для объектов теплоснабжения</t>
  </si>
  <si>
    <t>МБТ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</si>
  <si>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16.0.00</t>
  </si>
  <si>
    <t>16.1.00</t>
  </si>
  <si>
    <t>Муниципальная программа "Управление земельно-имущественным комплексом Тутаевского муниципального района"</t>
  </si>
  <si>
    <t>Муниципальная целевая программа "Оформление права собственности на муниципальные и бесхозяйные объекты недвижимого имущества, расположенные на территории Тутаевского муниципального района"</t>
  </si>
  <si>
    <t>Расходы на проведение кадастровых работ в отношении бесхозяйных объектов</t>
  </si>
  <si>
    <t>Субсидия на осуществление деятельности в сфере молодежной политики социальными учреждениями молодежи</t>
  </si>
  <si>
    <t>Межбюджетные трансферты на материальное стимулирование деятельности народных дружинников в Ярославской области</t>
  </si>
  <si>
    <t>собаки</t>
  </si>
  <si>
    <t>МТБ район</t>
  </si>
  <si>
    <t>Расходы на внешний муниципальный контроль</t>
  </si>
  <si>
    <t>Мероприятия по установке систем оповещения</t>
  </si>
  <si>
    <t>Обеспечение мероприятий выявление и ликвидацию вред окружающей среден</t>
  </si>
  <si>
    <t>Стимулирование деятельности народных дружин</t>
  </si>
  <si>
    <t>Мероприятия инициативное бюджетирование</t>
  </si>
  <si>
    <t>Мероприятия по восстановлению воинских захоронений</t>
  </si>
  <si>
    <t>Обеспечение мероприятий по оборудованию муниципального жилищного фонда пандусами</t>
  </si>
  <si>
    <t>Обеспечение мероприятий по техническому содержанию, текущему и капитальному ремонту сетей уличного освещения (село)</t>
  </si>
  <si>
    <t>Обеспечение мероприятий по уличному освещению (село)</t>
  </si>
  <si>
    <t xml:space="preserve">Проектная деятельность </t>
  </si>
  <si>
    <t xml:space="preserve">Членские вносы </t>
  </si>
  <si>
    <t>Резервный фонд</t>
  </si>
  <si>
    <t>Представительские расходы</t>
  </si>
  <si>
    <t>Организация подвоза детей в загородные лагеря</t>
  </si>
  <si>
    <t xml:space="preserve">экономия </t>
  </si>
  <si>
    <t>экономия страховка гидротехн.сооружения</t>
  </si>
  <si>
    <t xml:space="preserve">Обеспечение мероприятий по безопасности жителей </t>
  </si>
  <si>
    <t>средства выделены из бюджета гп</t>
  </si>
  <si>
    <t>экономия при торгах</t>
  </si>
  <si>
    <t>по расчету</t>
  </si>
  <si>
    <t>гемодиализ 4 квартал и доплата 3</t>
  </si>
  <si>
    <t>з/плата</t>
  </si>
  <si>
    <t>Подготовка газопроводов для передачи в область</t>
  </si>
  <si>
    <t xml:space="preserve">Мероприятия по содержанию  газопроводов </t>
  </si>
  <si>
    <t>реализация проектов</t>
  </si>
  <si>
    <t>Государственная пошлина по делам, рассматриваемым в судах общей юрисдикции, мировыми судьями</t>
  </si>
  <si>
    <t>182 108 03000 01 0000 110</t>
  </si>
  <si>
    <t>Межбюджетные трансферты на повышение антитеррористической защищенности объектов образования</t>
  </si>
  <si>
    <t xml:space="preserve">950 2 02 49999 05 4019 150 </t>
  </si>
  <si>
    <t>950 2 02 29999 05 2067 150</t>
  </si>
  <si>
    <t>Межбюджетные трансферты на проведение кадастровых работ в отношении бесхозяйных объектов</t>
  </si>
  <si>
    <t>950 2 02 49999 05 4033 150</t>
  </si>
  <si>
    <t>950 2 02 49999 05 4030 150</t>
  </si>
  <si>
    <t>Межбюджетные трансферты, передаваемые бюджетам муниципальных районов на поддержку отрасли культуры(Межбюджетные трансферты на выплату денежных поощрений лучшим сельским учреждениям культуры и лучшим работникам сельских учреждений культуры)</t>
  </si>
  <si>
    <t>950 202 45519 05 0000 150</t>
  </si>
  <si>
    <t>Межбюджетные трансферты на реализацию мероприятий инициативного бюджетирования на территории Ярославской области</t>
  </si>
  <si>
    <t>950 2 02 40014 05 4624 150</t>
  </si>
  <si>
    <t>На реализацию мероприятий МУ СА МЦ Галактика (приобретение материальных запасов, транспортные услуги, оплата услуг и работ) 250,0т.р., поощрение 130,0т.р.</t>
  </si>
  <si>
    <t>привлечение граждан к заключению контракта</t>
  </si>
  <si>
    <t>Константиновская шк благоустройство стадион 4000,0.р., дс "Ромашка" замена оконных блоков 570,0т.р..</t>
  </si>
  <si>
    <t xml:space="preserve">шк №3 ограждение </t>
  </si>
  <si>
    <t xml:space="preserve">Содержание ФАКОТ </t>
  </si>
  <si>
    <t>МТБ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</si>
  <si>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</si>
  <si>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950 2 02 25599 05 0000 150</t>
  </si>
  <si>
    <t>Выплаты СВО 8 000,0т.р., подготовка к зиме 2 000,0 т.р..</t>
  </si>
  <si>
    <t xml:space="preserve"> на погашение кредиторской задолженности  МУП 36 158,199т.р.,  ТМР: ИЛ ЮЛ- 8 700,0т.р., штрафы 500,0т.р.</t>
  </si>
  <si>
    <t>Памятные доски</t>
  </si>
  <si>
    <t>Мероприятия по приобретению  атрибутики</t>
  </si>
  <si>
    <t xml:space="preserve">шк №4 установка 2 досок СВО 40,0т.р. </t>
  </si>
  <si>
    <t>ремонт пожарной лестницы 200,0т.р., з/плата 900,0т.р.</t>
  </si>
  <si>
    <t>сод. ЕДДС ком.пл. 15,0т.р.,трансп.налог 15,0т.р.,сод.а/м 400,0т.р., ГСМ 200,0т.р.,команд 10,0т.р., з/плата 2 931,118т.р. ЦБ ком.платежи 50,0т.р., налог на им-вао -10,0т.р., канц и хоз. Товары 50,0т.р.з/плата 4789,435 т.р.,обучение 229,4т.р..</t>
  </si>
  <si>
    <t>ком.платежи 500,0т.р,  з/пл 2 570,0т.руб..строит.материалы для помещения под "тайский бокс" 150,0т.р</t>
  </si>
  <si>
    <t>В2</t>
  </si>
  <si>
    <t>В3</t>
  </si>
  <si>
    <t>МТБ на мероприятия село)</t>
  </si>
  <si>
    <t>доп. дотация</t>
  </si>
  <si>
    <t>РДК им Малова ремонт входной группы и приобретение МАФ для центрального входа 1 255,193 т.р., Великосельский ДК утепление фасада и приобретение мебели и оборудования 702,839 т...</t>
  </si>
  <si>
    <t>Ремонт здания дома Бабушкина (МУК РЦКиД на левом берегу р. Волга 38088,256т.р., экран Ник. 10500,0т.р.,обустройство катков 6 500,0т.р.,муз.оборудование Микляхинский  ДК  201,458т.р., поощрение 156,318т.р., Никультский ДК -20 484,5т.р..</t>
  </si>
  <si>
    <t>0804  з/пл. 2 135,588т.р.,  ком.платежи 150,0 т.р., 0801 з/плата   1 800,0т.р..</t>
  </si>
  <si>
    <t>Созвездие  металлодетекторы 12,0т.р., ком.платежи 379,858т.р.з/плата 0703 2 800,0т.р., 0709 500,0т.р..</t>
  </si>
  <si>
    <t>шк№7 рем.вытяжки столовой 26,499т.р.мебель в каб дет.инициатив  300,0 т.р., Фом.шк разбор бассейна 599,0т.р.и кухонное оборудование 90,0т.р., Лев.шк замена котла 1 135,0т.р. подкл.к газ.отоплению 34,436т.р.,шк№1ПСД видеонабл. стадион 19,5т.р., Столбищ.шк рем.кровли 1 147,375т.р., подвоз детей 4 280,399т.р., ком.платежи 6 000,0т.р., благоустройство территории у котельной 350,0т.р., з/плата 2 500,0т.р..</t>
  </si>
  <si>
    <t>ДС "Ленинец"пром.системы отопления 12,0т.р., компрессора для очист. сооруж.45,0т.р.,.ДС "Лукошко" проверка обор.учета тепловой энергии 21,286т.р. ДС "Буратино" ПСД  и рем.кровли 265,0т.р..ДС "Малыш"блоки питания для тепл.узла 9,6т.р..ДС "Ромашка" экспертиза и рем.корпус2 250,0т.р.. ДС "Аленушка" ПСД рем. Кровли 14,0т.р..ДС "Сказка" строит. Материалы для помещения под "тайский бокс" 80,0т.р..ДС "Октябренок" тех.присоединение к сети газораспределения 82,296т.р..ДС "Дюймовочка" мясорубка и притирочная машина 47,162т.р..ДС "Колокольчик"  ИЛ 290,669т.р.. Ком.платежи 1 374,667т.р., питание 3 500,0т.р. , остатки на н.г  1 865,660т.р., благоустройство территории у котельной 325,0т.р., з/плата 5 000,0т.р., выпиловка аварийных деревьев 440,0т.р в№14 -1,№12-5,№5-5,</t>
  </si>
  <si>
    <t>Стипендии медалистам</t>
  </si>
  <si>
    <r>
      <t xml:space="preserve">замена оконных блоков: </t>
    </r>
    <r>
      <rPr>
        <b/>
        <sz val="10"/>
        <color theme="1"/>
        <rFont val="Times New Roman"/>
        <family val="1"/>
        <charset val="204"/>
      </rPr>
      <t>ДС "Полянка</t>
    </r>
    <r>
      <rPr>
        <sz val="10"/>
        <color theme="1"/>
        <rFont val="Times New Roman"/>
        <family val="1"/>
        <charset val="204"/>
      </rPr>
      <t xml:space="preserve">" 200,0т.р., </t>
    </r>
    <r>
      <rPr>
        <b/>
        <sz val="10"/>
        <color theme="1"/>
        <rFont val="Times New Roman"/>
        <family val="1"/>
        <charset val="204"/>
      </rPr>
      <t>ДС "Радуга"</t>
    </r>
    <r>
      <rPr>
        <sz val="10"/>
        <color theme="1"/>
        <rFont val="Times New Roman"/>
        <family val="1"/>
        <charset val="204"/>
      </rPr>
      <t xml:space="preserve"> 150,0т.р., </t>
    </r>
    <r>
      <rPr>
        <b/>
        <sz val="10"/>
        <color theme="1"/>
        <rFont val="Times New Roman"/>
        <family val="1"/>
        <charset val="204"/>
      </rPr>
      <t xml:space="preserve">шк №1 </t>
    </r>
    <r>
      <rPr>
        <sz val="10"/>
        <color theme="1"/>
        <rFont val="Times New Roman"/>
        <family val="1"/>
        <charset val="204"/>
      </rPr>
      <t xml:space="preserve"> улучшение МТБ  550,0т.р., </t>
    </r>
    <r>
      <rPr>
        <b/>
        <sz val="10"/>
        <color theme="1"/>
        <rFont val="Times New Roman"/>
        <family val="1"/>
        <charset val="204"/>
      </rPr>
      <t>шк №3</t>
    </r>
    <r>
      <rPr>
        <sz val="10"/>
        <color theme="1"/>
        <rFont val="Times New Roman"/>
        <family val="1"/>
        <charset val="204"/>
      </rPr>
      <t xml:space="preserve">  ремонт кровли 4 930,0т.р. И костюмы и полиграфия 75,0т.р.,</t>
    </r>
    <r>
      <rPr>
        <b/>
        <sz val="10"/>
        <color theme="1"/>
        <rFont val="Times New Roman"/>
        <family val="1"/>
        <charset val="204"/>
      </rPr>
      <t>шк№6</t>
    </r>
    <r>
      <rPr>
        <sz val="10"/>
        <color theme="1"/>
        <rFont val="Times New Roman"/>
        <family val="1"/>
        <charset val="204"/>
      </rPr>
      <t xml:space="preserve"> приобр.кухонного оборудования и трансп. расходы  475,0т.р., </t>
    </r>
    <r>
      <rPr>
        <b/>
        <sz val="10"/>
        <color theme="1"/>
        <rFont val="Times New Roman"/>
        <family val="1"/>
        <charset val="204"/>
      </rPr>
      <t>Констант шк</t>
    </r>
    <r>
      <rPr>
        <sz val="10"/>
        <color theme="1"/>
        <rFont val="Times New Roman"/>
        <family val="1"/>
        <charset val="204"/>
      </rPr>
      <t xml:space="preserve"> благоустройство стадиона 1 506,0т.р., </t>
    </r>
    <r>
      <rPr>
        <b/>
        <sz val="10"/>
        <color theme="1"/>
        <rFont val="Times New Roman"/>
        <family val="1"/>
        <charset val="204"/>
      </rPr>
      <t xml:space="preserve">"Старт" </t>
    </r>
    <r>
      <rPr>
        <sz val="10"/>
        <color theme="1"/>
        <rFont val="Times New Roman"/>
        <family val="1"/>
        <charset val="204"/>
      </rPr>
      <t>ок.блоки,спорт инвентарь 500,0т.р</t>
    </r>
    <r>
      <rPr>
        <b/>
        <sz val="10"/>
        <color theme="1"/>
        <rFont val="Times New Roman"/>
        <family val="1"/>
        <charset val="204"/>
      </rPr>
      <t xml:space="preserve">., ДЮСШ№4 </t>
    </r>
    <r>
      <rPr>
        <sz val="10"/>
        <color theme="1"/>
        <rFont val="Times New Roman"/>
        <family val="1"/>
        <charset val="204"/>
      </rPr>
      <t xml:space="preserve"> ремонт душевой 200,0т.р. и освещение 598,0т.р..</t>
    </r>
  </si>
  <si>
    <t>ледовой техзаказчик 3-4 квартал, обеспечение софинансирования 5 000,0т.р..</t>
  </si>
  <si>
    <t>рез. Покрытие 650,0т.р.,воздушный уборщик 30,0т.р.,газонокосилка 50,0т.р., дворник 50,0т.р.,сетки и интернет 220,0т.р..стенд у Старта 17,0т.р.,</t>
  </si>
  <si>
    <t>Транспортные услуги</t>
  </si>
  <si>
    <r>
      <rPr>
        <sz val="10"/>
        <color rgb="FFFF0000"/>
        <rFont val="Times New Roman"/>
        <family val="1"/>
        <charset val="204"/>
      </rPr>
      <t>ЦБ приобретение сервера 600,0 т.р.,программы "тарификация" 600,0 т.р.</t>
    </r>
    <r>
      <rPr>
        <sz val="10"/>
        <color theme="1"/>
        <rFont val="Times New Roman"/>
        <family val="1"/>
        <charset val="204"/>
      </rPr>
      <t>,приобретение компьютеров АТМР 520,4т.р., перераспределение с ДФ -550,0 т.р..</t>
    </r>
  </si>
  <si>
    <t>Обеспечение содержания учреждения в области благоустройства и озеленения</t>
  </si>
  <si>
    <t>Доп. Работы на сод. Дорог и  выполнение судебных решений 3800,0т.р.</t>
  </si>
  <si>
    <t>Расходы на подготовку проектов межевания земельных участков и на проведение кадастровых работ</t>
  </si>
  <si>
    <t>АТМР командировочные Глава 160,0т.р,Админ. 550,0т.; рем.поещений - 3 500,0т.р.;ОС  152,0т.р.;налог на м-во 100,0т.р.; эк.атестация раб. Мест -28,1т.р.;ком.пл 40,0т.р.; связь 10,0т.р.; ДФ  договора ГП и обучение 200,0т.р.. канцелярия 100,0т.р.з/плата: АТМР 3 420,387т.р.,УМИ 4 588,945т.р.,ЖКХ 891,749т.р.,УО 942,863т.р.,УК 342,524т.р.,ДФ 4767,613т.р. Сим-карты ООС 16,0т.р., атрибутика 163,0т.р..</t>
  </si>
  <si>
    <t>кадастровые работы по газопроводов</t>
  </si>
  <si>
    <t>экономия от сод. Неж.помещений -390,0т.р.,выкуп земли для а/д  д.Щетино 17,946т.р.,</t>
  </si>
  <si>
    <t>доп. потребность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</si>
</sst>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#,##0.00;[Red]#,##0.00"/>
    <numFmt numFmtId="166" formatCode="#,##0.00_ ;\-#,##0.00\ 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0" fontId="20" fillId="0" borderId="0"/>
  </cellStyleXfs>
  <cellXfs count="268">
    <xf numFmtId="0" fontId="0" fillId="0" borderId="0" xfId="0"/>
    <xf numFmtId="0" fontId="3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vertical="distributed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distributed" wrapText="1"/>
    </xf>
    <xf numFmtId="0" fontId="12" fillId="0" borderId="0" xfId="0" applyFont="1"/>
    <xf numFmtId="3" fontId="10" fillId="7" borderId="1" xfId="0" applyNumberFormat="1" applyFont="1" applyFill="1" applyBorder="1" applyAlignment="1">
      <alignment vertical="top" wrapText="1"/>
    </xf>
    <xf numFmtId="3" fontId="13" fillId="7" borderId="1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12" borderId="1" xfId="0" applyFont="1" applyFill="1" applyBorder="1" applyAlignment="1">
      <alignment vertical="center" wrapText="1"/>
    </xf>
    <xf numFmtId="14" fontId="16" fillId="12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" fontId="16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166" fontId="16" fillId="0" borderId="1" xfId="2" applyNumberFormat="1" applyFont="1" applyBorder="1" applyAlignment="1">
      <alignment horizontal="center" vertical="center" wrapText="1"/>
    </xf>
    <xf numFmtId="165" fontId="16" fillId="0" borderId="1" xfId="2" applyNumberFormat="1" applyFont="1" applyBorder="1" applyAlignment="1">
      <alignment horizontal="center" vertical="center" wrapText="1"/>
    </xf>
    <xf numFmtId="165" fontId="17" fillId="7" borderId="1" xfId="2" applyNumberFormat="1" applyFont="1" applyFill="1" applyBorder="1" applyAlignment="1">
      <alignment vertical="center" wrapText="1"/>
    </xf>
    <xf numFmtId="14" fontId="17" fillId="12" borderId="1" xfId="0" applyNumberFormat="1" applyFont="1" applyFill="1" applyBorder="1" applyAlignment="1">
      <alignment vertical="center" wrapText="1"/>
    </xf>
    <xf numFmtId="0" fontId="15" fillId="12" borderId="1" xfId="0" applyFont="1" applyFill="1" applyBorder="1" applyAlignment="1">
      <alignment vertical="center" wrapText="1"/>
    </xf>
    <xf numFmtId="4" fontId="0" fillId="0" borderId="0" xfId="0" applyNumberFormat="1"/>
    <xf numFmtId="4" fontId="22" fillId="7" borderId="1" xfId="0" applyNumberFormat="1" applyFont="1" applyFill="1" applyBorder="1" applyAlignment="1">
      <alignment vertical="distributed" wrapText="1"/>
    </xf>
    <xf numFmtId="4" fontId="23" fillId="7" borderId="1" xfId="0" applyNumberFormat="1" applyFont="1" applyFill="1" applyBorder="1" applyAlignment="1">
      <alignment vertical="distributed" wrapText="1"/>
    </xf>
    <xf numFmtId="0" fontId="16" fillId="12" borderId="1" xfId="0" applyFont="1" applyFill="1" applyBorder="1" applyAlignment="1">
      <alignment vertical="center" wrapText="1"/>
    </xf>
    <xf numFmtId="4" fontId="16" fillId="7" borderId="1" xfId="2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left" vertical="center" wrapText="1"/>
    </xf>
    <xf numFmtId="4" fontId="16" fillId="7" borderId="1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16" fillId="7" borderId="2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vertical="center" wrapText="1"/>
    </xf>
    <xf numFmtId="0" fontId="16" fillId="0" borderId="24" xfId="3" applyFont="1" applyBorder="1" applyAlignment="1" applyProtection="1">
      <alignment vertical="center" wrapText="1"/>
      <protection hidden="1"/>
    </xf>
    <xf numFmtId="0" fontId="19" fillId="0" borderId="24" xfId="3" applyFont="1" applyBorder="1" applyAlignment="1" applyProtection="1">
      <alignment vertical="center" wrapText="1"/>
      <protection hidden="1"/>
    </xf>
    <xf numFmtId="0" fontId="1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24" fillId="7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9" fillId="3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vertical="center" wrapText="1"/>
    </xf>
    <xf numFmtId="0" fontId="18" fillId="12" borderId="1" xfId="0" applyFont="1" applyFill="1" applyBorder="1" applyAlignment="1">
      <alignment vertical="center" wrapText="1"/>
    </xf>
    <xf numFmtId="4" fontId="18" fillId="12" borderId="1" xfId="2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4" fontId="6" fillId="7" borderId="1" xfId="2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0" fillId="7" borderId="0" xfId="0" applyFill="1"/>
    <xf numFmtId="166" fontId="15" fillId="7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3" fontId="6" fillId="7" borderId="1" xfId="2" applyNumberFormat="1" applyFont="1" applyFill="1" applyBorder="1" applyAlignment="1">
      <alignment horizontal="center" vertical="center" wrapText="1"/>
    </xf>
    <xf numFmtId="166" fontId="6" fillId="7" borderId="1" xfId="2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 wrapText="1"/>
    </xf>
    <xf numFmtId="3" fontId="29" fillId="7" borderId="1" xfId="0" applyNumberFormat="1" applyFont="1" applyFill="1" applyBorder="1" applyAlignment="1">
      <alignment horizontal="left" vertical="center" wrapText="1"/>
    </xf>
    <xf numFmtId="4" fontId="9" fillId="7" borderId="1" xfId="2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 wrapText="1"/>
    </xf>
    <xf numFmtId="0" fontId="16" fillId="12" borderId="8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left" vertical="center" wrapText="1"/>
    </xf>
    <xf numFmtId="4" fontId="9" fillId="12" borderId="1" xfId="2" applyNumberFormat="1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vertical="center" wrapText="1"/>
    </xf>
    <xf numFmtId="0" fontId="29" fillId="7" borderId="24" xfId="0" applyFont="1" applyFill="1" applyBorder="1" applyAlignment="1">
      <alignment vertical="center" wrapText="1"/>
    </xf>
    <xf numFmtId="165" fontId="6" fillId="7" borderId="1" xfId="2" applyNumberFormat="1" applyFont="1" applyFill="1" applyBorder="1" applyAlignment="1">
      <alignment horizontal="center" vertical="center" wrapText="1"/>
    </xf>
    <xf numFmtId="0" fontId="6" fillId="0" borderId="24" xfId="3" applyFont="1" applyBorder="1" applyAlignment="1" applyProtection="1">
      <alignment vertical="center" wrapText="1"/>
      <protection hidden="1"/>
    </xf>
    <xf numFmtId="0" fontId="29" fillId="0" borderId="24" xfId="3" applyFont="1" applyBorder="1" applyAlignment="1" applyProtection="1">
      <alignment vertical="center" wrapText="1"/>
      <protection hidden="1"/>
    </xf>
    <xf numFmtId="0" fontId="6" fillId="0" borderId="24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6" fontId="18" fillId="1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 readingOrder="1"/>
    </xf>
    <xf numFmtId="0" fontId="3" fillId="0" borderId="17" xfId="0" applyFont="1" applyBorder="1" applyAlignment="1">
      <alignment horizontal="justify" vertical="top" wrapText="1" readingOrder="1"/>
    </xf>
    <xf numFmtId="0" fontId="3" fillId="0" borderId="7" xfId="0" applyFont="1" applyBorder="1" applyAlignment="1">
      <alignment horizontal="justify" vertical="top" wrapText="1" readingOrder="1"/>
    </xf>
    <xf numFmtId="0" fontId="3" fillId="0" borderId="19" xfId="0" applyFont="1" applyBorder="1" applyAlignment="1">
      <alignment horizontal="justify" vertical="top" wrapText="1" readingOrder="1"/>
    </xf>
    <xf numFmtId="0" fontId="3" fillId="0" borderId="21" xfId="0" applyFont="1" applyBorder="1" applyAlignment="1">
      <alignment horizontal="justify" vertical="top" wrapText="1" readingOrder="1"/>
    </xf>
    <xf numFmtId="4" fontId="2" fillId="11" borderId="5" xfId="0" applyNumberFormat="1" applyFont="1" applyFill="1" applyBorder="1" applyAlignment="1">
      <alignment horizontal="justify" vertical="top" wrapText="1" readingOrder="1"/>
    </xf>
    <xf numFmtId="0" fontId="3" fillId="0" borderId="0" xfId="0" applyFont="1" applyAlignment="1">
      <alignment horizontal="center" vertical="center" wrapText="1" readingOrder="1"/>
    </xf>
    <xf numFmtId="4" fontId="3" fillId="0" borderId="0" xfId="0" applyNumberFormat="1" applyFont="1" applyAlignment="1">
      <alignment horizontal="center" vertical="center" wrapText="1" readingOrder="1"/>
    </xf>
    <xf numFmtId="4" fontId="9" fillId="0" borderId="14" xfId="0" applyNumberFormat="1" applyFont="1" applyBorder="1" applyAlignment="1">
      <alignment horizontal="center" vertical="center" wrapText="1" readingOrder="1"/>
    </xf>
    <xf numFmtId="4" fontId="9" fillId="0" borderId="11" xfId="0" applyNumberFormat="1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49" fontId="2" fillId="2" borderId="18" xfId="0" applyNumberFormat="1" applyFont="1" applyFill="1" applyBorder="1" applyAlignment="1">
      <alignment horizontal="center" vertical="center" wrapText="1" readingOrder="1"/>
    </xf>
    <xf numFmtId="4" fontId="2" fillId="2" borderId="18" xfId="0" applyNumberFormat="1" applyFont="1" applyFill="1" applyBorder="1" applyAlignment="1">
      <alignment horizontal="center" vertical="center" wrapText="1" readingOrder="1"/>
    </xf>
    <xf numFmtId="10" fontId="3" fillId="2" borderId="18" xfId="0" applyNumberFormat="1" applyFont="1" applyFill="1" applyBorder="1" applyAlignment="1">
      <alignment horizontal="center" vertical="center" wrapText="1" readingOrder="1"/>
    </xf>
    <xf numFmtId="10" fontId="2" fillId="2" borderId="18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49" fontId="8" fillId="3" borderId="6" xfId="0" applyNumberFormat="1" applyFont="1" applyFill="1" applyBorder="1" applyAlignment="1">
      <alignment horizontal="center" vertical="center" wrapText="1" readingOrder="1"/>
    </xf>
    <xf numFmtId="4" fontId="8" fillId="3" borderId="6" xfId="0" applyNumberFormat="1" applyFont="1" applyFill="1" applyBorder="1" applyAlignment="1">
      <alignment horizontal="center" vertical="center" wrapText="1" readingOrder="1"/>
    </xf>
    <xf numFmtId="10" fontId="8" fillId="3" borderId="6" xfId="0" applyNumberFormat="1" applyFont="1" applyFill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wrapText="1" readingOrder="1"/>
    </xf>
    <xf numFmtId="10" fontId="3" fillId="0" borderId="1" xfId="0" applyNumberFormat="1" applyFont="1" applyBorder="1" applyAlignment="1">
      <alignment horizontal="center" vertical="center" wrapText="1" readingOrder="1"/>
    </xf>
    <xf numFmtId="4" fontId="3" fillId="0" borderId="6" xfId="0" applyNumberFormat="1" applyFont="1" applyBorder="1" applyAlignment="1">
      <alignment horizontal="center" vertical="center" wrapText="1" readingOrder="1"/>
    </xf>
    <xf numFmtId="49" fontId="8" fillId="3" borderId="1" xfId="0" applyNumberFormat="1" applyFont="1" applyFill="1" applyBorder="1" applyAlignment="1">
      <alignment horizontal="center" vertical="center" wrapText="1" readingOrder="1"/>
    </xf>
    <xf numFmtId="4" fontId="8" fillId="3" borderId="1" xfId="0" applyNumberFormat="1" applyFont="1" applyFill="1" applyBorder="1" applyAlignment="1">
      <alignment horizontal="center" vertical="center" wrapText="1" readingOrder="1"/>
    </xf>
    <xf numFmtId="10" fontId="8" fillId="3" borderId="1" xfId="0" applyNumberFormat="1" applyFont="1" applyFill="1" applyBorder="1" applyAlignment="1">
      <alignment horizontal="center" vertical="center" wrapText="1" readingOrder="1"/>
    </xf>
    <xf numFmtId="4" fontId="3" fillId="7" borderId="1" xfId="0" applyNumberFormat="1" applyFont="1" applyFill="1" applyBorder="1" applyAlignment="1">
      <alignment horizontal="center" vertical="center" wrapText="1" readingOrder="1"/>
    </xf>
    <xf numFmtId="49" fontId="18" fillId="3" borderId="1" xfId="0" applyNumberFormat="1" applyFont="1" applyFill="1" applyBorder="1" applyAlignment="1">
      <alignment horizontal="center" vertical="center" wrapText="1" readingOrder="1"/>
    </xf>
    <xf numFmtId="49" fontId="2" fillId="3" borderId="6" xfId="0" applyNumberFormat="1" applyFont="1" applyFill="1" applyBorder="1" applyAlignment="1">
      <alignment horizontal="center" vertical="center" wrapText="1" readingOrder="1"/>
    </xf>
    <xf numFmtId="4" fontId="2" fillId="3" borderId="6" xfId="0" applyNumberFormat="1" applyFont="1" applyFill="1" applyBorder="1" applyAlignment="1">
      <alignment horizontal="center" vertical="center" wrapText="1" readingOrder="1"/>
    </xf>
    <xf numFmtId="10" fontId="2" fillId="3" borderId="6" xfId="0" applyNumberFormat="1" applyFont="1" applyFill="1" applyBorder="1" applyAlignment="1">
      <alignment horizontal="center" vertical="center" wrapText="1" readingOrder="1"/>
    </xf>
    <xf numFmtId="49" fontId="3" fillId="0" borderId="8" xfId="0" applyNumberFormat="1" applyFont="1" applyBorder="1" applyAlignment="1">
      <alignment horizontal="center" vertical="center" wrapText="1" readingOrder="1"/>
    </xf>
    <xf numFmtId="4" fontId="3" fillId="0" borderId="8" xfId="0" applyNumberFormat="1" applyFont="1" applyBorder="1" applyAlignment="1">
      <alignment horizontal="center" vertical="center" wrapText="1" readingOrder="1"/>
    </xf>
    <xf numFmtId="10" fontId="3" fillId="0" borderId="8" xfId="0" applyNumberFormat="1" applyFont="1" applyBorder="1" applyAlignment="1">
      <alignment horizontal="center" vertical="center" wrapText="1" readingOrder="1"/>
    </xf>
    <xf numFmtId="4" fontId="3" fillId="7" borderId="8" xfId="0" applyNumberFormat="1" applyFont="1" applyFill="1" applyBorder="1" applyAlignment="1">
      <alignment horizontal="center" vertical="center" wrapText="1" readingOrder="1"/>
    </xf>
    <xf numFmtId="49" fontId="2" fillId="4" borderId="18" xfId="0" applyNumberFormat="1" applyFont="1" applyFill="1" applyBorder="1" applyAlignment="1">
      <alignment horizontal="center" vertical="center" wrapText="1" readingOrder="1"/>
    </xf>
    <xf numFmtId="49" fontId="8" fillId="5" borderId="6" xfId="0" applyNumberFormat="1" applyFont="1" applyFill="1" applyBorder="1" applyAlignment="1">
      <alignment horizontal="center" vertical="center" wrapText="1" readingOrder="1"/>
    </xf>
    <xf numFmtId="49" fontId="4" fillId="6" borderId="1" xfId="0" applyNumberFormat="1" applyFont="1" applyFill="1" applyBorder="1" applyAlignment="1">
      <alignment horizontal="center" vertical="center" wrapText="1" readingOrder="1"/>
    </xf>
    <xf numFmtId="49" fontId="8" fillId="5" borderId="1" xfId="0" applyNumberFormat="1" applyFont="1" applyFill="1" applyBorder="1" applyAlignment="1">
      <alignment horizontal="center" vertical="center" wrapText="1" readingOrder="1"/>
    </xf>
    <xf numFmtId="49" fontId="4" fillId="6" borderId="8" xfId="0" applyNumberFormat="1" applyFont="1" applyFill="1" applyBorder="1" applyAlignment="1">
      <alignment horizontal="center" vertical="center" wrapText="1" readingOrder="1"/>
    </xf>
    <xf numFmtId="4" fontId="8" fillId="2" borderId="18" xfId="0" applyNumberFormat="1" applyFont="1" applyFill="1" applyBorder="1" applyAlignment="1">
      <alignment horizontal="center" vertical="center" wrapText="1" readingOrder="1"/>
    </xf>
    <xf numFmtId="4" fontId="8" fillId="2" borderId="5" xfId="0" applyNumberFormat="1" applyFont="1" applyFill="1" applyBorder="1" applyAlignment="1">
      <alignment horizontal="center" vertical="center" wrapText="1" readingOrder="1"/>
    </xf>
    <xf numFmtId="49" fontId="3" fillId="6" borderId="1" xfId="0" applyNumberFormat="1" applyFont="1" applyFill="1" applyBorder="1" applyAlignment="1">
      <alignment horizontal="center" vertical="center" wrapText="1" readingOrder="1"/>
    </xf>
    <xf numFmtId="49" fontId="3" fillId="7" borderId="1" xfId="0" applyNumberFormat="1" applyFont="1" applyFill="1" applyBorder="1" applyAlignment="1">
      <alignment horizontal="center" vertical="center" wrapText="1" readingOrder="1"/>
    </xf>
    <xf numFmtId="164" fontId="2" fillId="4" borderId="18" xfId="0" applyNumberFormat="1" applyFont="1" applyFill="1" applyBorder="1" applyAlignment="1">
      <alignment horizontal="center" vertical="center" wrapText="1" readingOrder="1"/>
    </xf>
    <xf numFmtId="4" fontId="3" fillId="2" borderId="18" xfId="0" applyNumberFormat="1" applyFont="1" applyFill="1" applyBorder="1" applyAlignment="1">
      <alignment horizontal="center" vertical="center" wrapText="1" readingOrder="1"/>
    </xf>
    <xf numFmtId="49" fontId="2" fillId="3" borderId="1" xfId="0" applyNumberFormat="1" applyFont="1" applyFill="1" applyBorder="1" applyAlignment="1">
      <alignment horizontal="center" vertical="center" wrapText="1" readingOrder="1"/>
    </xf>
    <xf numFmtId="4" fontId="2" fillId="3" borderId="1" xfId="0" applyNumberFormat="1" applyFont="1" applyFill="1" applyBorder="1" applyAlignment="1">
      <alignment horizontal="center" vertical="center" wrapText="1" readingOrder="1"/>
    </xf>
    <xf numFmtId="10" fontId="2" fillId="3" borderId="1" xfId="0" applyNumberFormat="1" applyFont="1" applyFill="1" applyBorder="1" applyAlignment="1">
      <alignment horizontal="center" vertical="center" wrapText="1" readingOrder="1"/>
    </xf>
    <xf numFmtId="49" fontId="6" fillId="2" borderId="18" xfId="0" applyNumberFormat="1" applyFont="1" applyFill="1" applyBorder="1" applyAlignment="1">
      <alignment horizontal="center" vertical="center" wrapText="1" readingOrder="1"/>
    </xf>
    <xf numFmtId="49" fontId="3" fillId="0" borderId="23" xfId="0" applyNumberFormat="1" applyFont="1" applyBorder="1" applyAlignment="1">
      <alignment horizontal="center" vertical="center" wrapText="1" readingOrder="1"/>
    </xf>
    <xf numFmtId="4" fontId="3" fillId="0" borderId="23" xfId="0" applyNumberFormat="1" applyFont="1" applyBorder="1" applyAlignment="1">
      <alignment horizontal="center" vertical="center" wrapText="1" readingOrder="1"/>
    </xf>
    <xf numFmtId="10" fontId="3" fillId="0" borderId="23" xfId="0" applyNumberFormat="1" applyFont="1" applyBorder="1" applyAlignment="1">
      <alignment horizontal="center" vertical="center" wrapText="1" readingOrder="1"/>
    </xf>
    <xf numFmtId="4" fontId="3" fillId="0" borderId="26" xfId="0" applyNumberFormat="1" applyFont="1" applyBorder="1" applyAlignment="1">
      <alignment horizontal="center" vertical="center" wrapText="1" readingOrder="1"/>
    </xf>
    <xf numFmtId="49" fontId="2" fillId="9" borderId="18" xfId="0" applyNumberFormat="1" applyFont="1" applyFill="1" applyBorder="1" applyAlignment="1">
      <alignment horizontal="center" vertical="center" wrapText="1" readingOrder="1"/>
    </xf>
    <xf numFmtId="4" fontId="2" fillId="9" borderId="18" xfId="0" applyNumberFormat="1" applyFont="1" applyFill="1" applyBorder="1" applyAlignment="1">
      <alignment horizontal="center" vertical="center" wrapText="1" readingOrder="1"/>
    </xf>
    <xf numFmtId="10" fontId="2" fillId="9" borderId="18" xfId="0" applyNumberFormat="1" applyFont="1" applyFill="1" applyBorder="1" applyAlignment="1">
      <alignment horizontal="center" vertical="center" wrapText="1" readingOrder="1"/>
    </xf>
    <xf numFmtId="10" fontId="3" fillId="0" borderId="6" xfId="0" applyNumberFormat="1" applyFont="1" applyBorder="1" applyAlignment="1">
      <alignment horizontal="center" vertical="center" wrapText="1" readingOrder="1"/>
    </xf>
    <xf numFmtId="4" fontId="16" fillId="0" borderId="0" xfId="0" applyNumberFormat="1" applyFont="1" applyAlignment="1">
      <alignment horizontal="center" vertical="center" wrapText="1" readingOrder="1"/>
    </xf>
    <xf numFmtId="4" fontId="8" fillId="0" borderId="0" xfId="0" applyNumberFormat="1" applyFont="1" applyAlignment="1">
      <alignment horizontal="center" vertical="center" wrapText="1" readingOrder="1"/>
    </xf>
    <xf numFmtId="4" fontId="2" fillId="0" borderId="1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8" fillId="3" borderId="15" xfId="0" applyFont="1" applyFill="1" applyBorder="1" applyAlignment="1">
      <alignment horizontal="left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0" fontId="8" fillId="3" borderId="16" xfId="0" applyFont="1" applyFill="1" applyBorder="1" applyAlignment="1">
      <alignment horizontal="left" vertical="center" wrapText="1" readingOrder="1"/>
    </xf>
    <xf numFmtId="0" fontId="5" fillId="2" borderId="4" xfId="0" applyFont="1" applyFill="1" applyBorder="1" applyAlignment="1">
      <alignment horizontal="left" vertical="center" wrapText="1" readingOrder="1"/>
    </xf>
    <xf numFmtId="0" fontId="2" fillId="3" borderId="15" xfId="0" applyFont="1" applyFill="1" applyBorder="1" applyAlignment="1">
      <alignment horizontal="left" vertical="center" wrapText="1" readingOrder="1"/>
    </xf>
    <xf numFmtId="0" fontId="21" fillId="3" borderId="16" xfId="0" applyFont="1" applyFill="1" applyBorder="1" applyAlignment="1">
      <alignment horizontal="left" vertical="center" wrapText="1" readingOrder="1"/>
    </xf>
    <xf numFmtId="0" fontId="3" fillId="0" borderId="20" xfId="0" applyFont="1" applyBorder="1" applyAlignment="1">
      <alignment horizontal="left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0" fontId="2" fillId="3" borderId="16" xfId="0" applyFont="1" applyFill="1" applyBorder="1" applyAlignment="1">
      <alignment horizontal="left" vertical="center" wrapText="1" readingOrder="1"/>
    </xf>
    <xf numFmtId="0" fontId="9" fillId="2" borderId="4" xfId="0" applyFont="1" applyFill="1" applyBorder="1" applyAlignment="1">
      <alignment horizontal="left" vertical="center" wrapText="1" readingOrder="1"/>
    </xf>
    <xf numFmtId="0" fontId="3" fillId="6" borderId="16" xfId="1" applyFont="1" applyFill="1" applyBorder="1" applyAlignment="1">
      <alignment horizontal="left" vertical="center" wrapText="1" readingOrder="1"/>
    </xf>
    <xf numFmtId="0" fontId="8" fillId="5" borderId="15" xfId="0" applyFont="1" applyFill="1" applyBorder="1" applyAlignment="1">
      <alignment horizontal="left" vertical="center" wrapText="1" readingOrder="1"/>
    </xf>
    <xf numFmtId="0" fontId="3" fillId="8" borderId="16" xfId="0" applyFont="1" applyFill="1" applyBorder="1" applyAlignment="1">
      <alignment horizontal="left" vertical="center" wrapText="1" readingOrder="1"/>
    </xf>
    <xf numFmtId="0" fontId="18" fillId="3" borderId="16" xfId="0" applyFont="1" applyFill="1" applyBorder="1" applyAlignment="1">
      <alignment horizontal="left" vertical="center" wrapText="1" readingOrder="1"/>
    </xf>
    <xf numFmtId="0" fontId="3" fillId="8" borderId="25" xfId="0" applyFont="1" applyFill="1" applyBorder="1" applyAlignment="1">
      <alignment horizontal="left" vertical="center" wrapText="1" readingOrder="1"/>
    </xf>
    <xf numFmtId="0" fontId="2" fillId="9" borderId="4" xfId="0" applyFont="1" applyFill="1" applyBorder="1" applyAlignment="1">
      <alignment horizontal="left" vertical="center" wrapText="1" readingOrder="1"/>
    </xf>
    <xf numFmtId="4" fontId="6" fillId="7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  <xf numFmtId="4" fontId="6" fillId="0" borderId="1" xfId="0" applyNumberFormat="1" applyFont="1" applyBorder="1" applyAlignment="1">
      <alignment horizontal="center" vertical="center" wrapText="1" readingOrder="1"/>
    </xf>
    <xf numFmtId="4" fontId="6" fillId="0" borderId="8" xfId="0" applyNumberFormat="1" applyFont="1" applyBorder="1" applyAlignment="1">
      <alignment horizontal="center" vertical="center" wrapText="1" readingOrder="1"/>
    </xf>
    <xf numFmtId="0" fontId="3" fillId="7" borderId="16" xfId="0" applyFont="1" applyFill="1" applyBorder="1" applyAlignment="1">
      <alignment horizontal="left" vertical="center" wrapText="1" readingOrder="1"/>
    </xf>
    <xf numFmtId="10" fontId="3" fillId="7" borderId="1" xfId="0" applyNumberFormat="1" applyFont="1" applyFill="1" applyBorder="1" applyAlignment="1">
      <alignment horizontal="center" vertical="center" wrapText="1" readingOrder="1"/>
    </xf>
    <xf numFmtId="0" fontId="3" fillId="7" borderId="7" xfId="0" applyFont="1" applyFill="1" applyBorder="1" applyAlignment="1">
      <alignment horizontal="justify" vertical="top" wrapText="1" readingOrder="1"/>
    </xf>
    <xf numFmtId="0" fontId="3" fillId="7" borderId="0" xfId="0" applyFont="1" applyFill="1" applyAlignment="1">
      <alignment horizontal="justify" vertical="top" wrapText="1" readingOrder="1"/>
    </xf>
    <xf numFmtId="0" fontId="3" fillId="7" borderId="0" xfId="0" applyFont="1" applyFill="1" applyAlignment="1">
      <alignment wrapText="1"/>
    </xf>
    <xf numFmtId="0" fontId="6" fillId="7" borderId="16" xfId="0" applyFont="1" applyFill="1" applyBorder="1" applyAlignment="1">
      <alignment horizontal="left" vertical="center" wrapText="1" readingOrder="1"/>
    </xf>
    <xf numFmtId="49" fontId="6" fillId="7" borderId="1" xfId="0" applyNumberFormat="1" applyFont="1" applyFill="1" applyBorder="1" applyAlignment="1">
      <alignment horizontal="center" vertical="center" wrapText="1" readingOrder="1"/>
    </xf>
    <xf numFmtId="10" fontId="6" fillId="7" borderId="1" xfId="0" applyNumberFormat="1" applyFont="1" applyFill="1" applyBorder="1" applyAlignment="1">
      <alignment horizontal="center" vertical="center" wrapText="1" readingOrder="1"/>
    </xf>
    <xf numFmtId="0" fontId="3" fillId="7" borderId="15" xfId="0" applyFont="1" applyFill="1" applyBorder="1" applyAlignment="1">
      <alignment horizontal="left" vertical="center" wrapText="1" readingOrder="1"/>
    </xf>
    <xf numFmtId="49" fontId="3" fillId="7" borderId="6" xfId="0" applyNumberFormat="1" applyFont="1" applyFill="1" applyBorder="1" applyAlignment="1">
      <alignment horizontal="center" vertical="center" wrapText="1" readingOrder="1"/>
    </xf>
    <xf numFmtId="4" fontId="3" fillId="7" borderId="6" xfId="0" applyNumberFormat="1" applyFont="1" applyFill="1" applyBorder="1" applyAlignment="1">
      <alignment horizontal="center" vertical="center" wrapText="1" readingOrder="1"/>
    </xf>
    <xf numFmtId="10" fontId="3" fillId="7" borderId="6" xfId="0" applyNumberFormat="1" applyFont="1" applyFill="1" applyBorder="1" applyAlignment="1">
      <alignment horizontal="center" vertical="center" wrapText="1" readingOrder="1"/>
    </xf>
    <xf numFmtId="0" fontId="3" fillId="0" borderId="27" xfId="0" applyFont="1" applyBorder="1" applyAlignment="1">
      <alignment horizontal="justify" vertical="top" wrapText="1" readingOrder="1"/>
    </xf>
    <xf numFmtId="4" fontId="6" fillId="7" borderId="8" xfId="0" applyNumberFormat="1" applyFont="1" applyFill="1" applyBorder="1" applyAlignment="1">
      <alignment horizontal="center" vertical="center" wrapText="1" readingOrder="1"/>
    </xf>
    <xf numFmtId="4" fontId="3" fillId="13" borderId="0" xfId="0" applyNumberFormat="1" applyFont="1" applyFill="1" applyAlignment="1">
      <alignment horizontal="center" vertical="center" wrapText="1" readingOrder="1"/>
    </xf>
    <xf numFmtId="4" fontId="6" fillId="7" borderId="6" xfId="0" applyNumberFormat="1" applyFont="1" applyFill="1" applyBorder="1" applyAlignment="1">
      <alignment horizontal="center" vertical="center" wrapText="1" readingOrder="1"/>
    </xf>
    <xf numFmtId="4" fontId="6" fillId="0" borderId="23" xfId="0" applyNumberFormat="1" applyFont="1" applyBorder="1" applyAlignment="1">
      <alignment horizontal="center" vertical="center" wrapText="1" readingOrder="1"/>
    </xf>
    <xf numFmtId="4" fontId="6" fillId="7" borderId="23" xfId="0" applyNumberFormat="1" applyFont="1" applyFill="1" applyBorder="1" applyAlignment="1">
      <alignment horizontal="center" vertical="center" wrapText="1" readingOrder="1"/>
    </xf>
    <xf numFmtId="0" fontId="3" fillId="0" borderId="25" xfId="0" applyFont="1" applyBorder="1" applyAlignment="1">
      <alignment horizontal="left" vertical="center" wrapText="1" readingOrder="1"/>
    </xf>
    <xf numFmtId="0" fontId="3" fillId="9" borderId="4" xfId="0" applyFont="1" applyFill="1" applyBorder="1" applyAlignment="1">
      <alignment horizontal="left" vertical="center" wrapText="1" readingOrder="1"/>
    </xf>
    <xf numFmtId="0" fontId="3" fillId="0" borderId="28" xfId="0" applyFont="1" applyBorder="1" applyAlignment="1">
      <alignment horizontal="justify" vertical="top" wrapText="1" readingOrder="1"/>
    </xf>
    <xf numFmtId="0" fontId="3" fillId="0" borderId="8" xfId="0" applyFont="1" applyBorder="1" applyAlignment="1">
      <alignment horizontal="left" vertical="center" wrapText="1" readingOrder="1"/>
    </xf>
    <xf numFmtId="4" fontId="2" fillId="11" borderId="4" xfId="0" applyNumberFormat="1" applyFont="1" applyFill="1" applyBorder="1" applyAlignment="1">
      <alignment horizontal="left" vertical="center" wrapText="1" readingOrder="1"/>
    </xf>
    <xf numFmtId="4" fontId="2" fillId="11" borderId="18" xfId="0" applyNumberFormat="1" applyFont="1" applyFill="1" applyBorder="1" applyAlignment="1">
      <alignment horizontal="center" vertical="center" wrapText="1" readingOrder="1"/>
    </xf>
    <xf numFmtId="0" fontId="3" fillId="0" borderId="29" xfId="0" applyFont="1" applyBorder="1" applyAlignment="1">
      <alignment horizontal="justify" vertical="top" wrapText="1" readingOrder="1"/>
    </xf>
    <xf numFmtId="0" fontId="3" fillId="7" borderId="1" xfId="0" applyFont="1" applyFill="1" applyBorder="1" applyAlignment="1">
      <alignment horizontal="left" vertical="top" wrapText="1"/>
    </xf>
    <xf numFmtId="166" fontId="9" fillId="7" borderId="1" xfId="2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66" fontId="0" fillId="0" borderId="0" xfId="0" applyNumberFormat="1"/>
    <xf numFmtId="0" fontId="1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/>
    </xf>
    <xf numFmtId="165" fontId="18" fillId="0" borderId="1" xfId="2" applyNumberFormat="1" applyFont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left" vertical="center" wrapText="1" readingOrder="1"/>
    </xf>
    <xf numFmtId="49" fontId="2" fillId="9" borderId="12" xfId="0" applyNumberFormat="1" applyFont="1" applyFill="1" applyBorder="1" applyAlignment="1">
      <alignment horizontal="center" vertical="center" wrapText="1" readingOrder="1"/>
    </xf>
    <xf numFmtId="4" fontId="2" fillId="9" borderId="12" xfId="0" applyNumberFormat="1" applyFont="1" applyFill="1" applyBorder="1" applyAlignment="1">
      <alignment horizontal="center" vertical="center" wrapText="1" readingOrder="1"/>
    </xf>
    <xf numFmtId="10" fontId="2" fillId="9" borderId="12" xfId="0" applyNumberFormat="1" applyFont="1" applyFill="1" applyBorder="1" applyAlignment="1">
      <alignment horizontal="center" vertical="center" wrapText="1" readingOrder="1"/>
    </xf>
    <xf numFmtId="4" fontId="2" fillId="9" borderId="10" xfId="0" applyNumberFormat="1" applyFont="1" applyFill="1" applyBorder="1" applyAlignment="1">
      <alignment horizontal="center" vertical="center" wrapText="1" readingOrder="1"/>
    </xf>
    <xf numFmtId="4" fontId="3" fillId="0" borderId="30" xfId="0" applyNumberFormat="1" applyFont="1" applyBorder="1" applyAlignment="1">
      <alignment horizontal="justify" vertical="top" wrapText="1" readingOrder="1"/>
    </xf>
    <xf numFmtId="0" fontId="3" fillId="8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justify" vertical="top" wrapText="1" readingOrder="1"/>
    </xf>
    <xf numFmtId="0" fontId="6" fillId="0" borderId="7" xfId="0" applyFont="1" applyBorder="1" applyAlignment="1">
      <alignment horizontal="justify"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8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14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justify" vertical="top" wrapText="1" readingOrder="1"/>
    </xf>
    <xf numFmtId="0" fontId="6" fillId="0" borderId="10" xfId="0" applyFont="1" applyBorder="1" applyAlignment="1">
      <alignment horizontal="justify" vertical="top" wrapText="1" readingOrder="1"/>
    </xf>
    <xf numFmtId="0" fontId="2" fillId="6" borderId="2" xfId="0" applyFont="1" applyFill="1" applyBorder="1" applyAlignment="1">
      <alignment horizontal="left" vertical="center" wrapText="1" readingOrder="1"/>
    </xf>
    <xf numFmtId="0" fontId="2" fillId="6" borderId="9" xfId="0" applyFont="1" applyFill="1" applyBorder="1" applyAlignment="1">
      <alignment horizontal="left" vertical="center" wrapText="1" readingOrder="1"/>
    </xf>
    <xf numFmtId="0" fontId="2" fillId="6" borderId="13" xfId="0" applyFont="1" applyFill="1" applyBorder="1" applyAlignment="1">
      <alignment horizontal="center" vertical="center" wrapText="1" readingOrder="1"/>
    </xf>
    <xf numFmtId="0" fontId="2" fillId="6" borderId="12" xfId="0" applyFont="1" applyFill="1" applyBorder="1" applyAlignment="1">
      <alignment horizontal="center" vertical="center" wrapText="1" readingOrder="1"/>
    </xf>
    <xf numFmtId="4" fontId="9" fillId="0" borderId="13" xfId="0" applyNumberFormat="1" applyFont="1" applyBorder="1" applyAlignment="1">
      <alignment horizontal="center" vertical="center" wrapText="1" readingOrder="1"/>
    </xf>
    <xf numFmtId="4" fontId="9" fillId="0" borderId="12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/>
    </xf>
    <xf numFmtId="4" fontId="22" fillId="7" borderId="1" xfId="0" applyNumberFormat="1" applyFont="1" applyFill="1" applyBorder="1" applyAlignment="1">
      <alignment vertical="distributed" wrapText="1"/>
    </xf>
    <xf numFmtId="4" fontId="22" fillId="0" borderId="1" xfId="0" applyNumberFormat="1" applyFont="1" applyBorder="1" applyAlignment="1">
      <alignment vertical="distributed" wrapText="1"/>
    </xf>
    <xf numFmtId="0" fontId="6" fillId="8" borderId="1" xfId="0" applyFont="1" applyFill="1" applyBorder="1" applyAlignment="1">
      <alignment horizontal="left" vertical="center" wrapText="1" readingOrder="1"/>
    </xf>
    <xf numFmtId="4" fontId="9" fillId="7" borderId="11" xfId="0" applyNumberFormat="1" applyFont="1" applyFill="1" applyBorder="1" applyAlignment="1">
      <alignment horizontal="center" vertical="center" wrapText="1" readingOrder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topLeftCell="B4" workbookViewId="0">
      <selection activeCell="D121" sqref="D121"/>
    </sheetView>
  </sheetViews>
  <sheetFormatPr defaultRowHeight="15.05" x14ac:dyDescent="0.3"/>
  <cols>
    <col min="1" max="1" width="5.6640625" hidden="1" customWidth="1"/>
    <col min="2" max="2" width="43.33203125" customWidth="1"/>
    <col min="3" max="3" width="21.5546875" customWidth="1"/>
    <col min="4" max="4" width="18.5546875" customWidth="1"/>
    <col min="5" max="5" width="16.44140625" customWidth="1"/>
    <col min="6" max="6" width="15.33203125" customWidth="1"/>
    <col min="7" max="7" width="16" hidden="1" customWidth="1"/>
    <col min="8" max="8" width="15" hidden="1" customWidth="1"/>
  </cols>
  <sheetData>
    <row r="1" spans="1:7" ht="62.2" customHeight="1" x14ac:dyDescent="0.3">
      <c r="A1" s="232" t="s">
        <v>377</v>
      </c>
      <c r="B1" s="232"/>
      <c r="C1" s="232"/>
      <c r="D1" s="232"/>
      <c r="E1" s="232"/>
      <c r="F1" s="232"/>
      <c r="G1" s="232"/>
    </row>
    <row r="2" spans="1:7" ht="91.15" customHeight="1" x14ac:dyDescent="0.3">
      <c r="A2" s="233" t="s">
        <v>168</v>
      </c>
      <c r="B2" s="233"/>
      <c r="C2" s="233"/>
      <c r="D2" s="233"/>
      <c r="E2" s="233"/>
      <c r="F2" s="233"/>
      <c r="G2" s="233"/>
    </row>
    <row r="3" spans="1:7" x14ac:dyDescent="0.3">
      <c r="A3" s="234" t="s">
        <v>169</v>
      </c>
      <c r="B3" s="234"/>
      <c r="C3" s="234"/>
      <c r="D3" s="234"/>
      <c r="E3" s="234"/>
      <c r="F3" s="234"/>
      <c r="G3" s="235"/>
    </row>
    <row r="4" spans="1:7" x14ac:dyDescent="0.3">
      <c r="A4" s="236" t="s">
        <v>170</v>
      </c>
      <c r="B4" s="238" t="s">
        <v>171</v>
      </c>
      <c r="C4" s="52"/>
      <c r="D4" s="53">
        <v>2024</v>
      </c>
      <c r="E4" s="53">
        <v>2025</v>
      </c>
      <c r="F4" s="53">
        <v>2026</v>
      </c>
      <c r="G4" s="236" t="s">
        <v>172</v>
      </c>
    </row>
    <row r="5" spans="1:7" ht="37.35" x14ac:dyDescent="0.3">
      <c r="A5" s="237"/>
      <c r="B5" s="239"/>
      <c r="C5" s="54"/>
      <c r="D5" s="55" t="s">
        <v>117</v>
      </c>
      <c r="E5" s="55" t="s">
        <v>117</v>
      </c>
      <c r="F5" s="55" t="s">
        <v>117</v>
      </c>
      <c r="G5" s="237"/>
    </row>
    <row r="6" spans="1:7" ht="30.8" customHeight="1" x14ac:dyDescent="0.3">
      <c r="A6" s="11"/>
      <c r="B6" s="56" t="s">
        <v>173</v>
      </c>
      <c r="C6" s="56"/>
      <c r="D6" s="57">
        <f>D8+D15</f>
        <v>65930810</v>
      </c>
      <c r="E6" s="57">
        <f>E8+E15</f>
        <v>0</v>
      </c>
      <c r="F6" s="57">
        <f>F8+F15</f>
        <v>0</v>
      </c>
      <c r="G6" s="17"/>
    </row>
    <row r="7" spans="1:7" ht="14.25" customHeight="1" x14ac:dyDescent="0.3">
      <c r="A7" s="12"/>
      <c r="B7" s="58" t="s">
        <v>174</v>
      </c>
      <c r="C7" s="58"/>
      <c r="D7" s="59"/>
      <c r="E7" s="60"/>
      <c r="F7" s="60"/>
      <c r="G7" s="12"/>
    </row>
    <row r="8" spans="1:7" ht="24.05" customHeight="1" x14ac:dyDescent="0.3">
      <c r="A8" s="13"/>
      <c r="B8" s="61" t="s">
        <v>175</v>
      </c>
      <c r="C8" s="61"/>
      <c r="D8" s="62">
        <f>D9+D10+D11+D12+D13+D14</f>
        <v>38248600</v>
      </c>
      <c r="E8" s="62">
        <f t="shared" ref="E8:F8" si="0">E9+E10+E11+E12+E13+E14</f>
        <v>0</v>
      </c>
      <c r="F8" s="62">
        <f t="shared" si="0"/>
        <v>0</v>
      </c>
      <c r="G8" s="27"/>
    </row>
    <row r="9" spans="1:7" x14ac:dyDescent="0.3">
      <c r="A9" s="13"/>
      <c r="B9" s="63" t="s">
        <v>176</v>
      </c>
      <c r="C9" s="65" t="s">
        <v>431</v>
      </c>
      <c r="D9" s="64">
        <f>22319000+9300000+6000000</f>
        <v>37619000</v>
      </c>
      <c r="E9" s="64">
        <v>0</v>
      </c>
      <c r="F9" s="64">
        <v>0</v>
      </c>
      <c r="G9" s="242" t="s">
        <v>327</v>
      </c>
    </row>
    <row r="10" spans="1:7" x14ac:dyDescent="0.3">
      <c r="A10" s="13"/>
      <c r="B10" s="58" t="s">
        <v>182</v>
      </c>
      <c r="C10" s="58" t="s">
        <v>280</v>
      </c>
      <c r="D10" s="64">
        <v>1257600</v>
      </c>
      <c r="E10" s="64">
        <v>0</v>
      </c>
      <c r="F10" s="64">
        <v>0</v>
      </c>
      <c r="G10" s="243"/>
    </row>
    <row r="11" spans="1:7" x14ac:dyDescent="0.3">
      <c r="A11" s="13"/>
      <c r="B11" s="63" t="s">
        <v>177</v>
      </c>
      <c r="C11" s="65" t="s">
        <v>178</v>
      </c>
      <c r="D11" s="64">
        <v>-370000</v>
      </c>
      <c r="E11" s="64">
        <v>0</v>
      </c>
      <c r="F11" s="64">
        <v>0</v>
      </c>
      <c r="G11" s="243"/>
    </row>
    <row r="12" spans="1:7" ht="26.2" x14ac:dyDescent="0.3">
      <c r="A12" s="12"/>
      <c r="B12" s="58" t="s">
        <v>179</v>
      </c>
      <c r="C12" s="66" t="s">
        <v>180</v>
      </c>
      <c r="D12" s="59">
        <v>-400000</v>
      </c>
      <c r="E12" s="64">
        <v>0</v>
      </c>
      <c r="F12" s="64">
        <v>0</v>
      </c>
      <c r="G12" s="243"/>
    </row>
    <row r="13" spans="1:7" ht="26.2" x14ac:dyDescent="0.3">
      <c r="A13" s="12"/>
      <c r="B13" s="58" t="s">
        <v>432</v>
      </c>
      <c r="C13" s="58" t="s">
        <v>181</v>
      </c>
      <c r="D13" s="59">
        <v>-326000</v>
      </c>
      <c r="E13" s="64">
        <v>0</v>
      </c>
      <c r="F13" s="64">
        <v>0</v>
      </c>
      <c r="G13" s="243"/>
    </row>
    <row r="14" spans="1:7" ht="26.2" x14ac:dyDescent="0.3">
      <c r="A14" s="12"/>
      <c r="B14" s="213" t="s">
        <v>478</v>
      </c>
      <c r="C14" s="58" t="s">
        <v>479</v>
      </c>
      <c r="D14" s="59">
        <v>468000</v>
      </c>
      <c r="E14" s="64">
        <v>0</v>
      </c>
      <c r="F14" s="64">
        <v>0</v>
      </c>
      <c r="G14" s="243"/>
    </row>
    <row r="15" spans="1:7" x14ac:dyDescent="0.3">
      <c r="A15" s="14"/>
      <c r="B15" s="61" t="s">
        <v>183</v>
      </c>
      <c r="C15" s="61"/>
      <c r="D15" s="62">
        <f>D16+D17+D18+D19+D20+D21+D22+D23+D24</f>
        <v>27682210</v>
      </c>
      <c r="E15" s="62">
        <f>E16+E17+E18+E20+E21+E22+E23</f>
        <v>0</v>
      </c>
      <c r="F15" s="62">
        <f>F16+F17+F18+F20+F21+F22+F23</f>
        <v>0</v>
      </c>
      <c r="G15" s="13"/>
    </row>
    <row r="16" spans="1:7" ht="20.95" x14ac:dyDescent="0.3">
      <c r="A16" s="12"/>
      <c r="B16" s="58" t="s">
        <v>184</v>
      </c>
      <c r="C16" s="66" t="s">
        <v>433</v>
      </c>
      <c r="D16" s="59">
        <v>4125000</v>
      </c>
      <c r="E16" s="64">
        <v>0</v>
      </c>
      <c r="F16" s="64">
        <v>0</v>
      </c>
      <c r="G16" s="247"/>
    </row>
    <row r="17" spans="1:8" x14ac:dyDescent="0.3">
      <c r="A17" s="12"/>
      <c r="B17" s="58" t="s">
        <v>185</v>
      </c>
      <c r="C17" s="66" t="s">
        <v>434</v>
      </c>
      <c r="D17" s="59">
        <v>5522560</v>
      </c>
      <c r="E17" s="64">
        <v>0</v>
      </c>
      <c r="F17" s="64">
        <v>0</v>
      </c>
      <c r="G17" s="248"/>
    </row>
    <row r="18" spans="1:8" x14ac:dyDescent="0.3">
      <c r="A18" s="12"/>
      <c r="B18" s="58" t="s">
        <v>186</v>
      </c>
      <c r="C18" s="66" t="s">
        <v>187</v>
      </c>
      <c r="D18" s="59">
        <v>849000</v>
      </c>
      <c r="E18" s="64">
        <v>0</v>
      </c>
      <c r="F18" s="64">
        <v>0</v>
      </c>
      <c r="G18" s="12"/>
    </row>
    <row r="19" spans="1:8" ht="23.25" customHeight="1" x14ac:dyDescent="0.3">
      <c r="A19" s="12"/>
      <c r="B19" s="58" t="s">
        <v>188</v>
      </c>
      <c r="C19" s="66" t="s">
        <v>189</v>
      </c>
      <c r="D19" s="59">
        <v>47110</v>
      </c>
      <c r="E19" s="64">
        <v>0</v>
      </c>
      <c r="F19" s="64">
        <v>0</v>
      </c>
      <c r="G19" s="12"/>
    </row>
    <row r="20" spans="1:8" ht="39.299999999999997" x14ac:dyDescent="0.3">
      <c r="A20" s="12"/>
      <c r="B20" s="58" t="s">
        <v>190</v>
      </c>
      <c r="C20" s="66" t="s">
        <v>435</v>
      </c>
      <c r="D20" s="64">
        <v>1020000</v>
      </c>
      <c r="E20" s="64">
        <v>0</v>
      </c>
      <c r="F20" s="64">
        <v>0</v>
      </c>
      <c r="G20" s="12" t="s">
        <v>341</v>
      </c>
    </row>
    <row r="21" spans="1:8" ht="31.45" x14ac:dyDescent="0.3">
      <c r="A21" s="12"/>
      <c r="B21" s="58" t="s">
        <v>191</v>
      </c>
      <c r="C21" s="66" t="s">
        <v>436</v>
      </c>
      <c r="D21" s="59">
        <v>9793950</v>
      </c>
      <c r="E21" s="64">
        <v>0</v>
      </c>
      <c r="F21" s="64">
        <v>0</v>
      </c>
      <c r="G21" s="30"/>
    </row>
    <row r="22" spans="1:8" x14ac:dyDescent="0.3">
      <c r="A22" s="12"/>
      <c r="B22" s="58" t="s">
        <v>192</v>
      </c>
      <c r="C22" s="67" t="s">
        <v>423</v>
      </c>
      <c r="D22" s="59">
        <f>3000000+1225765+178819</f>
        <v>4404584</v>
      </c>
      <c r="E22" s="64">
        <v>0</v>
      </c>
      <c r="F22" s="64">
        <v>0</v>
      </c>
      <c r="G22" s="12"/>
    </row>
    <row r="23" spans="1:8" x14ac:dyDescent="0.3">
      <c r="A23" s="12"/>
      <c r="B23" s="58" t="s">
        <v>378</v>
      </c>
      <c r="C23" s="66" t="s">
        <v>379</v>
      </c>
      <c r="D23" s="59">
        <v>630233</v>
      </c>
      <c r="E23" s="64">
        <v>0</v>
      </c>
      <c r="F23" s="64">
        <v>0</v>
      </c>
      <c r="G23" s="12"/>
    </row>
    <row r="24" spans="1:8" x14ac:dyDescent="0.3">
      <c r="A24" s="12"/>
      <c r="B24" s="58" t="s">
        <v>437</v>
      </c>
      <c r="C24" s="66" t="s">
        <v>438</v>
      </c>
      <c r="D24" s="59">
        <v>1289773</v>
      </c>
      <c r="E24" s="64">
        <v>0</v>
      </c>
      <c r="F24" s="64">
        <v>0</v>
      </c>
      <c r="G24" s="12"/>
    </row>
    <row r="25" spans="1:8" x14ac:dyDescent="0.3">
      <c r="A25" s="11"/>
      <c r="B25" s="56" t="s">
        <v>193</v>
      </c>
      <c r="C25" s="56"/>
      <c r="D25" s="57">
        <f>D26</f>
        <v>237192270.61000001</v>
      </c>
      <c r="E25" s="57">
        <f>E26+E110</f>
        <v>81016877</v>
      </c>
      <c r="F25" s="57">
        <f>F26+F110</f>
        <v>47668034</v>
      </c>
      <c r="G25" s="17"/>
    </row>
    <row r="26" spans="1:8" ht="24.9" x14ac:dyDescent="0.3">
      <c r="A26" s="11"/>
      <c r="B26" s="56" t="s">
        <v>194</v>
      </c>
      <c r="C26" s="56"/>
      <c r="D26" s="57">
        <f>D27+D32+D57+D79</f>
        <v>237192270.61000001</v>
      </c>
      <c r="E26" s="57">
        <f>E27+E32+E57+E79</f>
        <v>81016877</v>
      </c>
      <c r="F26" s="57">
        <f>F27+F32+F57+F79</f>
        <v>47668034</v>
      </c>
      <c r="G26" s="17"/>
    </row>
    <row r="27" spans="1:8" ht="37.15" customHeight="1" x14ac:dyDescent="0.3">
      <c r="A27" s="11"/>
      <c r="B27" s="87" t="s">
        <v>195</v>
      </c>
      <c r="C27" s="87"/>
      <c r="D27" s="88">
        <f>D28+D30+D31</f>
        <v>91761961</v>
      </c>
      <c r="E27" s="88">
        <f>E28+E30+E31</f>
        <v>6585747</v>
      </c>
      <c r="F27" s="88">
        <f>F28+F30+F31</f>
        <v>85747</v>
      </c>
      <c r="G27" s="23"/>
    </row>
    <row r="28" spans="1:8" s="69" customFormat="1" ht="39.299999999999997" x14ac:dyDescent="0.3">
      <c r="A28" s="68"/>
      <c r="B28" s="78" t="s">
        <v>196</v>
      </c>
      <c r="C28" s="79" t="s">
        <v>197</v>
      </c>
      <c r="D28" s="64">
        <v>91761961</v>
      </c>
      <c r="E28" s="80">
        <v>6500000</v>
      </c>
      <c r="F28" s="80">
        <v>0</v>
      </c>
      <c r="G28" s="249"/>
    </row>
    <row r="29" spans="1:8" s="69" customFormat="1" ht="48.8" hidden="1" customHeight="1" x14ac:dyDescent="0.3">
      <c r="A29" s="68"/>
      <c r="B29" s="78"/>
      <c r="C29" s="79"/>
      <c r="D29" s="81"/>
      <c r="E29" s="214"/>
      <c r="F29" s="70"/>
      <c r="G29" s="250"/>
    </row>
    <row r="30" spans="1:8" s="69" customFormat="1" ht="1" hidden="1" customHeight="1" x14ac:dyDescent="0.3">
      <c r="A30" s="68"/>
      <c r="B30" s="31"/>
      <c r="C30" s="32"/>
      <c r="D30" s="33"/>
      <c r="E30" s="70"/>
      <c r="F30" s="70"/>
      <c r="G30" s="251"/>
    </row>
    <row r="31" spans="1:8" ht="46.5" customHeight="1" x14ac:dyDescent="0.3">
      <c r="A31" s="11"/>
      <c r="B31" s="78" t="s">
        <v>282</v>
      </c>
      <c r="C31" s="79" t="s">
        <v>281</v>
      </c>
      <c r="D31" s="81">
        <v>0</v>
      </c>
      <c r="E31" s="76">
        <v>85747</v>
      </c>
      <c r="F31" s="76">
        <v>85747</v>
      </c>
      <c r="G31" s="34"/>
    </row>
    <row r="32" spans="1:8" ht="51.75" customHeight="1" x14ac:dyDescent="0.3">
      <c r="A32" s="13"/>
      <c r="B32" s="61" t="s">
        <v>198</v>
      </c>
      <c r="C32" s="86"/>
      <c r="D32" s="62">
        <f>D33+D34+D35+D36+D38+D41+D42+D43+D45+D46+D47+D48+D49+D50+D51+D52+D53+D54+D39</f>
        <v>11891714.5</v>
      </c>
      <c r="E32" s="62">
        <f t="shared" ref="E32:F32" si="1">E33+E34+E35+E36+E38+E41+E42+E43+E45+E46+E47+E48+E49+E50+E51+E52+E53+E54</f>
        <v>3799532</v>
      </c>
      <c r="F32" s="62">
        <f t="shared" si="1"/>
        <v>3799532</v>
      </c>
      <c r="G32" s="27"/>
      <c r="H32" s="24"/>
    </row>
    <row r="33" spans="1:8" ht="24.75" hidden="1" customHeight="1" x14ac:dyDescent="0.3">
      <c r="A33" s="13"/>
      <c r="B33" s="63" t="s">
        <v>283</v>
      </c>
      <c r="C33" s="65" t="s">
        <v>199</v>
      </c>
      <c r="D33" s="64"/>
      <c r="E33" s="64"/>
      <c r="F33" s="64"/>
      <c r="G33" s="83"/>
      <c r="H33" s="24"/>
    </row>
    <row r="34" spans="1:8" ht="53.2" hidden="1" customHeight="1" x14ac:dyDescent="0.3">
      <c r="A34" s="13"/>
      <c r="B34" s="63" t="s">
        <v>394</v>
      </c>
      <c r="C34" s="65" t="s">
        <v>199</v>
      </c>
      <c r="D34" s="64"/>
      <c r="E34" s="64"/>
      <c r="F34" s="64"/>
      <c r="G34" s="83"/>
      <c r="H34" s="24"/>
    </row>
    <row r="35" spans="1:8" ht="51.05" customHeight="1" x14ac:dyDescent="0.3">
      <c r="A35" s="13"/>
      <c r="B35" s="63" t="s">
        <v>385</v>
      </c>
      <c r="C35" s="65" t="s">
        <v>384</v>
      </c>
      <c r="D35" s="64">
        <v>-18000000</v>
      </c>
      <c r="E35" s="64">
        <v>0</v>
      </c>
      <c r="F35" s="64">
        <v>0</v>
      </c>
      <c r="G35" s="249" t="s">
        <v>201</v>
      </c>
    </row>
    <row r="36" spans="1:8" ht="1" hidden="1" customHeight="1" x14ac:dyDescent="0.3">
      <c r="A36" s="13"/>
      <c r="B36" s="63" t="s">
        <v>285</v>
      </c>
      <c r="C36" s="65" t="s">
        <v>284</v>
      </c>
      <c r="D36" s="64"/>
      <c r="E36" s="64">
        <v>0</v>
      </c>
      <c r="F36" s="64">
        <v>0</v>
      </c>
      <c r="G36" s="250"/>
    </row>
    <row r="37" spans="1:8" ht="63" hidden="1" customHeight="1" x14ac:dyDescent="0.3">
      <c r="A37" s="13"/>
      <c r="B37" s="18" t="s">
        <v>200</v>
      </c>
      <c r="C37" s="29" t="s">
        <v>289</v>
      </c>
      <c r="D37" s="35"/>
      <c r="E37" s="35"/>
      <c r="F37" s="35"/>
      <c r="G37" s="250"/>
    </row>
    <row r="38" spans="1:8" ht="64" hidden="1" customHeight="1" x14ac:dyDescent="0.3">
      <c r="A38" s="13"/>
      <c r="B38" s="63" t="s">
        <v>202</v>
      </c>
      <c r="C38" s="65" t="s">
        <v>286</v>
      </c>
      <c r="D38" s="64"/>
      <c r="E38" s="64"/>
      <c r="F38" s="64"/>
      <c r="G38" s="250"/>
    </row>
    <row r="39" spans="1:8" ht="43.55" customHeight="1" x14ac:dyDescent="0.3">
      <c r="A39" s="13"/>
      <c r="B39" s="63" t="s">
        <v>496</v>
      </c>
      <c r="C39" s="65" t="s">
        <v>497</v>
      </c>
      <c r="D39" s="64">
        <v>8122.5</v>
      </c>
      <c r="E39" s="64">
        <v>0</v>
      </c>
      <c r="F39" s="64">
        <v>0</v>
      </c>
      <c r="G39" s="250"/>
    </row>
    <row r="40" spans="1:8" ht="72" hidden="1" customHeight="1" x14ac:dyDescent="0.3">
      <c r="A40" s="13"/>
      <c r="B40" s="18" t="s">
        <v>288</v>
      </c>
      <c r="C40" s="29" t="s">
        <v>287</v>
      </c>
      <c r="D40" s="28"/>
      <c r="E40" s="64"/>
      <c r="F40" s="64"/>
      <c r="G40" s="250"/>
    </row>
    <row r="41" spans="1:8" ht="102.8" hidden="1" customHeight="1" x14ac:dyDescent="0.3">
      <c r="A41" s="13"/>
      <c r="B41" s="63" t="s">
        <v>298</v>
      </c>
      <c r="C41" s="65" t="s">
        <v>297</v>
      </c>
      <c r="D41" s="64"/>
      <c r="E41" s="64"/>
      <c r="F41" s="64"/>
      <c r="G41" s="250"/>
    </row>
    <row r="42" spans="1:8" ht="47.95" customHeight="1" x14ac:dyDescent="0.3">
      <c r="A42" s="13"/>
      <c r="B42" s="63" t="s">
        <v>203</v>
      </c>
      <c r="C42" s="65" t="s">
        <v>292</v>
      </c>
      <c r="D42" s="64">
        <v>68702</v>
      </c>
      <c r="E42" s="64">
        <v>0</v>
      </c>
      <c r="F42" s="64">
        <v>0</v>
      </c>
      <c r="G42" s="250"/>
    </row>
    <row r="43" spans="1:8" ht="60.75" customHeight="1" x14ac:dyDescent="0.3">
      <c r="A43" s="13"/>
      <c r="B43" s="63" t="s">
        <v>204</v>
      </c>
      <c r="C43" s="65" t="s">
        <v>291</v>
      </c>
      <c r="D43" s="64">
        <v>2189604</v>
      </c>
      <c r="E43" s="64">
        <v>0</v>
      </c>
      <c r="F43" s="64">
        <v>0</v>
      </c>
      <c r="G43" s="250"/>
    </row>
    <row r="44" spans="1:8" ht="74.3" hidden="1" customHeight="1" x14ac:dyDescent="0.3">
      <c r="A44" s="13"/>
      <c r="B44" s="18" t="s">
        <v>298</v>
      </c>
      <c r="C44" s="29" t="s">
        <v>297</v>
      </c>
      <c r="D44" s="28"/>
      <c r="E44" s="64"/>
      <c r="F44" s="64"/>
      <c r="G44" s="250"/>
    </row>
    <row r="45" spans="1:8" ht="39.299999999999997" hidden="1" x14ac:dyDescent="0.3">
      <c r="A45" s="13"/>
      <c r="B45" s="63" t="s">
        <v>205</v>
      </c>
      <c r="C45" s="65" t="s">
        <v>290</v>
      </c>
      <c r="D45" s="64"/>
      <c r="E45" s="64"/>
      <c r="F45" s="64"/>
      <c r="G45" s="250"/>
    </row>
    <row r="46" spans="1:8" ht="67.75" customHeight="1" x14ac:dyDescent="0.3">
      <c r="A46" s="13"/>
      <c r="B46" s="63" t="s">
        <v>206</v>
      </c>
      <c r="C46" s="65" t="s">
        <v>207</v>
      </c>
      <c r="D46" s="64">
        <v>6528032</v>
      </c>
      <c r="E46" s="64">
        <v>0</v>
      </c>
      <c r="F46" s="64">
        <v>0</v>
      </c>
      <c r="G46" s="250"/>
    </row>
    <row r="47" spans="1:8" ht="39.799999999999997" customHeight="1" x14ac:dyDescent="0.3">
      <c r="A47" s="13"/>
      <c r="B47" s="63" t="s">
        <v>208</v>
      </c>
      <c r="C47" s="65" t="s">
        <v>209</v>
      </c>
      <c r="D47" s="64">
        <v>547722</v>
      </c>
      <c r="E47" s="64">
        <v>0</v>
      </c>
      <c r="F47" s="64">
        <v>0</v>
      </c>
      <c r="G47" s="250"/>
    </row>
    <row r="48" spans="1:8" ht="39.299999999999997" x14ac:dyDescent="0.3">
      <c r="A48" s="13"/>
      <c r="B48" s="63" t="s">
        <v>210</v>
      </c>
      <c r="C48" s="65" t="s">
        <v>293</v>
      </c>
      <c r="D48" s="64">
        <v>25244</v>
      </c>
      <c r="E48" s="64">
        <v>25244</v>
      </c>
      <c r="F48" s="64">
        <v>25244</v>
      </c>
      <c r="G48" s="250"/>
    </row>
    <row r="49" spans="1:8" ht="26.2" x14ac:dyDescent="0.3">
      <c r="A49" s="13"/>
      <c r="B49" s="63" t="s">
        <v>211</v>
      </c>
      <c r="C49" s="65" t="s">
        <v>294</v>
      </c>
      <c r="D49" s="64">
        <f>3277045+46235</f>
        <v>3323280</v>
      </c>
      <c r="E49" s="64">
        <f>3277045+46235</f>
        <v>3323280</v>
      </c>
      <c r="F49" s="64">
        <f>3277045+46235</f>
        <v>3323280</v>
      </c>
      <c r="G49" s="250"/>
    </row>
    <row r="50" spans="1:8" ht="26.2" hidden="1" x14ac:dyDescent="0.3">
      <c r="A50" s="13"/>
      <c r="B50" s="63" t="s">
        <v>212</v>
      </c>
      <c r="C50" s="65" t="s">
        <v>300</v>
      </c>
      <c r="D50" s="64"/>
      <c r="E50" s="64"/>
      <c r="F50" s="64"/>
      <c r="G50" s="250"/>
    </row>
    <row r="51" spans="1:8" ht="52.4" hidden="1" x14ac:dyDescent="0.3">
      <c r="A51" s="13"/>
      <c r="B51" s="63" t="s">
        <v>296</v>
      </c>
      <c r="C51" s="65" t="s">
        <v>295</v>
      </c>
      <c r="D51" s="64"/>
      <c r="E51" s="64"/>
      <c r="F51" s="64"/>
      <c r="G51" s="251"/>
    </row>
    <row r="52" spans="1:8" ht="39.299999999999997" x14ac:dyDescent="0.3">
      <c r="A52" s="13"/>
      <c r="B52" s="63" t="s">
        <v>388</v>
      </c>
      <c r="C52" s="65" t="s">
        <v>387</v>
      </c>
      <c r="D52" s="64">
        <v>451008</v>
      </c>
      <c r="E52" s="64">
        <v>451008</v>
      </c>
      <c r="F52" s="64">
        <v>451008</v>
      </c>
      <c r="G52" s="34"/>
    </row>
    <row r="53" spans="1:8" ht="26.2" hidden="1" x14ac:dyDescent="0.3">
      <c r="A53" s="12"/>
      <c r="B53" s="58" t="s">
        <v>381</v>
      </c>
      <c r="C53" s="66" t="s">
        <v>380</v>
      </c>
      <c r="D53" s="59"/>
      <c r="E53" s="64"/>
      <c r="F53" s="64"/>
      <c r="G53" s="18"/>
    </row>
    <row r="54" spans="1:8" ht="41.25" customHeight="1" x14ac:dyDescent="0.3">
      <c r="A54" s="12"/>
      <c r="B54" s="58" t="s">
        <v>442</v>
      </c>
      <c r="C54" s="215" t="s">
        <v>482</v>
      </c>
      <c r="D54" s="64">
        <v>16750000</v>
      </c>
      <c r="E54" s="64">
        <v>0</v>
      </c>
      <c r="F54" s="64">
        <v>0</v>
      </c>
      <c r="G54" s="18"/>
    </row>
    <row r="55" spans="1:8" ht="22.75" hidden="1" customHeight="1" x14ac:dyDescent="0.3">
      <c r="A55" s="12"/>
      <c r="B55" s="12"/>
      <c r="C55" s="15"/>
      <c r="D55" s="16"/>
      <c r="E55" s="19"/>
      <c r="F55" s="20"/>
      <c r="G55" s="18"/>
    </row>
    <row r="56" spans="1:8" ht="41.25" hidden="1" customHeight="1" x14ac:dyDescent="0.3">
      <c r="A56" s="18"/>
      <c r="B56" s="12"/>
      <c r="C56" s="15"/>
      <c r="D56" s="28"/>
      <c r="E56" s="21"/>
      <c r="F56" s="21"/>
      <c r="G56" s="18"/>
    </row>
    <row r="57" spans="1:8" ht="64.150000000000006" customHeight="1" x14ac:dyDescent="0.3">
      <c r="A57" s="13"/>
      <c r="B57" s="61" t="s">
        <v>213</v>
      </c>
      <c r="C57" s="61"/>
      <c r="D57" s="62">
        <f>SUM(D62:D78)</f>
        <v>64644401</v>
      </c>
      <c r="E57" s="62">
        <f t="shared" ref="E57:F57" si="2">SUM(E62:E78)</f>
        <v>43782755</v>
      </c>
      <c r="F57" s="62">
        <f t="shared" si="2"/>
        <v>43782755</v>
      </c>
      <c r="G57" s="27"/>
      <c r="H57" s="24">
        <f>D32+D57+D79</f>
        <v>145430309.61000001</v>
      </c>
    </row>
    <row r="58" spans="1:8" ht="60.75" hidden="1" customHeight="1" x14ac:dyDescent="0.3">
      <c r="A58" s="13"/>
      <c r="B58" s="63" t="s">
        <v>214</v>
      </c>
      <c r="C58" s="65" t="s">
        <v>215</v>
      </c>
      <c r="D58" s="75"/>
      <c r="E58" s="76"/>
      <c r="F58" s="76"/>
      <c r="G58" s="250"/>
    </row>
    <row r="59" spans="1:8" ht="56.3" hidden="1" customHeight="1" x14ac:dyDescent="0.3">
      <c r="A59" s="13"/>
      <c r="B59" s="63" t="s">
        <v>299</v>
      </c>
      <c r="C59" s="65" t="s">
        <v>424</v>
      </c>
      <c r="D59" s="75"/>
      <c r="E59" s="76"/>
      <c r="F59" s="76"/>
      <c r="G59" s="250"/>
    </row>
    <row r="60" spans="1:8" ht="64.5" hidden="1" customHeight="1" x14ac:dyDescent="0.3">
      <c r="A60" s="13"/>
      <c r="B60" s="63" t="s">
        <v>216</v>
      </c>
      <c r="C60" s="65" t="s">
        <v>301</v>
      </c>
      <c r="D60" s="64"/>
      <c r="E60" s="76"/>
      <c r="F60" s="76"/>
      <c r="G60" s="250"/>
    </row>
    <row r="61" spans="1:8" ht="39.299999999999997" hidden="1" x14ac:dyDescent="0.3">
      <c r="A61" s="13"/>
      <c r="B61" s="63" t="s">
        <v>217</v>
      </c>
      <c r="C61" s="65" t="s">
        <v>389</v>
      </c>
      <c r="D61" s="75"/>
      <c r="E61" s="76"/>
      <c r="F61" s="76"/>
      <c r="G61" s="250"/>
    </row>
    <row r="62" spans="1:8" ht="52.4" x14ac:dyDescent="0.3">
      <c r="A62" s="13"/>
      <c r="B62" s="63" t="s">
        <v>218</v>
      </c>
      <c r="C62" s="65" t="s">
        <v>302</v>
      </c>
      <c r="D62" s="75">
        <f>-1923398-143</f>
        <v>-1923541</v>
      </c>
      <c r="E62" s="76">
        <v>0</v>
      </c>
      <c r="F62" s="76">
        <v>0</v>
      </c>
      <c r="G62" s="250"/>
    </row>
    <row r="63" spans="1:8" ht="26.2" x14ac:dyDescent="0.3">
      <c r="A63" s="13"/>
      <c r="B63" s="63" t="s">
        <v>219</v>
      </c>
      <c r="C63" s="65" t="s">
        <v>303</v>
      </c>
      <c r="D63" s="75">
        <v>176341</v>
      </c>
      <c r="E63" s="76">
        <v>176341</v>
      </c>
      <c r="F63" s="76">
        <v>176341</v>
      </c>
      <c r="G63" s="250"/>
    </row>
    <row r="64" spans="1:8" ht="29.3" customHeight="1" x14ac:dyDescent="0.3">
      <c r="A64" s="13"/>
      <c r="B64" s="63" t="s">
        <v>307</v>
      </c>
      <c r="C64" s="65" t="s">
        <v>308</v>
      </c>
      <c r="D64" s="75">
        <f>15460137+21091100</f>
        <v>36551237</v>
      </c>
      <c r="E64" s="75">
        <f>15460137+21091100</f>
        <v>36551237</v>
      </c>
      <c r="F64" s="75">
        <f>15460137+21091100</f>
        <v>36551237</v>
      </c>
      <c r="G64" s="250"/>
    </row>
    <row r="65" spans="1:7" ht="29.95" hidden="1" customHeight="1" x14ac:dyDescent="0.3">
      <c r="A65" s="13"/>
      <c r="B65" s="63" t="s">
        <v>220</v>
      </c>
      <c r="C65" s="65" t="s">
        <v>310</v>
      </c>
      <c r="D65" s="64"/>
      <c r="E65" s="76"/>
      <c r="F65" s="76"/>
      <c r="G65" s="250"/>
    </row>
    <row r="66" spans="1:7" ht="47.3" hidden="1" customHeight="1" x14ac:dyDescent="0.3">
      <c r="A66" s="13"/>
      <c r="B66" s="63" t="s">
        <v>221</v>
      </c>
      <c r="C66" s="65" t="s">
        <v>309</v>
      </c>
      <c r="D66" s="75"/>
      <c r="E66" s="76"/>
      <c r="F66" s="76"/>
      <c r="G66" s="250"/>
    </row>
    <row r="67" spans="1:7" ht="65.45" x14ac:dyDescent="0.3">
      <c r="A67" s="13"/>
      <c r="B67" s="63" t="s">
        <v>222</v>
      </c>
      <c r="C67" s="65" t="s">
        <v>223</v>
      </c>
      <c r="D67" s="64">
        <v>6246450</v>
      </c>
      <c r="E67" s="76">
        <v>6246450</v>
      </c>
      <c r="F67" s="76">
        <v>6246450</v>
      </c>
      <c r="G67" s="250"/>
    </row>
    <row r="68" spans="1:7" ht="26.2" x14ac:dyDescent="0.3">
      <c r="A68" s="13"/>
      <c r="B68" s="63" t="s">
        <v>224</v>
      </c>
      <c r="C68" s="65" t="s">
        <v>325</v>
      </c>
      <c r="D68" s="64">
        <v>3000000</v>
      </c>
      <c r="E68" s="76">
        <v>0</v>
      </c>
      <c r="F68" s="76">
        <v>0</v>
      </c>
      <c r="G68" s="36"/>
    </row>
    <row r="69" spans="1:7" ht="41.25" hidden="1" customHeight="1" x14ac:dyDescent="0.3">
      <c r="A69" s="12"/>
      <c r="B69" s="71" t="s">
        <v>225</v>
      </c>
      <c r="C69" s="72" t="s">
        <v>226</v>
      </c>
      <c r="D69" s="73"/>
      <c r="E69" s="74"/>
      <c r="F69" s="74"/>
      <c r="G69" s="252"/>
    </row>
    <row r="70" spans="1:7" ht="55.5" customHeight="1" x14ac:dyDescent="0.3">
      <c r="A70" s="12"/>
      <c r="B70" s="71" t="s">
        <v>386</v>
      </c>
      <c r="C70" s="72" t="s">
        <v>227</v>
      </c>
      <c r="D70" s="81">
        <v>139514</v>
      </c>
      <c r="E70" s="73">
        <v>139514</v>
      </c>
      <c r="F70" s="73">
        <v>139514</v>
      </c>
      <c r="G70" s="252"/>
    </row>
    <row r="71" spans="1:7" ht="38.950000000000003" customHeight="1" x14ac:dyDescent="0.3">
      <c r="A71" s="12"/>
      <c r="B71" s="71" t="s">
        <v>228</v>
      </c>
      <c r="C71" s="72" t="s">
        <v>229</v>
      </c>
      <c r="D71" s="81">
        <v>419386</v>
      </c>
      <c r="E71" s="74">
        <v>419386</v>
      </c>
      <c r="F71" s="74">
        <v>419386</v>
      </c>
      <c r="G71" s="252"/>
    </row>
    <row r="72" spans="1:7" ht="32.25" customHeight="1" x14ac:dyDescent="0.3">
      <c r="A72" s="12"/>
      <c r="B72" s="71" t="s">
        <v>230</v>
      </c>
      <c r="C72" s="72" t="s">
        <v>311</v>
      </c>
      <c r="D72" s="81">
        <v>236849</v>
      </c>
      <c r="E72" s="74">
        <v>236849</v>
      </c>
      <c r="F72" s="74">
        <v>236849</v>
      </c>
      <c r="G72" s="252"/>
    </row>
    <row r="73" spans="1:7" ht="42.05" customHeight="1" x14ac:dyDescent="0.3">
      <c r="A73" s="12"/>
      <c r="B73" s="71" t="s">
        <v>231</v>
      </c>
      <c r="C73" s="72" t="s">
        <v>232</v>
      </c>
      <c r="D73" s="81">
        <v>12978</v>
      </c>
      <c r="E73" s="74">
        <v>12978</v>
      </c>
      <c r="F73" s="74">
        <v>12978</v>
      </c>
      <c r="G73" s="252"/>
    </row>
    <row r="74" spans="1:7" ht="34.549999999999997" hidden="1" customHeight="1" x14ac:dyDescent="0.3">
      <c r="A74" s="12"/>
      <c r="B74" s="71" t="s">
        <v>233</v>
      </c>
      <c r="C74" s="72" t="s">
        <v>425</v>
      </c>
      <c r="D74" s="73"/>
      <c r="E74" s="74"/>
      <c r="F74" s="74"/>
      <c r="G74" s="252"/>
    </row>
    <row r="75" spans="1:7" ht="45" hidden="1" customHeight="1" x14ac:dyDescent="0.3">
      <c r="A75" s="12"/>
      <c r="B75" s="71" t="s">
        <v>234</v>
      </c>
      <c r="C75" s="72" t="s">
        <v>235</v>
      </c>
      <c r="D75" s="73"/>
      <c r="E75" s="82"/>
      <c r="F75" s="82"/>
      <c r="G75" s="252"/>
    </row>
    <row r="76" spans="1:7" ht="73.150000000000006" hidden="1" customHeight="1" x14ac:dyDescent="0.3">
      <c r="A76" s="12"/>
      <c r="B76" s="71" t="s">
        <v>313</v>
      </c>
      <c r="C76" s="72" t="s">
        <v>312</v>
      </c>
      <c r="D76" s="73"/>
      <c r="E76" s="74"/>
      <c r="F76" s="74"/>
      <c r="G76" s="252"/>
    </row>
    <row r="77" spans="1:7" ht="86.25" hidden="1" customHeight="1" x14ac:dyDescent="0.3">
      <c r="A77" s="12"/>
      <c r="B77" s="71" t="s">
        <v>383</v>
      </c>
      <c r="C77" s="72" t="s">
        <v>382</v>
      </c>
      <c r="D77" s="73"/>
      <c r="E77" s="74"/>
      <c r="F77" s="74"/>
      <c r="G77" s="252"/>
    </row>
    <row r="78" spans="1:7" ht="117" customHeight="1" x14ac:dyDescent="0.3">
      <c r="A78" s="12"/>
      <c r="B78" s="58" t="s">
        <v>314</v>
      </c>
      <c r="C78" s="77" t="s">
        <v>315</v>
      </c>
      <c r="D78" s="81">
        <f>15649270+4135917</f>
        <v>19785187</v>
      </c>
      <c r="E78" s="59">
        <v>0</v>
      </c>
      <c r="F78" s="59">
        <v>0</v>
      </c>
      <c r="G78" s="252"/>
    </row>
    <row r="79" spans="1:7" x14ac:dyDescent="0.3">
      <c r="A79" s="23"/>
      <c r="B79" s="84" t="s">
        <v>236</v>
      </c>
      <c r="C79" s="84"/>
      <c r="D79" s="85">
        <f>D80+D108+D109</f>
        <v>68894194.109999999</v>
      </c>
      <c r="E79" s="85">
        <f>E80+E106+E107+E109</f>
        <v>26848843</v>
      </c>
      <c r="F79" s="85">
        <f>F80+F106+F107+F109</f>
        <v>0</v>
      </c>
      <c r="G79" s="27"/>
    </row>
    <row r="80" spans="1:7" ht="67.75" customHeight="1" x14ac:dyDescent="0.3">
      <c r="A80" s="22"/>
      <c r="B80" s="61" t="s">
        <v>237</v>
      </c>
      <c r="C80" s="61"/>
      <c r="D80" s="103">
        <f>D81+D82+D83+D84+D85+D86+D88+D89+D91+D92+D93+D94+D95+D96+D97+D100+D102+D104+D105</f>
        <v>64022870</v>
      </c>
      <c r="E80" s="103">
        <f t="shared" ref="E80:F80" si="3">SUM(E81:E105)</f>
        <v>26848843</v>
      </c>
      <c r="F80" s="103">
        <f t="shared" si="3"/>
        <v>0</v>
      </c>
      <c r="G80" s="27"/>
    </row>
    <row r="81" spans="1:7" ht="26.2" x14ac:dyDescent="0.3">
      <c r="A81" s="22"/>
      <c r="B81" s="89" t="s">
        <v>238</v>
      </c>
      <c r="C81" s="90" t="s">
        <v>239</v>
      </c>
      <c r="D81" s="76">
        <f>250095+4600911+6834</f>
        <v>4857840</v>
      </c>
      <c r="E81" s="91">
        <v>0</v>
      </c>
      <c r="F81" s="91">
        <v>0</v>
      </c>
      <c r="G81" s="245" t="s">
        <v>326</v>
      </c>
    </row>
    <row r="82" spans="1:7" ht="56.95" customHeight="1" x14ac:dyDescent="0.3">
      <c r="A82" s="40"/>
      <c r="B82" s="94" t="s">
        <v>240</v>
      </c>
      <c r="C82" s="95" t="s">
        <v>403</v>
      </c>
      <c r="D82" s="96">
        <v>-100000</v>
      </c>
      <c r="E82" s="97">
        <v>0</v>
      </c>
      <c r="F82" s="97">
        <v>0</v>
      </c>
      <c r="G82" s="245"/>
    </row>
    <row r="83" spans="1:7" ht="39.299999999999997" x14ac:dyDescent="0.3">
      <c r="A83" s="22"/>
      <c r="B83" s="89" t="s">
        <v>241</v>
      </c>
      <c r="C83" s="90" t="s">
        <v>242</v>
      </c>
      <c r="D83" s="64">
        <f>-1000000-874627</f>
        <v>-1874627</v>
      </c>
      <c r="E83" s="91">
        <v>0</v>
      </c>
      <c r="F83" s="91">
        <v>0</v>
      </c>
      <c r="G83" s="245"/>
    </row>
    <row r="84" spans="1:7" ht="26.2" x14ac:dyDescent="0.3">
      <c r="A84" s="22"/>
      <c r="B84" s="89" t="s">
        <v>243</v>
      </c>
      <c r="C84" s="90" t="s">
        <v>244</v>
      </c>
      <c r="D84" s="64">
        <f>423948+8259426+3265521+2670000+8055000-968374-18398960-3930000</f>
        <v>-623439</v>
      </c>
      <c r="E84" s="64">
        <v>0</v>
      </c>
      <c r="F84" s="91">
        <v>0</v>
      </c>
      <c r="G84" s="245"/>
    </row>
    <row r="85" spans="1:7" ht="43.55" customHeight="1" x14ac:dyDescent="0.3">
      <c r="A85" s="22"/>
      <c r="B85" s="89" t="s">
        <v>245</v>
      </c>
      <c r="C85" s="90" t="s">
        <v>246</v>
      </c>
      <c r="D85" s="64">
        <f>30000+270000-211714+96468</f>
        <v>184754</v>
      </c>
      <c r="E85" s="91">
        <v>0</v>
      </c>
      <c r="F85" s="91">
        <v>0</v>
      </c>
      <c r="G85" s="245"/>
    </row>
    <row r="86" spans="1:7" ht="26.2" x14ac:dyDescent="0.3">
      <c r="A86" s="12"/>
      <c r="B86" s="92" t="s">
        <v>247</v>
      </c>
      <c r="C86" s="93" t="s">
        <v>248</v>
      </c>
      <c r="D86" s="73">
        <f>6945888+279000</f>
        <v>7224888</v>
      </c>
      <c r="E86" s="74">
        <v>0</v>
      </c>
      <c r="F86" s="74">
        <v>0</v>
      </c>
      <c r="G86" s="245"/>
    </row>
    <row r="87" spans="1:7" ht="56.95" hidden="1" customHeight="1" x14ac:dyDescent="0.3">
      <c r="A87" s="12"/>
      <c r="B87" s="41" t="s">
        <v>249</v>
      </c>
      <c r="C87" s="42" t="s">
        <v>250</v>
      </c>
      <c r="D87" s="39"/>
      <c r="E87" s="28">
        <v>0</v>
      </c>
      <c r="F87" s="20">
        <v>0</v>
      </c>
      <c r="G87" s="245"/>
    </row>
    <row r="88" spans="1:7" ht="52.4" x14ac:dyDescent="0.3">
      <c r="A88" s="12"/>
      <c r="B88" s="92" t="s">
        <v>251</v>
      </c>
      <c r="C88" s="93" t="s">
        <v>252</v>
      </c>
      <c r="D88" s="73">
        <v>344000</v>
      </c>
      <c r="E88" s="64">
        <v>0</v>
      </c>
      <c r="F88" s="74">
        <v>0</v>
      </c>
      <c r="G88" s="245"/>
    </row>
    <row r="89" spans="1:7" ht="39.299999999999997" x14ac:dyDescent="0.3">
      <c r="A89" s="12"/>
      <c r="B89" s="92" t="s">
        <v>253</v>
      </c>
      <c r="C89" s="93" t="s">
        <v>426</v>
      </c>
      <c r="D89" s="73">
        <f>100000+50000</f>
        <v>150000</v>
      </c>
      <c r="E89" s="64">
        <v>0</v>
      </c>
      <c r="F89" s="74">
        <v>0</v>
      </c>
      <c r="G89" s="245"/>
    </row>
    <row r="90" spans="1:7" ht="42.75" hidden="1" customHeight="1" x14ac:dyDescent="0.3">
      <c r="A90" s="12"/>
      <c r="B90" s="71" t="s">
        <v>254</v>
      </c>
      <c r="C90" s="72" t="s">
        <v>427</v>
      </c>
      <c r="D90" s="73"/>
      <c r="E90" s="74">
        <v>0</v>
      </c>
      <c r="F90" s="74"/>
      <c r="G90" s="245"/>
    </row>
    <row r="91" spans="1:7" ht="26.2" x14ac:dyDescent="0.3">
      <c r="A91" s="12"/>
      <c r="B91" s="71" t="s">
        <v>255</v>
      </c>
      <c r="C91" s="72" t="s">
        <v>256</v>
      </c>
      <c r="D91" s="73">
        <f>7525057+600000+200000-200000+88790+3865000+6560384+1687000+20484500+570000+270000</f>
        <v>41650731</v>
      </c>
      <c r="E91" s="73">
        <v>-7340000</v>
      </c>
      <c r="F91" s="74">
        <v>0</v>
      </c>
      <c r="G91" s="245"/>
    </row>
    <row r="92" spans="1:7" ht="26.2" x14ac:dyDescent="0.3">
      <c r="A92" s="12"/>
      <c r="B92" s="71" t="s">
        <v>257</v>
      </c>
      <c r="C92" s="72" t="s">
        <v>258</v>
      </c>
      <c r="D92" s="73">
        <f>2187500+4375000</f>
        <v>6562500</v>
      </c>
      <c r="E92" s="74">
        <f>6000000+26848843</f>
        <v>32848843</v>
      </c>
      <c r="F92" s="74">
        <v>0</v>
      </c>
      <c r="G92" s="245"/>
    </row>
    <row r="93" spans="1:7" ht="26.2" x14ac:dyDescent="0.3">
      <c r="A93" s="12"/>
      <c r="B93" s="71" t="s">
        <v>259</v>
      </c>
      <c r="C93" s="72" t="s">
        <v>260</v>
      </c>
      <c r="D93" s="73">
        <f>24000+45625</f>
        <v>69625</v>
      </c>
      <c r="E93" s="74">
        <v>0</v>
      </c>
      <c r="F93" s="74">
        <v>0</v>
      </c>
      <c r="G93" s="245"/>
    </row>
    <row r="94" spans="1:7" ht="65.45" x14ac:dyDescent="0.3">
      <c r="A94" s="12"/>
      <c r="B94" s="71" t="s">
        <v>402</v>
      </c>
      <c r="C94" s="72" t="s">
        <v>401</v>
      </c>
      <c r="D94" s="73">
        <v>605945</v>
      </c>
      <c r="E94" s="74">
        <v>0</v>
      </c>
      <c r="F94" s="74">
        <v>0</v>
      </c>
      <c r="G94" s="245"/>
    </row>
    <row r="95" spans="1:7" ht="52.4" x14ac:dyDescent="0.3">
      <c r="A95" s="12"/>
      <c r="B95" s="71" t="s">
        <v>261</v>
      </c>
      <c r="C95" s="72" t="s">
        <v>262</v>
      </c>
      <c r="D95" s="73">
        <v>124000</v>
      </c>
      <c r="E95" s="74">
        <v>0</v>
      </c>
      <c r="F95" s="74">
        <v>0</v>
      </c>
      <c r="G95" s="245"/>
    </row>
    <row r="96" spans="1:7" ht="26.2" x14ac:dyDescent="0.3">
      <c r="A96" s="12"/>
      <c r="B96" s="71" t="s">
        <v>263</v>
      </c>
      <c r="C96" s="72" t="s">
        <v>428</v>
      </c>
      <c r="D96" s="81">
        <v>88000</v>
      </c>
      <c r="E96" s="74">
        <v>0</v>
      </c>
      <c r="F96" s="74">
        <v>0</v>
      </c>
      <c r="G96" s="245"/>
    </row>
    <row r="97" spans="1:7" ht="39.299999999999997" x14ac:dyDescent="0.3">
      <c r="A97" s="12"/>
      <c r="B97" s="71" t="s">
        <v>316</v>
      </c>
      <c r="C97" s="72" t="s">
        <v>264</v>
      </c>
      <c r="D97" s="73">
        <v>76000</v>
      </c>
      <c r="E97" s="74">
        <v>0</v>
      </c>
      <c r="F97" s="74">
        <v>0</v>
      </c>
      <c r="G97" s="245"/>
    </row>
    <row r="98" spans="1:7" ht="26.2" hidden="1" x14ac:dyDescent="0.3">
      <c r="A98" s="12"/>
      <c r="B98" s="71" t="s">
        <v>265</v>
      </c>
      <c r="C98" s="72" t="s">
        <v>429</v>
      </c>
      <c r="D98" s="73"/>
      <c r="E98" s="74">
        <v>0</v>
      </c>
      <c r="F98" s="74"/>
      <c r="G98" s="245"/>
    </row>
    <row r="99" spans="1:7" ht="39.299999999999997" hidden="1" x14ac:dyDescent="0.3">
      <c r="A99" s="12"/>
      <c r="B99" s="71" t="s">
        <v>266</v>
      </c>
      <c r="C99" s="72" t="s">
        <v>267</v>
      </c>
      <c r="D99" s="73"/>
      <c r="E99" s="74"/>
      <c r="F99" s="74"/>
      <c r="G99" s="245"/>
    </row>
    <row r="100" spans="1:7" ht="48.8" customHeight="1" x14ac:dyDescent="0.3">
      <c r="A100" s="12"/>
      <c r="B100" s="71" t="s">
        <v>488</v>
      </c>
      <c r="C100" s="215" t="s">
        <v>489</v>
      </c>
      <c r="D100" s="73">
        <f>393409+2974829</f>
        <v>3368238</v>
      </c>
      <c r="E100" s="74">
        <v>0</v>
      </c>
      <c r="F100" s="74">
        <v>0</v>
      </c>
      <c r="G100" s="245"/>
    </row>
    <row r="101" spans="1:7" ht="70.55" hidden="1" customHeight="1" x14ac:dyDescent="0.3">
      <c r="A101" s="12"/>
      <c r="B101" s="37" t="s">
        <v>268</v>
      </c>
      <c r="C101" s="38" t="s">
        <v>269</v>
      </c>
      <c r="D101" s="39"/>
      <c r="E101" s="74">
        <v>0</v>
      </c>
      <c r="F101" s="20"/>
      <c r="G101" s="245"/>
    </row>
    <row r="102" spans="1:7" ht="39.299999999999997" x14ac:dyDescent="0.3">
      <c r="A102" s="12"/>
      <c r="B102" s="71" t="s">
        <v>270</v>
      </c>
      <c r="C102" s="72" t="s">
        <v>271</v>
      </c>
      <c r="D102" s="73">
        <v>-127485</v>
      </c>
      <c r="E102" s="74">
        <v>0</v>
      </c>
      <c r="F102" s="74">
        <v>0</v>
      </c>
      <c r="G102" s="246"/>
    </row>
    <row r="103" spans="1:7" ht="39.299999999999997" hidden="1" x14ac:dyDescent="0.3">
      <c r="A103" s="12"/>
      <c r="B103" s="71" t="s">
        <v>398</v>
      </c>
      <c r="C103" s="72" t="s">
        <v>395</v>
      </c>
      <c r="D103" s="73"/>
      <c r="E103" s="74">
        <v>0</v>
      </c>
      <c r="F103" s="74">
        <v>0</v>
      </c>
      <c r="G103" s="51"/>
    </row>
    <row r="104" spans="1:7" ht="26.2" x14ac:dyDescent="0.3">
      <c r="A104" s="12"/>
      <c r="B104" s="71" t="s">
        <v>399</v>
      </c>
      <c r="C104" s="72" t="s">
        <v>396</v>
      </c>
      <c r="D104" s="73">
        <v>491900</v>
      </c>
      <c r="E104" s="74">
        <v>0</v>
      </c>
      <c r="F104" s="74">
        <v>0</v>
      </c>
      <c r="G104" s="51"/>
    </row>
    <row r="105" spans="1:7" ht="28" customHeight="1" x14ac:dyDescent="0.3">
      <c r="A105" s="12"/>
      <c r="B105" s="71" t="s">
        <v>400</v>
      </c>
      <c r="C105" s="72" t="s">
        <v>397</v>
      </c>
      <c r="D105" s="73">
        <v>950000</v>
      </c>
      <c r="E105" s="74">
        <v>1340000</v>
      </c>
      <c r="F105" s="74">
        <v>0</v>
      </c>
      <c r="G105" s="51"/>
    </row>
    <row r="106" spans="1:7" ht="13.75" hidden="1" customHeight="1" x14ac:dyDescent="0.3">
      <c r="A106" s="12"/>
      <c r="B106" s="43" t="s">
        <v>319</v>
      </c>
      <c r="C106" s="44" t="s">
        <v>317</v>
      </c>
      <c r="D106" s="45"/>
      <c r="E106" s="46"/>
      <c r="F106" s="46"/>
      <c r="G106" s="240" t="s">
        <v>201</v>
      </c>
    </row>
    <row r="107" spans="1:7" ht="18" hidden="1" customHeight="1" x14ac:dyDescent="0.3">
      <c r="A107" s="12"/>
      <c r="B107" s="43" t="s">
        <v>320</v>
      </c>
      <c r="C107" s="44" t="s">
        <v>318</v>
      </c>
      <c r="D107" s="45"/>
      <c r="E107" s="46"/>
      <c r="F107" s="46"/>
      <c r="G107" s="241"/>
    </row>
    <row r="108" spans="1:7" ht="96.05" customHeight="1" x14ac:dyDescent="0.3">
      <c r="A108" s="12"/>
      <c r="B108" s="218" t="s">
        <v>486</v>
      </c>
      <c r="C108" s="219" t="s">
        <v>487</v>
      </c>
      <c r="D108" s="220">
        <v>156250.10999999999</v>
      </c>
      <c r="E108" s="221">
        <v>0</v>
      </c>
      <c r="F108" s="221">
        <v>0</v>
      </c>
      <c r="G108" s="216"/>
    </row>
    <row r="109" spans="1:7" ht="43.55" customHeight="1" x14ac:dyDescent="0.3">
      <c r="A109" s="12"/>
      <c r="B109" s="98" t="s">
        <v>272</v>
      </c>
      <c r="C109" s="99" t="s">
        <v>273</v>
      </c>
      <c r="D109" s="100">
        <f>D110+D111+D112+D113+D114+D115+D116+D117+D118+D119+D120</f>
        <v>4715074</v>
      </c>
      <c r="E109" s="100">
        <f>E110+E111+E112+E113+E114+E115+E116+E117+E118+E119+E120</f>
        <v>0</v>
      </c>
      <c r="F109" s="100">
        <f>F110+F111+F112+F113+F114+F115+F116+F117+F118+F119+F120</f>
        <v>0</v>
      </c>
      <c r="G109" s="47"/>
    </row>
    <row r="110" spans="1:7" ht="71.2" customHeight="1" x14ac:dyDescent="0.3">
      <c r="A110" s="12"/>
      <c r="B110" s="71" t="s">
        <v>274</v>
      </c>
      <c r="C110" s="72" t="s">
        <v>275</v>
      </c>
      <c r="D110" s="73">
        <v>370000</v>
      </c>
      <c r="E110" s="74">
        <v>0</v>
      </c>
      <c r="F110" s="74">
        <v>0</v>
      </c>
      <c r="G110" s="47">
        <v>0</v>
      </c>
    </row>
    <row r="111" spans="1:7" ht="39.299999999999997" hidden="1" x14ac:dyDescent="0.3">
      <c r="A111" s="12"/>
      <c r="B111" s="71" t="s">
        <v>323</v>
      </c>
      <c r="C111" s="72" t="s">
        <v>321</v>
      </c>
      <c r="D111" s="73"/>
      <c r="E111" s="74"/>
      <c r="F111" s="74"/>
      <c r="G111" s="242" t="s">
        <v>201</v>
      </c>
    </row>
    <row r="112" spans="1:7" ht="51.05" hidden="1" customHeight="1" x14ac:dyDescent="0.3">
      <c r="A112" s="12"/>
      <c r="B112" s="37" t="s">
        <v>276</v>
      </c>
      <c r="C112" s="38" t="s">
        <v>277</v>
      </c>
      <c r="D112" s="39"/>
      <c r="E112" s="74"/>
      <c r="F112" s="74"/>
      <c r="G112" s="243"/>
    </row>
    <row r="113" spans="1:7" ht="52.4" hidden="1" x14ac:dyDescent="0.3">
      <c r="A113" s="12"/>
      <c r="B113" s="71" t="s">
        <v>278</v>
      </c>
      <c r="C113" s="72" t="s">
        <v>430</v>
      </c>
      <c r="D113" s="73"/>
      <c r="E113" s="74"/>
      <c r="F113" s="74"/>
      <c r="G113" s="243"/>
    </row>
    <row r="114" spans="1:7" ht="26.2" hidden="1" x14ac:dyDescent="0.3">
      <c r="A114" s="12"/>
      <c r="B114" s="71" t="s">
        <v>324</v>
      </c>
      <c r="C114" s="72" t="s">
        <v>322</v>
      </c>
      <c r="D114" s="73"/>
      <c r="E114" s="74"/>
      <c r="F114" s="74"/>
      <c r="G114" s="244"/>
    </row>
    <row r="115" spans="1:7" ht="39.299999999999997" x14ac:dyDescent="0.3">
      <c r="A115" s="12"/>
      <c r="B115" s="71" t="s">
        <v>480</v>
      </c>
      <c r="C115" s="72" t="s">
        <v>481</v>
      </c>
      <c r="D115" s="81">
        <v>3779285</v>
      </c>
      <c r="E115" s="74">
        <v>0</v>
      </c>
      <c r="F115" s="74">
        <v>0</v>
      </c>
      <c r="G115" s="50"/>
    </row>
    <row r="116" spans="1:7" ht="26.2" x14ac:dyDescent="0.3">
      <c r="A116" s="12"/>
      <c r="B116" s="71" t="s">
        <v>391</v>
      </c>
      <c r="C116" s="72" t="s">
        <v>390</v>
      </c>
      <c r="D116" s="81">
        <v>-2670000</v>
      </c>
      <c r="E116" s="74">
        <v>0</v>
      </c>
      <c r="F116" s="74">
        <v>0</v>
      </c>
      <c r="G116" s="50"/>
    </row>
    <row r="117" spans="1:7" ht="39.299999999999997" x14ac:dyDescent="0.3">
      <c r="A117" s="12"/>
      <c r="B117" s="71" t="s">
        <v>393</v>
      </c>
      <c r="C117" s="72" t="s">
        <v>392</v>
      </c>
      <c r="D117" s="81">
        <v>2847789</v>
      </c>
      <c r="E117" s="74">
        <v>0</v>
      </c>
      <c r="F117" s="74">
        <v>0</v>
      </c>
      <c r="G117" s="50"/>
    </row>
    <row r="118" spans="1:7" ht="39.299999999999997" x14ac:dyDescent="0.3">
      <c r="A118" s="12"/>
      <c r="B118" s="71" t="s">
        <v>450</v>
      </c>
      <c r="C118" s="215" t="s">
        <v>485</v>
      </c>
      <c r="D118" s="81">
        <v>88000</v>
      </c>
      <c r="E118" s="74">
        <v>0</v>
      </c>
      <c r="F118" s="74">
        <v>0</v>
      </c>
      <c r="G118" s="50"/>
    </row>
    <row r="119" spans="1:7" ht="26.2" x14ac:dyDescent="0.3">
      <c r="A119" s="12"/>
      <c r="B119" s="71" t="s">
        <v>483</v>
      </c>
      <c r="C119" s="72" t="s">
        <v>484</v>
      </c>
      <c r="D119" s="81">
        <v>300000</v>
      </c>
      <c r="E119" s="74">
        <v>0</v>
      </c>
      <c r="F119" s="74">
        <v>0</v>
      </c>
      <c r="G119" s="50"/>
    </row>
    <row r="120" spans="1:7" hidden="1" x14ac:dyDescent="0.3">
      <c r="A120" s="12"/>
      <c r="B120" s="71"/>
      <c r="C120" s="72"/>
      <c r="D120" s="73"/>
      <c r="E120" s="74"/>
      <c r="F120" s="74"/>
      <c r="G120" s="50"/>
    </row>
    <row r="121" spans="1:7" x14ac:dyDescent="0.3">
      <c r="A121" s="48"/>
      <c r="B121" s="101" t="s">
        <v>279</v>
      </c>
      <c r="C121" s="101"/>
      <c r="D121" s="102">
        <f>D6+D25</f>
        <v>303123080.61000001</v>
      </c>
      <c r="E121" s="102">
        <f>E6+E25</f>
        <v>81016877</v>
      </c>
      <c r="F121" s="102">
        <f>F6+F25</f>
        <v>47668034</v>
      </c>
      <c r="G121" s="49"/>
    </row>
    <row r="123" spans="1:7" hidden="1" x14ac:dyDescent="0.3">
      <c r="D123" s="24">
        <f>D27+D32+D57+D108+D109</f>
        <v>173169400.61000001</v>
      </c>
    </row>
    <row r="124" spans="1:7" hidden="1" x14ac:dyDescent="0.3"/>
    <row r="125" spans="1:7" hidden="1" x14ac:dyDescent="0.3"/>
    <row r="126" spans="1:7" hidden="1" x14ac:dyDescent="0.3"/>
    <row r="127" spans="1:7" hidden="1" x14ac:dyDescent="0.3"/>
    <row r="128" spans="1:7" hidden="1" x14ac:dyDescent="0.3"/>
    <row r="129" spans="4:4" hidden="1" x14ac:dyDescent="0.3"/>
    <row r="130" spans="4:4" hidden="1" x14ac:dyDescent="0.3"/>
    <row r="131" spans="4:4" hidden="1" x14ac:dyDescent="0.3">
      <c r="D131" s="217">
        <f>D79+D57+D32</f>
        <v>145430309.61000001</v>
      </c>
    </row>
    <row r="132" spans="4:4" hidden="1" x14ac:dyDescent="0.3"/>
    <row r="133" spans="4:4" hidden="1" x14ac:dyDescent="0.3"/>
    <row r="134" spans="4:4" hidden="1" x14ac:dyDescent="0.3"/>
    <row r="135" spans="4:4" hidden="1" x14ac:dyDescent="0.3"/>
  </sheetData>
  <mergeCells count="15">
    <mergeCell ref="G106:G107"/>
    <mergeCell ref="G111:G114"/>
    <mergeCell ref="G81:G102"/>
    <mergeCell ref="G9:G14"/>
    <mergeCell ref="G16:G17"/>
    <mergeCell ref="G28:G30"/>
    <mergeCell ref="G58:G67"/>
    <mergeCell ref="G69:G78"/>
    <mergeCell ref="G35:G51"/>
    <mergeCell ref="A1:G1"/>
    <mergeCell ref="A2:G2"/>
    <mergeCell ref="A3:G3"/>
    <mergeCell ref="A4:A5"/>
    <mergeCell ref="B4:B5"/>
    <mergeCell ref="G4:G5"/>
  </mergeCells>
  <pageMargins left="0.31496062992125984" right="0.11811023622047245" top="0.35433070866141736" bottom="0.35433070866141736" header="0" footer="0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7"/>
  <sheetViews>
    <sheetView tabSelected="1" topLeftCell="A186" zoomScale="80" zoomScaleNormal="80" workbookViewId="0">
      <selection activeCell="O209" sqref="O209"/>
    </sheetView>
  </sheetViews>
  <sheetFormatPr defaultColWidth="9.109375" defaultRowHeight="13.1" x14ac:dyDescent="0.25"/>
  <cols>
    <col min="1" max="1" width="42.5546875" style="165" customWidth="1"/>
    <col min="2" max="2" width="10.6640625" style="110" customWidth="1"/>
    <col min="3" max="3" width="16.33203125" style="111" customWidth="1"/>
    <col min="4" max="4" width="17.6640625" style="111" customWidth="1"/>
    <col min="5" max="5" width="9.5546875" style="110" customWidth="1"/>
    <col min="6" max="6" width="16.88671875" style="111" customWidth="1"/>
    <col min="7" max="7" width="15.88671875" style="111" customWidth="1"/>
    <col min="8" max="8" width="14.88671875" style="110" customWidth="1"/>
    <col min="9" max="9" width="14.6640625" style="111" customWidth="1"/>
    <col min="10" max="10" width="16.6640625" style="111" customWidth="1"/>
    <col min="11" max="11" width="9.44140625" style="110" customWidth="1"/>
    <col min="12" max="12" width="17.109375" style="111" customWidth="1"/>
    <col min="13" max="14" width="13.6640625" style="111" customWidth="1"/>
    <col min="15" max="15" width="72.6640625" style="104" hidden="1" customWidth="1"/>
    <col min="16" max="16" width="9.109375" style="104"/>
    <col min="17" max="16384" width="9.109375" style="1"/>
  </cols>
  <sheetData>
    <row r="1" spans="1:17" ht="15.05" x14ac:dyDescent="0.25">
      <c r="A1" s="253" t="s">
        <v>439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17" ht="13.75" thickBot="1" x14ac:dyDescent="0.3"/>
    <row r="3" spans="1:17" x14ac:dyDescent="0.25">
      <c r="A3" s="257" t="s">
        <v>112</v>
      </c>
      <c r="B3" s="259" t="s">
        <v>111</v>
      </c>
      <c r="C3" s="254" t="s">
        <v>114</v>
      </c>
      <c r="D3" s="254"/>
      <c r="E3" s="254"/>
      <c r="F3" s="254" t="s">
        <v>113</v>
      </c>
      <c r="G3" s="254"/>
      <c r="H3" s="254"/>
      <c r="I3" s="254" t="s">
        <v>115</v>
      </c>
      <c r="J3" s="254"/>
      <c r="K3" s="254"/>
      <c r="L3" s="261" t="s">
        <v>329</v>
      </c>
      <c r="M3" s="112" t="s">
        <v>118</v>
      </c>
      <c r="N3" s="112" t="s">
        <v>346</v>
      </c>
      <c r="O3" s="255" t="s">
        <v>119</v>
      </c>
    </row>
    <row r="4" spans="1:17" ht="38" thickBot="1" x14ac:dyDescent="0.3">
      <c r="A4" s="258"/>
      <c r="B4" s="260"/>
      <c r="C4" s="113" t="s">
        <v>120</v>
      </c>
      <c r="D4" s="113" t="s">
        <v>121</v>
      </c>
      <c r="E4" s="114" t="s">
        <v>116</v>
      </c>
      <c r="F4" s="113" t="s">
        <v>120</v>
      </c>
      <c r="G4" s="267" t="s">
        <v>122</v>
      </c>
      <c r="H4" s="114" t="s">
        <v>116</v>
      </c>
      <c r="I4" s="113" t="s">
        <v>120</v>
      </c>
      <c r="J4" s="113" t="s">
        <v>121</v>
      </c>
      <c r="K4" s="114" t="s">
        <v>116</v>
      </c>
      <c r="L4" s="262"/>
      <c r="M4" s="113" t="s">
        <v>117</v>
      </c>
      <c r="N4" s="113" t="s">
        <v>117</v>
      </c>
      <c r="O4" s="256"/>
    </row>
    <row r="5" spans="1:17" ht="38" thickBot="1" x14ac:dyDescent="0.3">
      <c r="A5" s="166" t="s">
        <v>1</v>
      </c>
      <c r="B5" s="115" t="s">
        <v>0</v>
      </c>
      <c r="C5" s="116">
        <f>C6+C13+C16+C21+C29</f>
        <v>44720304</v>
      </c>
      <c r="D5" s="116">
        <f>D6+D13+D16+D21+D29</f>
        <v>43037400.109999999</v>
      </c>
      <c r="E5" s="117">
        <v>1</v>
      </c>
      <c r="F5" s="116">
        <f>F6+F13+F16+F21+F29</f>
        <v>39562409</v>
      </c>
      <c r="G5" s="116">
        <f>G6+G13+G16+G21+G29</f>
        <v>5450292</v>
      </c>
      <c r="H5" s="117">
        <f>G5/F5</f>
        <v>0.13776441166664041</v>
      </c>
      <c r="I5" s="116">
        <f>I6+I13+I16+I21+I29</f>
        <v>100000</v>
      </c>
      <c r="J5" s="116">
        <f>J6+J13+J16+J21+J29</f>
        <v>729900</v>
      </c>
      <c r="K5" s="118">
        <f>J5/I5</f>
        <v>7.2990000000000004</v>
      </c>
      <c r="L5" s="116">
        <f>D5+G5+J5</f>
        <v>49217592.109999999</v>
      </c>
      <c r="M5" s="116">
        <f>M6+M13+M16+M21+M29</f>
        <v>0</v>
      </c>
      <c r="N5" s="119">
        <f>N6+N13+N16+N21+N29</f>
        <v>0</v>
      </c>
      <c r="O5" s="105"/>
    </row>
    <row r="6" spans="1:17" x14ac:dyDescent="0.25">
      <c r="A6" s="167" t="s">
        <v>3</v>
      </c>
      <c r="B6" s="120" t="s">
        <v>2</v>
      </c>
      <c r="C6" s="121">
        <f>SUM(C7:C11)</f>
        <v>0</v>
      </c>
      <c r="D6" s="121">
        <f>SUM(D7:D12)</f>
        <v>2638306</v>
      </c>
      <c r="E6" s="122">
        <v>1</v>
      </c>
      <c r="F6" s="121">
        <f>SUM(F7:F12)</f>
        <v>9043051</v>
      </c>
      <c r="G6" s="121">
        <f>SUM(G7:G12)</f>
        <v>1100000</v>
      </c>
      <c r="H6" s="122">
        <f>G6/F6</f>
        <v>0.12164036230692496</v>
      </c>
      <c r="I6" s="121">
        <f>SUM(I7:I11)</f>
        <v>100000</v>
      </c>
      <c r="J6" s="121">
        <f>SUM(J7:J11)</f>
        <v>129900</v>
      </c>
      <c r="K6" s="122">
        <f>J6/I6</f>
        <v>1.2989999999999999</v>
      </c>
      <c r="L6" s="121">
        <f>D6+G6+J6</f>
        <v>3868206</v>
      </c>
      <c r="M6" s="121">
        <f>SUM(M7:M11)</f>
        <v>0</v>
      </c>
      <c r="N6" s="121">
        <f>SUM(N7:N11)</f>
        <v>0</v>
      </c>
      <c r="O6" s="106"/>
    </row>
    <row r="7" spans="1:17" ht="39.299999999999997" x14ac:dyDescent="0.25">
      <c r="A7" s="168" t="s">
        <v>449</v>
      </c>
      <c r="B7" s="123"/>
      <c r="C7" s="186">
        <v>0</v>
      </c>
      <c r="D7" s="186">
        <v>2189604</v>
      </c>
      <c r="E7" s="125">
        <v>1</v>
      </c>
      <c r="F7" s="124">
        <v>0</v>
      </c>
      <c r="G7" s="124">
        <v>0</v>
      </c>
      <c r="H7" s="125">
        <v>0</v>
      </c>
      <c r="I7" s="124">
        <v>0</v>
      </c>
      <c r="J7" s="124">
        <v>0</v>
      </c>
      <c r="K7" s="125">
        <v>0</v>
      </c>
      <c r="L7" s="124"/>
      <c r="M7" s="124">
        <v>0</v>
      </c>
      <c r="N7" s="124">
        <v>0</v>
      </c>
      <c r="O7" s="106"/>
    </row>
    <row r="8" spans="1:17" ht="26.2" x14ac:dyDescent="0.25">
      <c r="A8" s="168" t="s">
        <v>203</v>
      </c>
      <c r="B8" s="123"/>
      <c r="C8" s="186">
        <v>0</v>
      </c>
      <c r="D8" s="186">
        <v>68702</v>
      </c>
      <c r="E8" s="125">
        <v>1</v>
      </c>
      <c r="F8" s="124">
        <v>0</v>
      </c>
      <c r="G8" s="124">
        <v>0</v>
      </c>
      <c r="H8" s="125">
        <v>0</v>
      </c>
      <c r="I8" s="124">
        <v>0</v>
      </c>
      <c r="J8" s="124">
        <v>0</v>
      </c>
      <c r="K8" s="125">
        <v>0</v>
      </c>
      <c r="L8" s="124"/>
      <c r="M8" s="124">
        <v>0</v>
      </c>
      <c r="N8" s="124">
        <v>0</v>
      </c>
      <c r="O8" s="106"/>
    </row>
    <row r="9" spans="1:17" ht="26.2" x14ac:dyDescent="0.25">
      <c r="A9" s="168" t="s">
        <v>376</v>
      </c>
      <c r="B9" s="123"/>
      <c r="C9" s="186"/>
      <c r="D9" s="183">
        <v>380000</v>
      </c>
      <c r="E9" s="125">
        <v>1</v>
      </c>
      <c r="F9" s="130">
        <v>0</v>
      </c>
      <c r="G9" s="124">
        <v>0</v>
      </c>
      <c r="H9" s="125">
        <v>0</v>
      </c>
      <c r="I9" s="124">
        <v>0</v>
      </c>
      <c r="J9" s="124">
        <v>0</v>
      </c>
      <c r="K9" s="125">
        <v>1</v>
      </c>
      <c r="L9" s="126"/>
      <c r="M9" s="124">
        <v>0</v>
      </c>
      <c r="N9" s="124">
        <v>0</v>
      </c>
      <c r="O9" s="106" t="s">
        <v>490</v>
      </c>
    </row>
    <row r="10" spans="1:17" x14ac:dyDescent="0.25">
      <c r="A10" s="168" t="s">
        <v>456</v>
      </c>
      <c r="B10" s="123"/>
      <c r="C10" s="124">
        <v>0</v>
      </c>
      <c r="D10" s="124">
        <v>0</v>
      </c>
      <c r="E10" s="125">
        <v>0</v>
      </c>
      <c r="F10" s="130">
        <v>0</v>
      </c>
      <c r="G10" s="124">
        <v>0</v>
      </c>
      <c r="H10" s="125">
        <v>0</v>
      </c>
      <c r="I10" s="186">
        <v>0</v>
      </c>
      <c r="J10" s="183">
        <v>88000</v>
      </c>
      <c r="K10" s="125">
        <v>1</v>
      </c>
      <c r="L10" s="126"/>
      <c r="M10" s="124">
        <v>0</v>
      </c>
      <c r="N10" s="124">
        <v>0</v>
      </c>
      <c r="O10" s="106"/>
    </row>
    <row r="11" spans="1:17" x14ac:dyDescent="0.25">
      <c r="A11" s="168" t="s">
        <v>357</v>
      </c>
      <c r="B11" s="123"/>
      <c r="C11" s="124">
        <v>0</v>
      </c>
      <c r="D11" s="124">
        <v>0</v>
      </c>
      <c r="E11" s="125">
        <v>0</v>
      </c>
      <c r="F11" s="130">
        <v>0</v>
      </c>
      <c r="G11" s="124">
        <v>0</v>
      </c>
      <c r="H11" s="125">
        <v>0</v>
      </c>
      <c r="I11" s="186">
        <v>100000</v>
      </c>
      <c r="J11" s="183">
        <v>41900</v>
      </c>
      <c r="K11" s="125">
        <f>J11/I11</f>
        <v>0.41899999999999998</v>
      </c>
      <c r="L11" s="126"/>
      <c r="M11" s="124">
        <v>0</v>
      </c>
      <c r="N11" s="124">
        <v>0</v>
      </c>
      <c r="O11" s="106"/>
    </row>
    <row r="12" spans="1:17" x14ac:dyDescent="0.25">
      <c r="A12" s="168" t="s">
        <v>412</v>
      </c>
      <c r="B12" s="123"/>
      <c r="C12" s="124">
        <v>0</v>
      </c>
      <c r="D12" s="124">
        <v>0</v>
      </c>
      <c r="E12" s="125">
        <v>0</v>
      </c>
      <c r="F12" s="130">
        <v>9043051</v>
      </c>
      <c r="G12" s="124">
        <f>200000+500000+400000</f>
        <v>1100000</v>
      </c>
      <c r="H12" s="125">
        <f>G12/F12</f>
        <v>0.12164036230692496</v>
      </c>
      <c r="I12" s="124">
        <v>0</v>
      </c>
      <c r="J12" s="130">
        <v>0</v>
      </c>
      <c r="K12" s="125">
        <v>0</v>
      </c>
      <c r="L12" s="126"/>
      <c r="M12" s="124">
        <v>0</v>
      </c>
      <c r="N12" s="124">
        <v>0</v>
      </c>
      <c r="O12" s="230" t="s">
        <v>503</v>
      </c>
    </row>
    <row r="13" spans="1:17" ht="52.4" x14ac:dyDescent="0.25">
      <c r="A13" s="169" t="s">
        <v>5</v>
      </c>
      <c r="B13" s="127" t="s">
        <v>4</v>
      </c>
      <c r="C13" s="128">
        <f>SUM(C15:C20)</f>
        <v>0</v>
      </c>
      <c r="D13" s="128">
        <f>SUM(D15:D20)</f>
        <v>0</v>
      </c>
      <c r="E13" s="129">
        <v>0</v>
      </c>
      <c r="F13" s="128">
        <f>SUM(F15:F20)</f>
        <v>0</v>
      </c>
      <c r="G13" s="128">
        <f>SUM(G15:G20)</f>
        <v>377000</v>
      </c>
      <c r="H13" s="129">
        <v>1</v>
      </c>
      <c r="I13" s="128">
        <f>SUM(I14:I19)</f>
        <v>0</v>
      </c>
      <c r="J13" s="128">
        <f>SUM(J14:J19)</f>
        <v>450000</v>
      </c>
      <c r="K13" s="129">
        <v>1</v>
      </c>
      <c r="L13" s="121">
        <f>D13+G13+J13</f>
        <v>827000</v>
      </c>
      <c r="M13" s="128">
        <f>SUM(M15:M20)</f>
        <v>0</v>
      </c>
      <c r="N13" s="128">
        <f>SUM(N15:N20)</f>
        <v>0</v>
      </c>
      <c r="O13" s="106"/>
    </row>
    <row r="14" spans="1:17" ht="26.2" hidden="1" x14ac:dyDescent="0.25">
      <c r="A14" s="168" t="s">
        <v>155</v>
      </c>
      <c r="B14" s="123"/>
      <c r="C14" s="124">
        <v>0</v>
      </c>
      <c r="D14" s="124">
        <v>0</v>
      </c>
      <c r="E14" s="125">
        <v>0</v>
      </c>
      <c r="F14" s="124">
        <v>0</v>
      </c>
      <c r="G14" s="124">
        <v>0</v>
      </c>
      <c r="H14" s="125">
        <v>0</v>
      </c>
      <c r="I14" s="124">
        <v>0</v>
      </c>
      <c r="J14" s="130">
        <v>0</v>
      </c>
      <c r="K14" s="125">
        <v>1</v>
      </c>
      <c r="L14" s="124"/>
      <c r="M14" s="124">
        <v>0</v>
      </c>
      <c r="N14" s="124">
        <v>0</v>
      </c>
      <c r="O14" s="106"/>
    </row>
    <row r="15" spans="1:17" x14ac:dyDescent="0.25">
      <c r="A15" s="168" t="s">
        <v>501</v>
      </c>
      <c r="B15" s="123"/>
      <c r="C15" s="124">
        <v>0</v>
      </c>
      <c r="D15" s="124">
        <v>0</v>
      </c>
      <c r="E15" s="125">
        <v>0</v>
      </c>
      <c r="F15" s="124">
        <v>0</v>
      </c>
      <c r="G15" s="124">
        <v>337000</v>
      </c>
      <c r="H15" s="125">
        <v>1</v>
      </c>
      <c r="I15" s="124">
        <v>0</v>
      </c>
      <c r="J15" s="130">
        <f>300000+150000</f>
        <v>450000</v>
      </c>
      <c r="K15" s="125">
        <v>1</v>
      </c>
      <c r="L15" s="124"/>
      <c r="M15" s="124">
        <v>0</v>
      </c>
      <c r="N15" s="124">
        <v>0</v>
      </c>
      <c r="O15" s="106"/>
    </row>
    <row r="16" spans="1:17" ht="39.299999999999997" hidden="1" x14ac:dyDescent="0.25">
      <c r="A16" s="169" t="s">
        <v>7</v>
      </c>
      <c r="B16" s="127" t="s">
        <v>6</v>
      </c>
      <c r="C16" s="128">
        <f>SUM(C17:C18)</f>
        <v>0</v>
      </c>
      <c r="D16" s="128">
        <f>SUM(D17:D18)</f>
        <v>0</v>
      </c>
      <c r="E16" s="129">
        <v>0</v>
      </c>
      <c r="F16" s="128">
        <f>SUM(F17:F18)</f>
        <v>0</v>
      </c>
      <c r="G16" s="128">
        <f>SUM(G17:G18)</f>
        <v>0</v>
      </c>
      <c r="H16" s="129"/>
      <c r="I16" s="128">
        <f>SUM(I17:I18)</f>
        <v>0</v>
      </c>
      <c r="J16" s="128">
        <f>SUM(J17:J18)</f>
        <v>0</v>
      </c>
      <c r="K16" s="129">
        <v>0</v>
      </c>
      <c r="L16" s="121">
        <f>D16+G16+J16</f>
        <v>0</v>
      </c>
      <c r="M16" s="128">
        <f>SUM(M17:M18)</f>
        <v>0</v>
      </c>
      <c r="N16" s="128">
        <f>SUM(N17:N18)</f>
        <v>0</v>
      </c>
      <c r="O16" s="106"/>
    </row>
    <row r="17" spans="1:15" hidden="1" x14ac:dyDescent="0.25">
      <c r="A17" s="168"/>
      <c r="B17" s="123"/>
      <c r="C17" s="124"/>
      <c r="D17" s="124"/>
      <c r="E17" s="125">
        <v>0</v>
      </c>
      <c r="F17" s="124"/>
      <c r="G17" s="124"/>
      <c r="H17" s="125"/>
      <c r="I17" s="124"/>
      <c r="J17" s="124"/>
      <c r="K17" s="125">
        <v>0</v>
      </c>
      <c r="L17" s="124"/>
      <c r="M17" s="124"/>
      <c r="N17" s="124"/>
      <c r="O17" s="106"/>
    </row>
    <row r="18" spans="1:15" hidden="1" x14ac:dyDescent="0.25">
      <c r="A18" s="168"/>
      <c r="B18" s="123"/>
      <c r="C18" s="124"/>
      <c r="D18" s="124"/>
      <c r="E18" s="125">
        <v>0</v>
      </c>
      <c r="F18" s="124"/>
      <c r="G18" s="124"/>
      <c r="H18" s="125"/>
      <c r="I18" s="124"/>
      <c r="J18" s="124"/>
      <c r="K18" s="125">
        <v>0</v>
      </c>
      <c r="L18" s="124"/>
      <c r="M18" s="124"/>
      <c r="N18" s="124"/>
      <c r="O18" s="106"/>
    </row>
    <row r="19" spans="1:15" hidden="1" x14ac:dyDescent="0.25">
      <c r="A19" s="168" t="s">
        <v>345</v>
      </c>
      <c r="B19" s="123"/>
      <c r="C19" s="124"/>
      <c r="D19" s="124"/>
      <c r="E19" s="125"/>
      <c r="F19" s="124">
        <v>0</v>
      </c>
      <c r="G19" s="124"/>
      <c r="H19" s="125">
        <v>1</v>
      </c>
      <c r="I19" s="124"/>
      <c r="J19" s="124"/>
      <c r="K19" s="125"/>
      <c r="L19" s="126"/>
      <c r="M19" s="124"/>
      <c r="N19" s="124"/>
      <c r="O19" s="106"/>
    </row>
    <row r="20" spans="1:15" x14ac:dyDescent="0.25">
      <c r="A20" s="168" t="s">
        <v>500</v>
      </c>
      <c r="B20" s="123"/>
      <c r="C20" s="124">
        <v>0</v>
      </c>
      <c r="D20" s="124">
        <v>0</v>
      </c>
      <c r="E20" s="125">
        <v>0</v>
      </c>
      <c r="F20" s="124">
        <v>0</v>
      </c>
      <c r="G20" s="124">
        <v>40000</v>
      </c>
      <c r="H20" s="125">
        <v>1</v>
      </c>
      <c r="I20" s="124">
        <v>0</v>
      </c>
      <c r="J20" s="130">
        <f>300000+150000</f>
        <v>450000</v>
      </c>
      <c r="K20" s="125">
        <v>1</v>
      </c>
      <c r="L20" s="124"/>
      <c r="M20" s="124">
        <v>0</v>
      </c>
      <c r="N20" s="124">
        <v>0</v>
      </c>
      <c r="O20" s="106" t="s">
        <v>502</v>
      </c>
    </row>
    <row r="21" spans="1:15" ht="39.299999999999997" x14ac:dyDescent="0.25">
      <c r="A21" s="169" t="s">
        <v>9</v>
      </c>
      <c r="B21" s="127" t="s">
        <v>8</v>
      </c>
      <c r="C21" s="128">
        <f>SUM(C22:C28)</f>
        <v>44720304</v>
      </c>
      <c r="D21" s="128">
        <f>SUM(D22:D28)</f>
        <v>40399094.109999999</v>
      </c>
      <c r="E21" s="129">
        <f>D21/C21</f>
        <v>0.90337252872878504</v>
      </c>
      <c r="F21" s="128">
        <f>SUM(F22:F28)</f>
        <v>30519358</v>
      </c>
      <c r="G21" s="128">
        <f>SUM(G22:G28)</f>
        <v>3973292</v>
      </c>
      <c r="H21" s="129">
        <f>G21/F21</f>
        <v>0.13018923923629061</v>
      </c>
      <c r="I21" s="128">
        <f>SUM(I22:I28)</f>
        <v>0</v>
      </c>
      <c r="J21" s="128">
        <f>SUM(J22:J28)</f>
        <v>150000</v>
      </c>
      <c r="K21" s="129">
        <v>1</v>
      </c>
      <c r="L21" s="121">
        <f>D21+G21+J21</f>
        <v>44522386.109999999</v>
      </c>
      <c r="M21" s="128">
        <f>SUM(M22:M28)</f>
        <v>0</v>
      </c>
      <c r="N21" s="128">
        <f>SUM(N22:N28)</f>
        <v>0</v>
      </c>
      <c r="O21" s="106"/>
    </row>
    <row r="22" spans="1:15" ht="26.2" x14ac:dyDescent="0.25">
      <c r="A22" s="168" t="s">
        <v>417</v>
      </c>
      <c r="B22" s="123"/>
      <c r="C22" s="186">
        <f>10216972+34503332</f>
        <v>44720304</v>
      </c>
      <c r="D22" s="183">
        <f>46235+3277045</f>
        <v>3323280</v>
      </c>
      <c r="E22" s="125">
        <f>D22/C22</f>
        <v>7.4312553868149014E-2</v>
      </c>
      <c r="F22" s="124">
        <v>0</v>
      </c>
      <c r="G22" s="124">
        <v>0</v>
      </c>
      <c r="H22" s="125">
        <v>0</v>
      </c>
      <c r="I22" s="124">
        <v>0</v>
      </c>
      <c r="J22" s="124">
        <v>0</v>
      </c>
      <c r="K22" s="125">
        <v>0</v>
      </c>
      <c r="L22" s="124"/>
      <c r="M22" s="124">
        <v>0</v>
      </c>
      <c r="N22" s="124">
        <v>0</v>
      </c>
      <c r="O22" s="106"/>
    </row>
    <row r="23" spans="1:15" ht="39.299999999999997" x14ac:dyDescent="0.25">
      <c r="A23" s="168" t="s">
        <v>440</v>
      </c>
      <c r="B23" s="123"/>
      <c r="C23" s="186">
        <v>0</v>
      </c>
      <c r="D23" s="183">
        <f>2083.44+4166.67+100000+50000</f>
        <v>156250.10999999999</v>
      </c>
      <c r="E23" s="125">
        <v>1</v>
      </c>
      <c r="F23" s="124">
        <v>0</v>
      </c>
      <c r="G23" s="124">
        <v>0</v>
      </c>
      <c r="H23" s="125">
        <v>0</v>
      </c>
      <c r="I23" s="124">
        <v>0</v>
      </c>
      <c r="J23" s="124">
        <v>0</v>
      </c>
      <c r="K23" s="125">
        <v>0</v>
      </c>
      <c r="L23" s="124"/>
      <c r="M23" s="124">
        <v>0</v>
      </c>
      <c r="N23" s="124">
        <v>0</v>
      </c>
      <c r="O23" s="106"/>
    </row>
    <row r="24" spans="1:15" ht="39.299999999999997" x14ac:dyDescent="0.25">
      <c r="A24" s="168" t="s">
        <v>206</v>
      </c>
      <c r="B24" s="123"/>
      <c r="C24" s="186">
        <v>0</v>
      </c>
      <c r="D24" s="186">
        <v>1958032</v>
      </c>
      <c r="E24" s="125">
        <v>1</v>
      </c>
      <c r="F24" s="124">
        <v>0</v>
      </c>
      <c r="G24" s="124">
        <v>0</v>
      </c>
      <c r="H24" s="125">
        <v>0</v>
      </c>
      <c r="I24" s="124">
        <v>0</v>
      </c>
      <c r="J24" s="124">
        <v>0</v>
      </c>
      <c r="K24" s="125">
        <v>1</v>
      </c>
      <c r="L24" s="124"/>
      <c r="M24" s="124">
        <v>0</v>
      </c>
      <c r="N24" s="124">
        <v>0</v>
      </c>
      <c r="O24" s="106" t="s">
        <v>510</v>
      </c>
    </row>
    <row r="25" spans="1:15" ht="39.299999999999997" x14ac:dyDescent="0.25">
      <c r="A25" s="168" t="s">
        <v>376</v>
      </c>
      <c r="B25" s="123"/>
      <c r="C25" s="186">
        <v>0</v>
      </c>
      <c r="D25" s="183">
        <v>34961532</v>
      </c>
      <c r="E25" s="125">
        <v>1</v>
      </c>
      <c r="F25" s="124">
        <v>0</v>
      </c>
      <c r="G25" s="124">
        <v>0</v>
      </c>
      <c r="H25" s="125"/>
      <c r="I25" s="124">
        <v>0</v>
      </c>
      <c r="J25" s="124">
        <v>0</v>
      </c>
      <c r="K25" s="125">
        <v>0</v>
      </c>
      <c r="L25" s="124"/>
      <c r="M25" s="124">
        <v>0</v>
      </c>
      <c r="N25" s="124">
        <v>0</v>
      </c>
      <c r="O25" s="106" t="s">
        <v>511</v>
      </c>
    </row>
    <row r="26" spans="1:15" x14ac:dyDescent="0.25">
      <c r="A26" s="168" t="s">
        <v>508</v>
      </c>
      <c r="B26" s="123"/>
      <c r="C26" s="124">
        <v>0</v>
      </c>
      <c r="D26" s="124">
        <v>0</v>
      </c>
      <c r="E26" s="125">
        <v>0</v>
      </c>
      <c r="F26" s="124">
        <v>0</v>
      </c>
      <c r="G26" s="124">
        <v>0</v>
      </c>
      <c r="H26" s="125">
        <v>0</v>
      </c>
      <c r="I26" s="124">
        <v>0</v>
      </c>
      <c r="J26" s="186">
        <v>150000</v>
      </c>
      <c r="K26" s="125">
        <v>1</v>
      </c>
      <c r="L26" s="124"/>
      <c r="M26" s="124">
        <v>0</v>
      </c>
      <c r="N26" s="124">
        <v>0</v>
      </c>
      <c r="O26" s="106"/>
    </row>
    <row r="27" spans="1:15" hidden="1" x14ac:dyDescent="0.25">
      <c r="A27" s="168" t="s">
        <v>405</v>
      </c>
      <c r="B27" s="123"/>
      <c r="C27" s="124">
        <v>0</v>
      </c>
      <c r="D27" s="124">
        <v>0</v>
      </c>
      <c r="E27" s="125">
        <v>0</v>
      </c>
      <c r="F27" s="124"/>
      <c r="G27" s="124"/>
      <c r="H27" s="125"/>
      <c r="I27" s="124">
        <v>0</v>
      </c>
      <c r="J27" s="124"/>
      <c r="K27" s="125">
        <v>0</v>
      </c>
      <c r="L27" s="124"/>
      <c r="M27" s="124">
        <v>0</v>
      </c>
      <c r="N27" s="124">
        <v>0</v>
      </c>
      <c r="O27" s="106"/>
    </row>
    <row r="28" spans="1:15" x14ac:dyDescent="0.25">
      <c r="A28" s="168" t="s">
        <v>411</v>
      </c>
      <c r="B28" s="123"/>
      <c r="C28" s="124">
        <v>0</v>
      </c>
      <c r="D28" s="124">
        <v>0</v>
      </c>
      <c r="E28" s="125">
        <v>0</v>
      </c>
      <c r="F28" s="124">
        <v>30519358</v>
      </c>
      <c r="G28" s="124">
        <f>60000-60000+2135588+227704-227704+150000+1800000-112296</f>
        <v>3973292</v>
      </c>
      <c r="H28" s="125">
        <f>G28/F28</f>
        <v>0.13018923923629061</v>
      </c>
      <c r="I28" s="124">
        <v>0</v>
      </c>
      <c r="J28" s="124">
        <v>0</v>
      </c>
      <c r="K28" s="125">
        <v>0</v>
      </c>
      <c r="L28" s="126"/>
      <c r="M28" s="124">
        <v>0</v>
      </c>
      <c r="N28" s="124">
        <v>0</v>
      </c>
      <c r="O28" s="106" t="s">
        <v>512</v>
      </c>
    </row>
    <row r="29" spans="1:15" ht="39.299999999999997" x14ac:dyDescent="0.25">
      <c r="A29" s="169" t="s">
        <v>11</v>
      </c>
      <c r="B29" s="127" t="s">
        <v>10</v>
      </c>
      <c r="C29" s="128">
        <f>SUM(C30:C30)</f>
        <v>0</v>
      </c>
      <c r="D29" s="128">
        <f>SUM(D30:D30)</f>
        <v>0</v>
      </c>
      <c r="E29" s="129">
        <v>1</v>
      </c>
      <c r="F29" s="128">
        <f>SUM(F30:F30)</f>
        <v>0</v>
      </c>
      <c r="G29" s="128">
        <f>SUM(G30:G30)</f>
        <v>0</v>
      </c>
      <c r="H29" s="129">
        <v>0</v>
      </c>
      <c r="I29" s="128">
        <f>SUM(I30:I30)</f>
        <v>0</v>
      </c>
      <c r="J29" s="128">
        <f>SUM(J30:J30)</f>
        <v>0</v>
      </c>
      <c r="K29" s="129">
        <v>0</v>
      </c>
      <c r="L29" s="121">
        <f>D29+G29+J29</f>
        <v>0</v>
      </c>
      <c r="M29" s="128">
        <f>SUM(M30:M30)</f>
        <v>0</v>
      </c>
      <c r="N29" s="128">
        <f>SUM(N30:N30)</f>
        <v>0</v>
      </c>
      <c r="O29" s="106"/>
    </row>
    <row r="30" spans="1:15" ht="21.8" customHeight="1" thickBot="1" x14ac:dyDescent="0.3">
      <c r="A30" s="193" t="s">
        <v>156</v>
      </c>
      <c r="B30" s="194"/>
      <c r="C30" s="183">
        <v>0</v>
      </c>
      <c r="D30" s="183">
        <v>0</v>
      </c>
      <c r="E30" s="195">
        <v>0</v>
      </c>
      <c r="F30" s="183">
        <v>0</v>
      </c>
      <c r="G30" s="183">
        <v>0</v>
      </c>
      <c r="H30" s="195">
        <v>0</v>
      </c>
      <c r="I30" s="183">
        <v>0</v>
      </c>
      <c r="J30" s="183">
        <v>0</v>
      </c>
      <c r="K30" s="195">
        <v>0</v>
      </c>
      <c r="L30" s="183"/>
      <c r="M30" s="183">
        <v>0</v>
      </c>
      <c r="N30" s="183">
        <v>0</v>
      </c>
      <c r="O30" s="106"/>
    </row>
    <row r="31" spans="1:15" ht="38" thickBot="1" x14ac:dyDescent="0.3">
      <c r="A31" s="170" t="s">
        <v>13</v>
      </c>
      <c r="B31" s="115" t="s">
        <v>12</v>
      </c>
      <c r="C31" s="116">
        <f>-C32+C57+C59+C63+C67</f>
        <v>-768638332</v>
      </c>
      <c r="D31" s="116">
        <f>D32+D57+D59+D63+D67</f>
        <v>73835610</v>
      </c>
      <c r="E31" s="117">
        <f>D31/C31</f>
        <v>-9.6060275588753755E-2</v>
      </c>
      <c r="F31" s="116">
        <f>F32+F57+F59+F63+F67</f>
        <v>395869530</v>
      </c>
      <c r="G31" s="116">
        <f>G32+G57+G59+G63+G67</f>
        <v>44164413</v>
      </c>
      <c r="H31" s="117">
        <f>G31/F31</f>
        <v>0.1115630520995137</v>
      </c>
      <c r="I31" s="116">
        <f>-I32+I57+I59+I63+I67</f>
        <v>0</v>
      </c>
      <c r="J31" s="116">
        <f>-J32+J57+J59+J63+J67</f>
        <v>0</v>
      </c>
      <c r="K31" s="118">
        <v>0</v>
      </c>
      <c r="L31" s="116">
        <f>D31+G31+J31</f>
        <v>118000023</v>
      </c>
      <c r="M31" s="116">
        <f>-M32+M57+M59+M63+M67</f>
        <v>0</v>
      </c>
      <c r="N31" s="119">
        <f>-N32+N57+N59+N63+N67</f>
        <v>0</v>
      </c>
      <c r="O31" s="107"/>
    </row>
    <row r="32" spans="1:15" ht="39.299999999999997" x14ac:dyDescent="0.25">
      <c r="A32" s="167" t="s">
        <v>15</v>
      </c>
      <c r="B32" s="120" t="s">
        <v>14</v>
      </c>
      <c r="C32" s="121">
        <f>SUM(C33:C56)</f>
        <v>769430650</v>
      </c>
      <c r="D32" s="121">
        <f>SUM(D33:D56)</f>
        <v>72334602</v>
      </c>
      <c r="E32" s="122">
        <f>D32/C32</f>
        <v>9.4010554427484794E-2</v>
      </c>
      <c r="F32" s="121">
        <f>SUM(F33:F56)</f>
        <v>365357170</v>
      </c>
      <c r="G32" s="121">
        <f>SUM(G33:G56)</f>
        <v>33753303</v>
      </c>
      <c r="H32" s="122">
        <f>G32/F32</f>
        <v>9.2384400174765971E-2</v>
      </c>
      <c r="I32" s="121">
        <f>SUM(I33:I56)</f>
        <v>0</v>
      </c>
      <c r="J32" s="121">
        <f>SUM(J33:J56)</f>
        <v>0</v>
      </c>
      <c r="K32" s="122">
        <v>0</v>
      </c>
      <c r="L32" s="121">
        <f>D32+G32+J32</f>
        <v>106087905</v>
      </c>
      <c r="M32" s="121">
        <f>SUM(M33:M56)</f>
        <v>0</v>
      </c>
      <c r="N32" s="121">
        <f>SUM(N33:N56)</f>
        <v>0</v>
      </c>
      <c r="O32" s="106"/>
    </row>
    <row r="33" spans="1:15" ht="28.5" customHeight="1" x14ac:dyDescent="0.25">
      <c r="A33" s="168" t="s">
        <v>406</v>
      </c>
      <c r="B33" s="123"/>
      <c r="C33" s="124">
        <v>0</v>
      </c>
      <c r="D33" s="124">
        <v>0</v>
      </c>
      <c r="E33" s="125">
        <v>0</v>
      </c>
      <c r="F33" s="130">
        <v>70489048</v>
      </c>
      <c r="G33" s="124">
        <f>12000+379858+2800000+500000</f>
        <v>3691858</v>
      </c>
      <c r="H33" s="125">
        <f>G33/F33</f>
        <v>5.2374916455106613E-2</v>
      </c>
      <c r="I33" s="124">
        <v>0</v>
      </c>
      <c r="J33" s="124">
        <v>0</v>
      </c>
      <c r="K33" s="125">
        <v>0</v>
      </c>
      <c r="L33" s="124"/>
      <c r="M33" s="124">
        <v>0</v>
      </c>
      <c r="N33" s="124">
        <v>0</v>
      </c>
      <c r="O33" s="106" t="s">
        <v>513</v>
      </c>
    </row>
    <row r="34" spans="1:15" ht="65.45" x14ac:dyDescent="0.25">
      <c r="A34" s="168" t="s">
        <v>375</v>
      </c>
      <c r="B34" s="123"/>
      <c r="C34" s="124">
        <v>0</v>
      </c>
      <c r="D34" s="124">
        <v>0</v>
      </c>
      <c r="E34" s="125"/>
      <c r="F34" s="130">
        <v>106037004</v>
      </c>
      <c r="G34" s="124">
        <f>26499+599000+1135000+19500+300000+40000-40000+34436+5415399-1135000+1147375+6000000+350000+2500000+90000</f>
        <v>16482209</v>
      </c>
      <c r="H34" s="125">
        <f>G34/F34</f>
        <v>0.15543827511384611</v>
      </c>
      <c r="I34" s="124">
        <v>0</v>
      </c>
      <c r="J34" s="124">
        <v>0</v>
      </c>
      <c r="K34" s="125">
        <v>0</v>
      </c>
      <c r="L34" s="124"/>
      <c r="M34" s="124">
        <v>0</v>
      </c>
      <c r="N34" s="124">
        <v>0</v>
      </c>
      <c r="O34" s="106" t="s">
        <v>514</v>
      </c>
    </row>
    <row r="35" spans="1:15" ht="117.85" x14ac:dyDescent="0.25">
      <c r="A35" s="168" t="s">
        <v>342</v>
      </c>
      <c r="B35" s="123"/>
      <c r="C35" s="124">
        <v>0</v>
      </c>
      <c r="D35" s="124">
        <v>0</v>
      </c>
      <c r="E35" s="125">
        <v>1</v>
      </c>
      <c r="F35" s="130">
        <v>188582118</v>
      </c>
      <c r="G35" s="124">
        <f>12000+45000+21286+15000+250000+9600+250000+14000+230000-150000+82296+9980+37182+290669+218070+1156597+3500000+1865660+325000+5000000+ 440000</f>
        <v>13622340</v>
      </c>
      <c r="H35" s="125">
        <f>G35/F35</f>
        <v>7.2235587045427069E-2</v>
      </c>
      <c r="I35" s="124">
        <v>0</v>
      </c>
      <c r="J35" s="124">
        <v>0</v>
      </c>
      <c r="K35" s="125">
        <v>0</v>
      </c>
      <c r="L35" s="124"/>
      <c r="M35" s="124">
        <v>0</v>
      </c>
      <c r="N35" s="124">
        <v>0</v>
      </c>
      <c r="O35" s="106" t="s">
        <v>515</v>
      </c>
    </row>
    <row r="36" spans="1:15" hidden="1" x14ac:dyDescent="0.25">
      <c r="A36" s="168" t="s">
        <v>416</v>
      </c>
      <c r="B36" s="123"/>
      <c r="C36" s="124">
        <v>0</v>
      </c>
      <c r="D36" s="124">
        <v>0</v>
      </c>
      <c r="E36" s="125"/>
      <c r="F36" s="130">
        <v>0</v>
      </c>
      <c r="G36" s="124">
        <v>0</v>
      </c>
      <c r="H36" s="125">
        <v>1</v>
      </c>
      <c r="I36" s="124">
        <v>0</v>
      </c>
      <c r="J36" s="124">
        <v>0</v>
      </c>
      <c r="K36" s="125">
        <v>0</v>
      </c>
      <c r="L36" s="124"/>
      <c r="M36" s="124">
        <v>0</v>
      </c>
      <c r="N36" s="124">
        <v>0</v>
      </c>
      <c r="O36" s="106"/>
    </row>
    <row r="37" spans="1:15" x14ac:dyDescent="0.25">
      <c r="A37" s="168" t="s">
        <v>466</v>
      </c>
      <c r="B37" s="123"/>
      <c r="C37" s="124">
        <v>0</v>
      </c>
      <c r="D37" s="124">
        <v>0</v>
      </c>
      <c r="E37" s="125">
        <v>0</v>
      </c>
      <c r="F37" s="130">
        <v>180000</v>
      </c>
      <c r="G37" s="124">
        <v>-31104</v>
      </c>
      <c r="H37" s="125">
        <f>G37/F37</f>
        <v>-0.17280000000000001</v>
      </c>
      <c r="I37" s="124">
        <v>0</v>
      </c>
      <c r="J37" s="124">
        <v>0</v>
      </c>
      <c r="K37" s="125">
        <v>0</v>
      </c>
      <c r="L37" s="124"/>
      <c r="M37" s="124">
        <v>0</v>
      </c>
      <c r="N37" s="124">
        <v>0</v>
      </c>
      <c r="O37" s="106" t="s">
        <v>467</v>
      </c>
    </row>
    <row r="38" spans="1:15" x14ac:dyDescent="0.25">
      <c r="A38" s="168" t="s">
        <v>516</v>
      </c>
      <c r="B38" s="123"/>
      <c r="C38" s="124">
        <v>0</v>
      </c>
      <c r="D38" s="124">
        <v>0</v>
      </c>
      <c r="E38" s="125">
        <v>0</v>
      </c>
      <c r="F38" s="130">
        <v>69000</v>
      </c>
      <c r="G38" s="124">
        <v>-12000</v>
      </c>
      <c r="H38" s="125">
        <f>G38/F38</f>
        <v>-0.17391304347826086</v>
      </c>
      <c r="I38" s="124">
        <v>0</v>
      </c>
      <c r="J38" s="124">
        <v>0</v>
      </c>
      <c r="K38" s="125">
        <v>0</v>
      </c>
      <c r="L38" s="124"/>
      <c r="M38" s="124">
        <v>0</v>
      </c>
      <c r="N38" s="124">
        <v>0</v>
      </c>
      <c r="O38" s="106" t="s">
        <v>467</v>
      </c>
    </row>
    <row r="39" spans="1:15" ht="65.45" x14ac:dyDescent="0.25">
      <c r="A39" s="168" t="s">
        <v>376</v>
      </c>
      <c r="B39" s="123"/>
      <c r="C39" s="186">
        <v>5000000</v>
      </c>
      <c r="D39" s="183">
        <v>9134000</v>
      </c>
      <c r="E39" s="125">
        <f>D39/C39</f>
        <v>1.8268</v>
      </c>
      <c r="F39" s="124">
        <v>0</v>
      </c>
      <c r="G39" s="124">
        <v>0</v>
      </c>
      <c r="H39" s="125">
        <v>0</v>
      </c>
      <c r="I39" s="124">
        <v>0</v>
      </c>
      <c r="J39" s="124">
        <v>0</v>
      </c>
      <c r="K39" s="125">
        <v>0</v>
      </c>
      <c r="L39" s="124"/>
      <c r="M39" s="124">
        <v>0</v>
      </c>
      <c r="N39" s="124">
        <v>0</v>
      </c>
      <c r="O39" s="106" t="s">
        <v>517</v>
      </c>
    </row>
    <row r="40" spans="1:15" ht="21.8" hidden="1" customHeight="1" x14ac:dyDescent="0.25">
      <c r="A40" s="168" t="s">
        <v>136</v>
      </c>
      <c r="B40" s="123"/>
      <c r="C40" s="186">
        <v>0</v>
      </c>
      <c r="D40" s="183">
        <v>0</v>
      </c>
      <c r="E40" s="125">
        <v>1</v>
      </c>
      <c r="F40" s="124">
        <v>0</v>
      </c>
      <c r="G40" s="124">
        <v>0</v>
      </c>
      <c r="H40" s="125">
        <v>0</v>
      </c>
      <c r="I40" s="124">
        <v>0</v>
      </c>
      <c r="J40" s="124">
        <v>0</v>
      </c>
      <c r="K40" s="125">
        <v>0</v>
      </c>
      <c r="L40" s="124"/>
      <c r="M40" s="124">
        <v>0</v>
      </c>
      <c r="N40" s="124">
        <v>0</v>
      </c>
      <c r="O40" s="106"/>
    </row>
    <row r="41" spans="1:15" x14ac:dyDescent="0.25">
      <c r="A41" s="168" t="s">
        <v>132</v>
      </c>
      <c r="B41" s="123"/>
      <c r="C41" s="186">
        <f>246758013+458931711</f>
        <v>705689724</v>
      </c>
      <c r="D41" s="183">
        <f>15460137+21091100</f>
        <v>36551237</v>
      </c>
      <c r="E41" s="125">
        <f>D41/C41</f>
        <v>5.1795053487274527E-2</v>
      </c>
      <c r="F41" s="124">
        <v>0</v>
      </c>
      <c r="G41" s="124">
        <v>0</v>
      </c>
      <c r="H41" s="125">
        <v>0</v>
      </c>
      <c r="I41" s="124">
        <v>0</v>
      </c>
      <c r="J41" s="124">
        <v>0</v>
      </c>
      <c r="K41" s="125">
        <v>0</v>
      </c>
      <c r="L41" s="124"/>
      <c r="M41" s="124">
        <v>0</v>
      </c>
      <c r="N41" s="124">
        <v>0</v>
      </c>
      <c r="O41" s="106"/>
    </row>
    <row r="42" spans="1:15" x14ac:dyDescent="0.25">
      <c r="A42" s="168" t="s">
        <v>131</v>
      </c>
      <c r="B42" s="123"/>
      <c r="C42" s="186">
        <v>1394491</v>
      </c>
      <c r="D42" s="183">
        <v>-143</v>
      </c>
      <c r="E42" s="125">
        <f>D42/C42</f>
        <v>-1.0254637713689081E-4</v>
      </c>
      <c r="F42" s="124">
        <v>0</v>
      </c>
      <c r="G42" s="124">
        <v>0</v>
      </c>
      <c r="H42" s="125">
        <v>0</v>
      </c>
      <c r="I42" s="124">
        <v>0</v>
      </c>
      <c r="J42" s="124">
        <v>0</v>
      </c>
      <c r="K42" s="125">
        <v>0</v>
      </c>
      <c r="L42" s="124"/>
      <c r="M42" s="124">
        <v>0</v>
      </c>
      <c r="N42" s="124">
        <v>0</v>
      </c>
      <c r="O42" s="106"/>
    </row>
    <row r="43" spans="1:15" ht="26.2" x14ac:dyDescent="0.25">
      <c r="A43" s="168" t="s">
        <v>417</v>
      </c>
      <c r="B43" s="123"/>
      <c r="C43" s="186">
        <v>9796881</v>
      </c>
      <c r="D43" s="183">
        <v>25244</v>
      </c>
      <c r="E43" s="125">
        <f>D43/C43</f>
        <v>2.5767384537997346E-3</v>
      </c>
      <c r="F43" s="124">
        <v>0</v>
      </c>
      <c r="G43" s="124">
        <v>0</v>
      </c>
      <c r="H43" s="125">
        <v>0</v>
      </c>
      <c r="I43" s="124">
        <v>0</v>
      </c>
      <c r="J43" s="124">
        <v>0</v>
      </c>
      <c r="K43" s="125">
        <v>0</v>
      </c>
      <c r="L43" s="124"/>
      <c r="M43" s="124">
        <v>0</v>
      </c>
      <c r="N43" s="124">
        <v>0</v>
      </c>
      <c r="O43" s="106"/>
    </row>
    <row r="44" spans="1:15" hidden="1" x14ac:dyDescent="0.25">
      <c r="A44" s="168" t="s">
        <v>134</v>
      </c>
      <c r="B44" s="123"/>
      <c r="C44" s="124">
        <v>0</v>
      </c>
      <c r="D44" s="130">
        <v>0</v>
      </c>
      <c r="E44" s="125">
        <v>0</v>
      </c>
      <c r="F44" s="124">
        <v>0</v>
      </c>
      <c r="G44" s="124">
        <v>0</v>
      </c>
      <c r="H44" s="125">
        <v>0</v>
      </c>
      <c r="I44" s="124">
        <v>0</v>
      </c>
      <c r="J44" s="124">
        <v>0</v>
      </c>
      <c r="K44" s="125">
        <v>0</v>
      </c>
      <c r="L44" s="124"/>
      <c r="M44" s="124">
        <v>0</v>
      </c>
      <c r="N44" s="124">
        <v>0</v>
      </c>
      <c r="O44" s="106"/>
    </row>
    <row r="45" spans="1:15" x14ac:dyDescent="0.25">
      <c r="A45" s="168" t="s">
        <v>133</v>
      </c>
      <c r="B45" s="123"/>
      <c r="C45" s="186">
        <v>23982840</v>
      </c>
      <c r="D45" s="183">
        <f>-23982840+28118757+15649270</f>
        <v>19785187</v>
      </c>
      <c r="E45" s="125">
        <f>D45/C45</f>
        <v>0.82497264710934981</v>
      </c>
      <c r="F45" s="124">
        <v>0</v>
      </c>
      <c r="G45" s="124">
        <v>0</v>
      </c>
      <c r="H45" s="125">
        <v>0</v>
      </c>
      <c r="I45" s="124">
        <v>0</v>
      </c>
      <c r="J45" s="124">
        <v>0</v>
      </c>
      <c r="K45" s="125">
        <v>0</v>
      </c>
      <c r="L45" s="124"/>
      <c r="M45" s="124">
        <v>0</v>
      </c>
      <c r="N45" s="124">
        <v>0</v>
      </c>
      <c r="O45" s="106"/>
    </row>
    <row r="46" spans="1:15" ht="39.299999999999997" x14ac:dyDescent="0.25">
      <c r="A46" s="168" t="s">
        <v>206</v>
      </c>
      <c r="B46" s="123"/>
      <c r="C46" s="186">
        <v>0</v>
      </c>
      <c r="D46" s="183">
        <f>4000000+570000</f>
        <v>4570000</v>
      </c>
      <c r="E46" s="125">
        <v>1</v>
      </c>
      <c r="F46" s="124">
        <v>0</v>
      </c>
      <c r="G46" s="124">
        <v>0</v>
      </c>
      <c r="H46" s="125">
        <v>0</v>
      </c>
      <c r="I46" s="124">
        <v>0</v>
      </c>
      <c r="J46" s="124">
        <v>0</v>
      </c>
      <c r="K46" s="125">
        <v>0</v>
      </c>
      <c r="L46" s="124"/>
      <c r="M46" s="124">
        <v>0</v>
      </c>
      <c r="N46" s="124">
        <v>0</v>
      </c>
      <c r="O46" s="106" t="s">
        <v>492</v>
      </c>
    </row>
    <row r="47" spans="1:15" ht="1" hidden="1" customHeight="1" x14ac:dyDescent="0.25">
      <c r="A47" s="168" t="s">
        <v>337</v>
      </c>
      <c r="B47" s="123"/>
      <c r="C47" s="124">
        <v>0</v>
      </c>
      <c r="D47" s="130">
        <v>0</v>
      </c>
      <c r="E47" s="125">
        <v>1</v>
      </c>
      <c r="F47" s="124">
        <v>0</v>
      </c>
      <c r="G47" s="124">
        <v>0</v>
      </c>
      <c r="H47" s="125">
        <v>0</v>
      </c>
      <c r="I47" s="124">
        <v>0</v>
      </c>
      <c r="J47" s="124">
        <v>0</v>
      </c>
      <c r="K47" s="125">
        <v>0</v>
      </c>
      <c r="L47" s="124"/>
      <c r="M47" s="124">
        <v>0</v>
      </c>
      <c r="N47" s="124">
        <v>0</v>
      </c>
      <c r="O47" s="106"/>
    </row>
    <row r="48" spans="1:15" ht="26.2" x14ac:dyDescent="0.25">
      <c r="A48" s="168" t="s">
        <v>331</v>
      </c>
      <c r="B48" s="123"/>
      <c r="C48" s="186">
        <v>12794416</v>
      </c>
      <c r="D48" s="183">
        <v>-1923398</v>
      </c>
      <c r="E48" s="125">
        <v>1</v>
      </c>
      <c r="F48" s="124">
        <v>0</v>
      </c>
      <c r="G48" s="124">
        <v>0</v>
      </c>
      <c r="H48" s="125">
        <v>0</v>
      </c>
      <c r="I48" s="124">
        <v>0</v>
      </c>
      <c r="J48" s="124">
        <v>0</v>
      </c>
      <c r="K48" s="125">
        <v>0</v>
      </c>
      <c r="L48" s="124"/>
      <c r="M48" s="124">
        <v>0</v>
      </c>
      <c r="N48" s="124">
        <v>0</v>
      </c>
      <c r="O48" s="106"/>
    </row>
    <row r="49" spans="1:15" x14ac:dyDescent="0.25">
      <c r="A49" s="168" t="s">
        <v>348</v>
      </c>
      <c r="B49" s="123"/>
      <c r="C49" s="186">
        <v>0</v>
      </c>
      <c r="D49" s="183">
        <v>0</v>
      </c>
      <c r="E49" s="125">
        <v>1</v>
      </c>
      <c r="F49" s="124">
        <v>0</v>
      </c>
      <c r="G49" s="124">
        <v>0</v>
      </c>
      <c r="H49" s="125">
        <v>0</v>
      </c>
      <c r="I49" s="124">
        <v>0</v>
      </c>
      <c r="J49" s="124">
        <v>0</v>
      </c>
      <c r="K49" s="125">
        <v>0</v>
      </c>
      <c r="L49" s="124"/>
      <c r="M49" s="124">
        <v>0</v>
      </c>
      <c r="N49" s="124">
        <v>0</v>
      </c>
      <c r="O49" s="106"/>
    </row>
    <row r="50" spans="1:15" x14ac:dyDescent="0.25">
      <c r="A50" s="168" t="s">
        <v>332</v>
      </c>
      <c r="B50" s="123"/>
      <c r="C50" s="186">
        <v>5298395</v>
      </c>
      <c r="D50" s="183">
        <v>176341</v>
      </c>
      <c r="E50" s="125">
        <v>1</v>
      </c>
      <c r="F50" s="124">
        <v>0</v>
      </c>
      <c r="G50" s="124">
        <v>0</v>
      </c>
      <c r="H50" s="125">
        <v>0</v>
      </c>
      <c r="I50" s="124">
        <v>0</v>
      </c>
      <c r="J50" s="124">
        <v>0</v>
      </c>
      <c r="K50" s="125">
        <v>0</v>
      </c>
      <c r="L50" s="124"/>
      <c r="M50" s="124">
        <v>0</v>
      </c>
      <c r="N50" s="124">
        <v>0</v>
      </c>
      <c r="O50" s="106"/>
    </row>
    <row r="51" spans="1:15" x14ac:dyDescent="0.25">
      <c r="A51" s="168" t="s">
        <v>135</v>
      </c>
      <c r="B51" s="123"/>
      <c r="C51" s="186">
        <v>5473903</v>
      </c>
      <c r="D51" s="183">
        <v>236849</v>
      </c>
      <c r="E51" s="125">
        <v>1</v>
      </c>
      <c r="F51" s="124">
        <v>0</v>
      </c>
      <c r="G51" s="124">
        <v>0</v>
      </c>
      <c r="H51" s="125">
        <v>0</v>
      </c>
      <c r="I51" s="124">
        <v>0</v>
      </c>
      <c r="J51" s="124">
        <v>0</v>
      </c>
      <c r="K51" s="125">
        <v>0</v>
      </c>
      <c r="L51" s="124"/>
      <c r="M51" s="124">
        <v>0</v>
      </c>
      <c r="N51" s="124">
        <v>0</v>
      </c>
      <c r="O51" s="106"/>
    </row>
    <row r="52" spans="1:15" ht="26.2" x14ac:dyDescent="0.25">
      <c r="A52" s="168" t="s">
        <v>441</v>
      </c>
      <c r="B52" s="123"/>
      <c r="C52" s="186">
        <v>0</v>
      </c>
      <c r="D52" s="183">
        <v>3779285</v>
      </c>
      <c r="E52" s="125">
        <v>1</v>
      </c>
      <c r="F52" s="124">
        <v>0</v>
      </c>
      <c r="G52" s="124">
        <v>0</v>
      </c>
      <c r="H52" s="125">
        <v>1</v>
      </c>
      <c r="I52" s="124">
        <v>0</v>
      </c>
      <c r="J52" s="124">
        <v>0</v>
      </c>
      <c r="K52" s="125">
        <v>0</v>
      </c>
      <c r="L52" s="124"/>
      <c r="M52" s="124">
        <v>0</v>
      </c>
      <c r="N52" s="124">
        <v>0</v>
      </c>
      <c r="O52" s="106" t="s">
        <v>493</v>
      </c>
    </row>
    <row r="53" spans="1:15" ht="26.2" hidden="1" x14ac:dyDescent="0.25">
      <c r="A53" s="168" t="s">
        <v>144</v>
      </c>
      <c r="B53" s="123"/>
      <c r="C53" s="124">
        <v>0</v>
      </c>
      <c r="D53" s="130">
        <v>0</v>
      </c>
      <c r="E53" s="125">
        <v>1</v>
      </c>
      <c r="F53" s="124">
        <v>0</v>
      </c>
      <c r="G53" s="124">
        <v>0</v>
      </c>
      <c r="H53" s="125">
        <v>0</v>
      </c>
      <c r="I53" s="124">
        <v>0</v>
      </c>
      <c r="J53" s="124">
        <v>0</v>
      </c>
      <c r="K53" s="125">
        <v>0</v>
      </c>
      <c r="L53" s="124"/>
      <c r="M53" s="124">
        <v>0</v>
      </c>
      <c r="N53" s="124">
        <v>0</v>
      </c>
      <c r="O53" s="106"/>
    </row>
    <row r="54" spans="1:15" ht="26.2" hidden="1" x14ac:dyDescent="0.25">
      <c r="A54" s="168" t="s">
        <v>145</v>
      </c>
      <c r="B54" s="123"/>
      <c r="C54" s="124">
        <v>0</v>
      </c>
      <c r="D54" s="130">
        <v>0</v>
      </c>
      <c r="E54" s="125">
        <v>1</v>
      </c>
      <c r="F54" s="124">
        <v>0</v>
      </c>
      <c r="G54" s="124">
        <v>0</v>
      </c>
      <c r="H54" s="125">
        <v>0</v>
      </c>
      <c r="I54" s="124">
        <v>0</v>
      </c>
      <c r="J54" s="124">
        <v>0</v>
      </c>
      <c r="K54" s="125">
        <v>0</v>
      </c>
      <c r="L54" s="124"/>
      <c r="M54" s="124">
        <v>0</v>
      </c>
      <c r="N54" s="124">
        <v>0</v>
      </c>
      <c r="O54" s="106"/>
    </row>
    <row r="55" spans="1:15" ht="26.2" hidden="1" x14ac:dyDescent="0.25">
      <c r="A55" s="168" t="s">
        <v>146</v>
      </c>
      <c r="B55" s="123"/>
      <c r="C55" s="124">
        <v>0</v>
      </c>
      <c r="D55" s="130">
        <v>0</v>
      </c>
      <c r="E55" s="125">
        <v>1</v>
      </c>
      <c r="F55" s="124">
        <v>0</v>
      </c>
      <c r="G55" s="124">
        <v>0</v>
      </c>
      <c r="H55" s="125" t="e">
        <f>G55/F55</f>
        <v>#DIV/0!</v>
      </c>
      <c r="I55" s="124">
        <v>0</v>
      </c>
      <c r="J55" s="124">
        <v>0</v>
      </c>
      <c r="K55" s="125">
        <v>0</v>
      </c>
      <c r="L55" s="124"/>
      <c r="M55" s="124">
        <v>0</v>
      </c>
      <c r="N55" s="124">
        <v>0</v>
      </c>
      <c r="O55" s="106"/>
    </row>
    <row r="56" spans="1:15" ht="26.2" hidden="1" x14ac:dyDescent="0.25">
      <c r="A56" s="168" t="s">
        <v>147</v>
      </c>
      <c r="B56" s="123"/>
      <c r="C56" s="124">
        <v>0</v>
      </c>
      <c r="D56" s="130">
        <v>0</v>
      </c>
      <c r="E56" s="125">
        <v>1</v>
      </c>
      <c r="F56" s="124">
        <v>0</v>
      </c>
      <c r="G56" s="124">
        <v>0</v>
      </c>
      <c r="H56" s="125">
        <v>0</v>
      </c>
      <c r="I56" s="124">
        <v>0</v>
      </c>
      <c r="J56" s="124">
        <v>0</v>
      </c>
      <c r="K56" s="125">
        <v>0</v>
      </c>
      <c r="L56" s="124"/>
      <c r="M56" s="124">
        <v>0</v>
      </c>
      <c r="N56" s="124">
        <v>0</v>
      </c>
      <c r="O56" s="106"/>
    </row>
    <row r="57" spans="1:15" ht="39.299999999999997" hidden="1" x14ac:dyDescent="0.25">
      <c r="A57" s="169" t="s">
        <v>17</v>
      </c>
      <c r="B57" s="127" t="s">
        <v>16</v>
      </c>
      <c r="C57" s="128">
        <f>SUM(C58:C58)</f>
        <v>0</v>
      </c>
      <c r="D57" s="128">
        <f>SUM(D58:D58)</f>
        <v>0</v>
      </c>
      <c r="E57" s="129">
        <v>0</v>
      </c>
      <c r="F57" s="128">
        <f>SUM(F58:F58)</f>
        <v>0</v>
      </c>
      <c r="G57" s="128">
        <f>SUM(G58:G58)</f>
        <v>0</v>
      </c>
      <c r="H57" s="129">
        <v>0</v>
      </c>
      <c r="I57" s="128">
        <f>SUM(I58:I58)</f>
        <v>0</v>
      </c>
      <c r="J57" s="128">
        <f>SUM(J58:J58)</f>
        <v>0</v>
      </c>
      <c r="K57" s="129">
        <v>0</v>
      </c>
      <c r="L57" s="121">
        <f>D57+G57+J57</f>
        <v>0</v>
      </c>
      <c r="M57" s="128">
        <f>SUM(M58:M58)</f>
        <v>0</v>
      </c>
      <c r="N57" s="128">
        <f>SUM(N58:N58)</f>
        <v>0</v>
      </c>
      <c r="O57" s="106"/>
    </row>
    <row r="58" spans="1:15" hidden="1" x14ac:dyDescent="0.25">
      <c r="A58" s="168"/>
      <c r="B58" s="123"/>
      <c r="C58" s="124"/>
      <c r="D58" s="124"/>
      <c r="E58" s="125">
        <v>0</v>
      </c>
      <c r="F58" s="124"/>
      <c r="G58" s="124"/>
      <c r="H58" s="125">
        <v>0</v>
      </c>
      <c r="I58" s="124"/>
      <c r="J58" s="124"/>
      <c r="K58" s="125">
        <v>0</v>
      </c>
      <c r="L58" s="124"/>
      <c r="M58" s="124"/>
      <c r="N58" s="124"/>
      <c r="O58" s="106"/>
    </row>
    <row r="59" spans="1:15" ht="39.299999999999997" x14ac:dyDescent="0.25">
      <c r="A59" s="169" t="s">
        <v>19</v>
      </c>
      <c r="B59" s="131" t="s">
        <v>18</v>
      </c>
      <c r="C59" s="128">
        <f>SUM(C60:C62)</f>
        <v>0</v>
      </c>
      <c r="D59" s="128">
        <f>SUM(D60:D62)</f>
        <v>0</v>
      </c>
      <c r="E59" s="129">
        <v>0</v>
      </c>
      <c r="F59" s="128">
        <f>SUM(F60:F62)</f>
        <v>4093838</v>
      </c>
      <c r="G59" s="128">
        <f>SUM(G60:G62)</f>
        <v>7191110</v>
      </c>
      <c r="H59" s="129">
        <f>G59/F59</f>
        <v>1.7565692633660639</v>
      </c>
      <c r="I59" s="128">
        <f>SUM(I60:I62)</f>
        <v>0</v>
      </c>
      <c r="J59" s="128">
        <f>SUM(J60:J62)</f>
        <v>0</v>
      </c>
      <c r="K59" s="129">
        <v>0</v>
      </c>
      <c r="L59" s="121">
        <f>D59+G59+J59</f>
        <v>7191110</v>
      </c>
      <c r="M59" s="128">
        <f>SUM(M60:M62)</f>
        <v>0</v>
      </c>
      <c r="N59" s="128">
        <f>SUM(N60:N62)</f>
        <v>0</v>
      </c>
      <c r="O59" s="106"/>
    </row>
    <row r="60" spans="1:15" ht="32.25" customHeight="1" x14ac:dyDescent="0.25">
      <c r="A60" s="188" t="s">
        <v>338</v>
      </c>
      <c r="B60" s="147"/>
      <c r="C60" s="130">
        <v>0</v>
      </c>
      <c r="D60" s="183">
        <v>0</v>
      </c>
      <c r="E60" s="189">
        <v>0</v>
      </c>
      <c r="F60" s="130">
        <v>4093838</v>
      </c>
      <c r="G60" s="130">
        <f>1174110+5000000</f>
        <v>6174110</v>
      </c>
      <c r="H60" s="189">
        <f>G60/F60</f>
        <v>1.5081471225778842</v>
      </c>
      <c r="I60" s="130">
        <v>0</v>
      </c>
      <c r="J60" s="130">
        <v>0</v>
      </c>
      <c r="K60" s="189">
        <v>0</v>
      </c>
      <c r="L60" s="130"/>
      <c r="M60" s="130">
        <v>0</v>
      </c>
      <c r="N60" s="130">
        <v>0</v>
      </c>
      <c r="O60" s="106" t="s">
        <v>518</v>
      </c>
    </row>
    <row r="61" spans="1:15" hidden="1" x14ac:dyDescent="0.25">
      <c r="A61" s="168" t="s">
        <v>167</v>
      </c>
      <c r="B61" s="123"/>
      <c r="C61" s="124">
        <v>0</v>
      </c>
      <c r="D61" s="124">
        <v>0</v>
      </c>
      <c r="E61" s="125">
        <v>0</v>
      </c>
      <c r="F61" s="130">
        <v>0</v>
      </c>
      <c r="G61" s="124">
        <v>0</v>
      </c>
      <c r="H61" s="125">
        <v>0</v>
      </c>
      <c r="I61" s="124">
        <v>0</v>
      </c>
      <c r="J61" s="130">
        <v>0</v>
      </c>
      <c r="K61" s="125">
        <v>1</v>
      </c>
      <c r="L61" s="124"/>
      <c r="M61" s="124">
        <v>0</v>
      </c>
      <c r="N61" s="124">
        <v>0</v>
      </c>
      <c r="O61" s="106"/>
    </row>
    <row r="62" spans="1:15" ht="26.2" x14ac:dyDescent="0.25">
      <c r="A62" s="168" t="s">
        <v>494</v>
      </c>
      <c r="B62" s="147"/>
      <c r="C62" s="130">
        <v>0</v>
      </c>
      <c r="D62" s="183">
        <v>0</v>
      </c>
      <c r="E62" s="189">
        <v>0</v>
      </c>
      <c r="F62" s="130">
        <v>0</v>
      </c>
      <c r="G62" s="130">
        <f>1000000+17000</f>
        <v>1017000</v>
      </c>
      <c r="H62" s="189">
        <v>1</v>
      </c>
      <c r="I62" s="130">
        <v>0</v>
      </c>
      <c r="J62" s="130">
        <v>0</v>
      </c>
      <c r="K62" s="189">
        <v>0</v>
      </c>
      <c r="L62" s="130"/>
      <c r="M62" s="130">
        <v>0</v>
      </c>
      <c r="N62" s="130">
        <v>0</v>
      </c>
      <c r="O62" s="106" t="s">
        <v>519</v>
      </c>
    </row>
    <row r="63" spans="1:15" ht="52.4" x14ac:dyDescent="0.25">
      <c r="A63" s="169" t="s">
        <v>21</v>
      </c>
      <c r="B63" s="127" t="s">
        <v>20</v>
      </c>
      <c r="C63" s="128">
        <f>SUM(C64:C66)</f>
        <v>792318</v>
      </c>
      <c r="D63" s="128">
        <f>SUM(D64:D66)</f>
        <v>1501008</v>
      </c>
      <c r="E63" s="129">
        <v>1</v>
      </c>
      <c r="F63" s="128">
        <f>SUM(F64:F66)</f>
        <v>26418522</v>
      </c>
      <c r="G63" s="128">
        <f>SUM(G64:G66)</f>
        <v>3220000</v>
      </c>
      <c r="H63" s="129">
        <f>G63/F63</f>
        <v>0.12188418413414649</v>
      </c>
      <c r="I63" s="128">
        <f>SUM(I64:I66)</f>
        <v>0</v>
      </c>
      <c r="J63" s="128">
        <f>SUM(J64:J66)</f>
        <v>0</v>
      </c>
      <c r="K63" s="129">
        <v>0</v>
      </c>
      <c r="L63" s="121">
        <f>D63+G63+J63</f>
        <v>4721008</v>
      </c>
      <c r="M63" s="128">
        <f>SUM(M64:M66)</f>
        <v>0</v>
      </c>
      <c r="N63" s="128">
        <f>SUM(N64:N66)</f>
        <v>0</v>
      </c>
      <c r="O63" s="106"/>
    </row>
    <row r="64" spans="1:15" ht="26.2" x14ac:dyDescent="0.25">
      <c r="A64" s="168" t="s">
        <v>417</v>
      </c>
      <c r="B64" s="123"/>
      <c r="C64" s="186">
        <v>792318</v>
      </c>
      <c r="D64" s="186">
        <v>451008</v>
      </c>
      <c r="E64" s="125">
        <v>1</v>
      </c>
      <c r="F64" s="130">
        <v>0</v>
      </c>
      <c r="G64" s="124">
        <v>0</v>
      </c>
      <c r="H64" s="125">
        <v>0</v>
      </c>
      <c r="I64" s="124">
        <v>0</v>
      </c>
      <c r="J64" s="124">
        <v>0</v>
      </c>
      <c r="K64" s="125">
        <v>0</v>
      </c>
      <c r="L64" s="124"/>
      <c r="M64" s="124">
        <v>0</v>
      </c>
      <c r="N64" s="124">
        <v>0</v>
      </c>
      <c r="O64" s="106"/>
    </row>
    <row r="65" spans="1:15" x14ac:dyDescent="0.25">
      <c r="A65" s="168" t="s">
        <v>376</v>
      </c>
      <c r="B65" s="123"/>
      <c r="C65" s="186">
        <v>0</v>
      </c>
      <c r="D65" s="183">
        <f>500000+550000</f>
        <v>1050000</v>
      </c>
      <c r="E65" s="125">
        <v>1</v>
      </c>
      <c r="F65" s="130">
        <v>0</v>
      </c>
      <c r="G65" s="124">
        <v>0</v>
      </c>
      <c r="H65" s="125">
        <v>0</v>
      </c>
      <c r="I65" s="124">
        <v>0</v>
      </c>
      <c r="J65" s="124">
        <v>0</v>
      </c>
      <c r="K65" s="125">
        <v>0</v>
      </c>
      <c r="L65" s="126"/>
      <c r="M65" s="124">
        <v>0</v>
      </c>
      <c r="N65" s="124">
        <v>0</v>
      </c>
      <c r="O65" s="106" t="s">
        <v>495</v>
      </c>
    </row>
    <row r="66" spans="1:15" ht="48.8" customHeight="1" thickBot="1" x14ac:dyDescent="0.3">
      <c r="A66" s="168" t="s">
        <v>374</v>
      </c>
      <c r="B66" s="123"/>
      <c r="C66" s="124">
        <v>0</v>
      </c>
      <c r="D66" s="124">
        <v>0</v>
      </c>
      <c r="E66" s="125">
        <v>0</v>
      </c>
      <c r="F66" s="130">
        <v>26418522</v>
      </c>
      <c r="G66" s="124">
        <f>500000+17000-17000+2570000+150000</f>
        <v>3220000</v>
      </c>
      <c r="H66" s="125">
        <f>G66/F66</f>
        <v>0.12188418413414649</v>
      </c>
      <c r="I66" s="124">
        <v>0</v>
      </c>
      <c r="J66" s="124">
        <v>0</v>
      </c>
      <c r="K66" s="125">
        <v>0</v>
      </c>
      <c r="L66" s="126"/>
      <c r="M66" s="124">
        <v>0</v>
      </c>
      <c r="N66" s="124">
        <v>0</v>
      </c>
      <c r="O66" s="106" t="s">
        <v>505</v>
      </c>
    </row>
    <row r="67" spans="1:15" ht="52.4" hidden="1" x14ac:dyDescent="0.25">
      <c r="A67" s="169" t="s">
        <v>23</v>
      </c>
      <c r="B67" s="127" t="s">
        <v>22</v>
      </c>
      <c r="C67" s="128">
        <f>SUM(C68:C68)</f>
        <v>0</v>
      </c>
      <c r="D67" s="128">
        <f>SUM(D68:D68)</f>
        <v>0</v>
      </c>
      <c r="E67" s="129">
        <v>0</v>
      </c>
      <c r="F67" s="128">
        <f>SUM(F68:F68)</f>
        <v>0</v>
      </c>
      <c r="G67" s="128">
        <f>SUM(G68:G68)</f>
        <v>0</v>
      </c>
      <c r="H67" s="129">
        <v>0</v>
      </c>
      <c r="I67" s="128">
        <f>SUM(I68:I68)</f>
        <v>0</v>
      </c>
      <c r="J67" s="128">
        <f>SUM(J68:J68)</f>
        <v>0</v>
      </c>
      <c r="K67" s="129">
        <v>0</v>
      </c>
      <c r="L67" s="121">
        <f>D67+G67+J67</f>
        <v>0</v>
      </c>
      <c r="M67" s="128">
        <f>SUM(M68:M68)</f>
        <v>0</v>
      </c>
      <c r="N67" s="128">
        <f>SUM(N68:N68)</f>
        <v>0</v>
      </c>
      <c r="O67" s="106"/>
    </row>
    <row r="68" spans="1:15" ht="13.75" hidden="1" thickBot="1" x14ac:dyDescent="0.3">
      <c r="A68" s="168"/>
      <c r="B68" s="123"/>
      <c r="C68" s="124"/>
      <c r="D68" s="124"/>
      <c r="E68" s="125">
        <v>0</v>
      </c>
      <c r="F68" s="124"/>
      <c r="G68" s="124"/>
      <c r="H68" s="125">
        <v>0</v>
      </c>
      <c r="I68" s="124"/>
      <c r="J68" s="124"/>
      <c r="K68" s="125">
        <v>0</v>
      </c>
      <c r="L68" s="124"/>
      <c r="M68" s="124"/>
      <c r="N68" s="124"/>
      <c r="O68" s="106"/>
    </row>
    <row r="69" spans="1:15" ht="38" thickBot="1" x14ac:dyDescent="0.3">
      <c r="A69" s="170" t="s">
        <v>25</v>
      </c>
      <c r="B69" s="115" t="s">
        <v>24</v>
      </c>
      <c r="C69" s="116">
        <f>C70+C79+C81</f>
        <v>115983202</v>
      </c>
      <c r="D69" s="116">
        <f>D70+D79+D81</f>
        <v>17235836</v>
      </c>
      <c r="E69" s="117">
        <v>1</v>
      </c>
      <c r="F69" s="116">
        <f>F70+F79+F81</f>
        <v>7920000</v>
      </c>
      <c r="G69" s="116">
        <f>G70+G79+G81</f>
        <v>703900</v>
      </c>
      <c r="H69" s="117">
        <v>1</v>
      </c>
      <c r="I69" s="116">
        <f>I70+I79+I81</f>
        <v>0</v>
      </c>
      <c r="J69" s="116">
        <f>J70+J79+J81</f>
        <v>0</v>
      </c>
      <c r="K69" s="118">
        <v>1</v>
      </c>
      <c r="L69" s="116">
        <f>D69+G69+J69</f>
        <v>17939736</v>
      </c>
      <c r="M69" s="116">
        <f>M70+M79+M81</f>
        <v>0</v>
      </c>
      <c r="N69" s="119">
        <f>N70+N79+N81</f>
        <v>0</v>
      </c>
      <c r="O69" s="107"/>
    </row>
    <row r="70" spans="1:15" ht="39.299999999999997" x14ac:dyDescent="0.25">
      <c r="A70" s="167" t="s">
        <v>27</v>
      </c>
      <c r="B70" s="120" t="s">
        <v>26</v>
      </c>
      <c r="C70" s="121">
        <f>SUM(C71:C78)</f>
        <v>115983202</v>
      </c>
      <c r="D70" s="121">
        <f>SUM(D71:D78)</f>
        <v>17235836</v>
      </c>
      <c r="E70" s="122">
        <v>1</v>
      </c>
      <c r="F70" s="121">
        <f>SUM(F71:F78)</f>
        <v>7920000</v>
      </c>
      <c r="G70" s="121">
        <f>SUM(G71:G78)</f>
        <v>703900</v>
      </c>
      <c r="H70" s="122">
        <f>G70/F70</f>
        <v>8.8876262626262623E-2</v>
      </c>
      <c r="I70" s="121">
        <f>SUM(I71:I78)</f>
        <v>0</v>
      </c>
      <c r="J70" s="121">
        <f>SUM(J71:J78)</f>
        <v>0</v>
      </c>
      <c r="K70" s="122">
        <v>1</v>
      </c>
      <c r="L70" s="121">
        <f>D70+G70+J70</f>
        <v>17939736</v>
      </c>
      <c r="M70" s="121">
        <f>SUM(M71:M78)</f>
        <v>0</v>
      </c>
      <c r="N70" s="121">
        <f>SUM(N71:N78)</f>
        <v>0</v>
      </c>
      <c r="O70" s="106"/>
    </row>
    <row r="71" spans="1:15" ht="26.2" x14ac:dyDescent="0.25">
      <c r="A71" s="168" t="s">
        <v>138</v>
      </c>
      <c r="B71" s="123"/>
      <c r="C71" s="186">
        <v>101335865</v>
      </c>
      <c r="D71" s="183">
        <v>6246450</v>
      </c>
      <c r="E71" s="125">
        <f>D71/C71</f>
        <v>6.1641058671576938E-2</v>
      </c>
      <c r="F71" s="124">
        <v>0</v>
      </c>
      <c r="G71" s="124">
        <v>0</v>
      </c>
      <c r="H71" s="125">
        <v>0</v>
      </c>
      <c r="I71" s="124">
        <v>0</v>
      </c>
      <c r="J71" s="124">
        <v>0</v>
      </c>
      <c r="K71" s="125">
        <v>0</v>
      </c>
      <c r="L71" s="124"/>
      <c r="M71" s="124">
        <v>0</v>
      </c>
      <c r="N71" s="124">
        <v>0</v>
      </c>
      <c r="O71" s="106"/>
    </row>
    <row r="72" spans="1:15" ht="26.2" x14ac:dyDescent="0.25">
      <c r="A72" s="168" t="s">
        <v>339</v>
      </c>
      <c r="B72" s="123"/>
      <c r="C72" s="186">
        <v>4758000</v>
      </c>
      <c r="D72" s="183">
        <v>3000000</v>
      </c>
      <c r="E72" s="125">
        <f>D72/C72</f>
        <v>0.63051702395964693</v>
      </c>
      <c r="F72" s="124">
        <v>0</v>
      </c>
      <c r="G72" s="124">
        <v>0</v>
      </c>
      <c r="H72" s="125">
        <v>0</v>
      </c>
      <c r="I72" s="124">
        <v>0</v>
      </c>
      <c r="J72" s="124">
        <v>0</v>
      </c>
      <c r="K72" s="125">
        <v>0</v>
      </c>
      <c r="L72" s="124"/>
      <c r="M72" s="124">
        <v>0</v>
      </c>
      <c r="N72" s="124">
        <v>0</v>
      </c>
      <c r="O72" s="106"/>
    </row>
    <row r="73" spans="1:15" ht="39.299999999999997" x14ac:dyDescent="0.25">
      <c r="A73" s="168" t="s">
        <v>228</v>
      </c>
      <c r="B73" s="123"/>
      <c r="C73" s="186">
        <v>9049337</v>
      </c>
      <c r="D73" s="183">
        <v>419386</v>
      </c>
      <c r="E73" s="125">
        <f>D73/C73</f>
        <v>4.6344389649761085E-2</v>
      </c>
      <c r="F73" s="124">
        <v>0</v>
      </c>
      <c r="G73" s="124">
        <v>0</v>
      </c>
      <c r="H73" s="125">
        <v>0</v>
      </c>
      <c r="I73" s="124">
        <v>0</v>
      </c>
      <c r="J73" s="124">
        <v>0</v>
      </c>
      <c r="K73" s="125">
        <v>0</v>
      </c>
      <c r="L73" s="124"/>
      <c r="M73" s="124">
        <v>0</v>
      </c>
      <c r="N73" s="124">
        <v>0</v>
      </c>
      <c r="O73" s="106"/>
    </row>
    <row r="74" spans="1:15" x14ac:dyDescent="0.25">
      <c r="A74" s="168" t="s">
        <v>376</v>
      </c>
      <c r="B74" s="123"/>
      <c r="C74" s="186">
        <v>840000</v>
      </c>
      <c r="D74" s="183">
        <v>7200000</v>
      </c>
      <c r="E74" s="125">
        <v>1</v>
      </c>
      <c r="F74" s="124">
        <v>0</v>
      </c>
      <c r="G74" s="124">
        <v>0</v>
      </c>
      <c r="H74" s="125">
        <v>0</v>
      </c>
      <c r="I74" s="124">
        <v>0</v>
      </c>
      <c r="J74" s="124">
        <v>0</v>
      </c>
      <c r="K74" s="125">
        <v>0</v>
      </c>
      <c r="L74" s="124"/>
      <c r="M74" s="124">
        <v>0</v>
      </c>
      <c r="N74" s="124">
        <v>0</v>
      </c>
      <c r="O74" s="106" t="s">
        <v>491</v>
      </c>
    </row>
    <row r="75" spans="1:15" ht="26.2" hidden="1" x14ac:dyDescent="0.25">
      <c r="A75" s="168" t="s">
        <v>139</v>
      </c>
      <c r="B75" s="123"/>
      <c r="C75" s="186">
        <v>0</v>
      </c>
      <c r="D75" s="183">
        <v>0</v>
      </c>
      <c r="E75" s="125">
        <v>0</v>
      </c>
      <c r="F75" s="124">
        <v>0</v>
      </c>
      <c r="G75" s="124">
        <v>0</v>
      </c>
      <c r="H75" s="125">
        <v>0</v>
      </c>
      <c r="I75" s="124">
        <v>0</v>
      </c>
      <c r="J75" s="124">
        <v>0</v>
      </c>
      <c r="K75" s="125">
        <v>0</v>
      </c>
      <c r="L75" s="124"/>
      <c r="M75" s="124">
        <v>0</v>
      </c>
      <c r="N75" s="124">
        <v>0</v>
      </c>
      <c r="O75" s="106"/>
    </row>
    <row r="76" spans="1:15" ht="52.4" x14ac:dyDescent="0.25">
      <c r="A76" s="168" t="s">
        <v>443</v>
      </c>
      <c r="B76" s="123"/>
      <c r="C76" s="186">
        <v>0</v>
      </c>
      <c r="D76" s="183">
        <v>370000</v>
      </c>
      <c r="E76" s="125">
        <v>1</v>
      </c>
      <c r="F76" s="124">
        <v>0</v>
      </c>
      <c r="G76" s="124">
        <v>0</v>
      </c>
      <c r="H76" s="125">
        <v>0</v>
      </c>
      <c r="I76" s="124">
        <v>0</v>
      </c>
      <c r="J76" s="124">
        <v>0</v>
      </c>
      <c r="K76" s="125">
        <v>0</v>
      </c>
      <c r="L76" s="124"/>
      <c r="M76" s="124">
        <v>0</v>
      </c>
      <c r="N76" s="124">
        <v>0</v>
      </c>
      <c r="O76" s="106"/>
    </row>
    <row r="77" spans="1:15" x14ac:dyDescent="0.25">
      <c r="A77" s="168" t="s">
        <v>520</v>
      </c>
      <c r="B77" s="123"/>
      <c r="C77" s="124">
        <v>0</v>
      </c>
      <c r="D77" s="124">
        <v>0</v>
      </c>
      <c r="E77" s="125">
        <v>0</v>
      </c>
      <c r="F77" s="124">
        <v>432000</v>
      </c>
      <c r="G77" s="124">
        <f>123900+30000</f>
        <v>153900</v>
      </c>
      <c r="H77" s="125">
        <f>G77/F77</f>
        <v>0.35625000000000001</v>
      </c>
      <c r="I77" s="124">
        <v>0</v>
      </c>
      <c r="J77" s="130">
        <v>0</v>
      </c>
      <c r="K77" s="125">
        <v>1</v>
      </c>
      <c r="L77" s="124"/>
      <c r="M77" s="124">
        <v>0</v>
      </c>
      <c r="N77" s="124">
        <v>0</v>
      </c>
      <c r="O77" s="106" t="s">
        <v>473</v>
      </c>
    </row>
    <row r="78" spans="1:15" x14ac:dyDescent="0.25">
      <c r="A78" s="168" t="s">
        <v>166</v>
      </c>
      <c r="B78" s="123"/>
      <c r="C78" s="124">
        <v>0</v>
      </c>
      <c r="D78" s="124">
        <v>0</v>
      </c>
      <c r="E78" s="125">
        <v>0</v>
      </c>
      <c r="F78" s="124">
        <v>7488000</v>
      </c>
      <c r="G78" s="124">
        <f>544140+5860</f>
        <v>550000</v>
      </c>
      <c r="H78" s="125">
        <f>G78/F78</f>
        <v>7.3450854700854704E-2</v>
      </c>
      <c r="I78" s="124">
        <v>0</v>
      </c>
      <c r="J78" s="130">
        <v>0</v>
      </c>
      <c r="K78" s="125">
        <v>1</v>
      </c>
      <c r="L78" s="124"/>
      <c r="M78" s="124">
        <v>0</v>
      </c>
      <c r="N78" s="124">
        <v>0</v>
      </c>
      <c r="O78" s="106" t="s">
        <v>472</v>
      </c>
    </row>
    <row r="79" spans="1:15" ht="39.299999999999997" x14ac:dyDescent="0.25">
      <c r="A79" s="169" t="s">
        <v>29</v>
      </c>
      <c r="B79" s="127" t="s">
        <v>28</v>
      </c>
      <c r="C79" s="128">
        <f>SUM(C80:C80)</f>
        <v>0</v>
      </c>
      <c r="D79" s="128">
        <f>SUM(D80:D80)</f>
        <v>0</v>
      </c>
      <c r="E79" s="129">
        <v>0</v>
      </c>
      <c r="F79" s="128">
        <f>SUM(F80:F80)</f>
        <v>0</v>
      </c>
      <c r="G79" s="128">
        <f>SUM(G80:G80)</f>
        <v>0</v>
      </c>
      <c r="H79" s="129">
        <v>0</v>
      </c>
      <c r="I79" s="128">
        <f>SUM(I80:I80)</f>
        <v>0</v>
      </c>
      <c r="J79" s="128">
        <f>SUM(J80:J80)</f>
        <v>0</v>
      </c>
      <c r="K79" s="129">
        <v>0</v>
      </c>
      <c r="L79" s="121">
        <f>D79+G79+J79</f>
        <v>0</v>
      </c>
      <c r="M79" s="128">
        <f>SUM(M80:M80)</f>
        <v>0</v>
      </c>
      <c r="N79" s="128">
        <f>SUM(N80:N80)</f>
        <v>0</v>
      </c>
      <c r="O79" s="106"/>
    </row>
    <row r="80" spans="1:15" x14ac:dyDescent="0.25">
      <c r="A80" s="168"/>
      <c r="B80" s="123"/>
      <c r="C80" s="124"/>
      <c r="D80" s="124"/>
      <c r="E80" s="125">
        <v>0</v>
      </c>
      <c r="F80" s="124"/>
      <c r="G80" s="124"/>
      <c r="H80" s="125">
        <v>0</v>
      </c>
      <c r="I80" s="124"/>
      <c r="J80" s="124"/>
      <c r="K80" s="125">
        <v>0</v>
      </c>
      <c r="L80" s="124"/>
      <c r="M80" s="124"/>
      <c r="N80" s="124"/>
      <c r="O80" s="106"/>
    </row>
    <row r="81" spans="1:15" ht="26.2" x14ac:dyDescent="0.25">
      <c r="A81" s="169" t="s">
        <v>31</v>
      </c>
      <c r="B81" s="127" t="s">
        <v>30</v>
      </c>
      <c r="C81" s="128">
        <f>SUM(C82:C82)</f>
        <v>0</v>
      </c>
      <c r="D81" s="128">
        <f>SUM(D82:D82)</f>
        <v>0</v>
      </c>
      <c r="E81" s="129">
        <v>0</v>
      </c>
      <c r="F81" s="128">
        <f>SUM(F82:F82)</f>
        <v>0</v>
      </c>
      <c r="G81" s="128">
        <f>SUM(G82:G82)</f>
        <v>0</v>
      </c>
      <c r="H81" s="129">
        <v>0</v>
      </c>
      <c r="I81" s="128">
        <f>SUM(I82:I82)</f>
        <v>0</v>
      </c>
      <c r="J81" s="128">
        <f>SUM(J82:J82)</f>
        <v>0</v>
      </c>
      <c r="K81" s="129">
        <v>0</v>
      </c>
      <c r="L81" s="121">
        <f>D81+G81+J81</f>
        <v>0</v>
      </c>
      <c r="M81" s="128">
        <f>SUM(M82:M82)</f>
        <v>0</v>
      </c>
      <c r="N81" s="128">
        <f>SUM(N82:N82)</f>
        <v>0</v>
      </c>
      <c r="O81" s="106"/>
    </row>
    <row r="82" spans="1:15" ht="13.75" thickBot="1" x14ac:dyDescent="0.3">
      <c r="A82" s="168"/>
      <c r="B82" s="123"/>
      <c r="C82" s="124"/>
      <c r="D82" s="124"/>
      <c r="E82" s="125">
        <v>0</v>
      </c>
      <c r="F82" s="124"/>
      <c r="G82" s="124"/>
      <c r="H82" s="125">
        <v>0</v>
      </c>
      <c r="I82" s="124"/>
      <c r="J82" s="124"/>
      <c r="K82" s="125">
        <v>0</v>
      </c>
      <c r="L82" s="124"/>
      <c r="M82" s="124"/>
      <c r="N82" s="124"/>
      <c r="O82" s="106"/>
    </row>
    <row r="83" spans="1:15" ht="38" thickBot="1" x14ac:dyDescent="0.3">
      <c r="A83" s="166" t="s">
        <v>33</v>
      </c>
      <c r="B83" s="115" t="s">
        <v>32</v>
      </c>
      <c r="C83" s="116">
        <f>C84+C86+C88+C92</f>
        <v>22400000</v>
      </c>
      <c r="D83" s="116">
        <f>D84+D86+D88+D92</f>
        <v>-1250000</v>
      </c>
      <c r="E83" s="117">
        <v>0</v>
      </c>
      <c r="F83" s="116">
        <f>F84+F86+F88+F92</f>
        <v>0</v>
      </c>
      <c r="G83" s="116">
        <f>G84+G86+G88+G92</f>
        <v>700000</v>
      </c>
      <c r="H83" s="117">
        <v>0</v>
      </c>
      <c r="I83" s="116">
        <f>I84+I86+I88+I92</f>
        <v>9270000</v>
      </c>
      <c r="J83" s="116">
        <f>J84+J86+J88+J92</f>
        <v>-603532</v>
      </c>
      <c r="K83" s="118">
        <f>J83/I83</f>
        <v>-6.51059331175836E-2</v>
      </c>
      <c r="L83" s="116">
        <f>D83+G83+J83</f>
        <v>-1153532</v>
      </c>
      <c r="M83" s="116">
        <f>M84+M86+M88+M92</f>
        <v>0</v>
      </c>
      <c r="N83" s="119">
        <f>N84+N86+N88+N92</f>
        <v>0</v>
      </c>
      <c r="O83" s="107"/>
    </row>
    <row r="84" spans="1:15" ht="49.75" x14ac:dyDescent="0.25">
      <c r="A84" s="171" t="s">
        <v>35</v>
      </c>
      <c r="B84" s="132" t="s">
        <v>34</v>
      </c>
      <c r="C84" s="133">
        <f>C85</f>
        <v>0</v>
      </c>
      <c r="D84" s="133">
        <f>D85</f>
        <v>0</v>
      </c>
      <c r="E84" s="134">
        <v>0</v>
      </c>
      <c r="F84" s="133">
        <f>F85</f>
        <v>0</v>
      </c>
      <c r="G84" s="133">
        <f>G85</f>
        <v>0</v>
      </c>
      <c r="H84" s="134">
        <v>0</v>
      </c>
      <c r="I84" s="133">
        <f>I85</f>
        <v>6300000</v>
      </c>
      <c r="J84" s="133">
        <f>J85</f>
        <v>-1000000</v>
      </c>
      <c r="K84" s="134">
        <f>J84/I84</f>
        <v>-0.15873015873015872</v>
      </c>
      <c r="L84" s="121">
        <f>D84+G84+J84</f>
        <v>-1000000</v>
      </c>
      <c r="M84" s="133">
        <f>M85</f>
        <v>0</v>
      </c>
      <c r="N84" s="133">
        <f>N85</f>
        <v>0</v>
      </c>
      <c r="O84" s="106"/>
    </row>
    <row r="85" spans="1:15" ht="26.2" x14ac:dyDescent="0.25">
      <c r="A85" s="168" t="s">
        <v>355</v>
      </c>
      <c r="B85" s="123"/>
      <c r="C85" s="124">
        <v>0</v>
      </c>
      <c r="D85" s="124">
        <v>0</v>
      </c>
      <c r="E85" s="125">
        <v>0</v>
      </c>
      <c r="F85" s="124">
        <v>0</v>
      </c>
      <c r="G85" s="124">
        <v>0</v>
      </c>
      <c r="H85" s="125">
        <v>0</v>
      </c>
      <c r="I85" s="186">
        <v>6300000</v>
      </c>
      <c r="J85" s="183">
        <v>-1000000</v>
      </c>
      <c r="K85" s="125">
        <f>J85/I85</f>
        <v>-0.15873015873015872</v>
      </c>
      <c r="L85" s="124"/>
      <c r="M85" s="124">
        <v>0</v>
      </c>
      <c r="N85" s="124">
        <v>0</v>
      </c>
      <c r="O85" s="106"/>
    </row>
    <row r="86" spans="1:15" ht="52.4" hidden="1" x14ac:dyDescent="0.25">
      <c r="A86" s="172" t="s">
        <v>37</v>
      </c>
      <c r="B86" s="127" t="s">
        <v>36</v>
      </c>
      <c r="C86" s="128">
        <f>C87</f>
        <v>0</v>
      </c>
      <c r="D86" s="128">
        <f>D87</f>
        <v>0</v>
      </c>
      <c r="E86" s="129">
        <v>0</v>
      </c>
      <c r="F86" s="128">
        <f>F87</f>
        <v>0</v>
      </c>
      <c r="G86" s="128">
        <f>G87</f>
        <v>0</v>
      </c>
      <c r="H86" s="129"/>
      <c r="I86" s="128">
        <f>I87</f>
        <v>0</v>
      </c>
      <c r="J86" s="128">
        <f>J87</f>
        <v>0</v>
      </c>
      <c r="K86" s="129">
        <v>0</v>
      </c>
      <c r="L86" s="121">
        <f>D86+G86+J86</f>
        <v>0</v>
      </c>
      <c r="M86" s="128">
        <f>M87</f>
        <v>0</v>
      </c>
      <c r="N86" s="128">
        <f>N87</f>
        <v>0</v>
      </c>
      <c r="O86" s="106"/>
    </row>
    <row r="87" spans="1:15" hidden="1" x14ac:dyDescent="0.25">
      <c r="A87" s="168"/>
      <c r="B87" s="123"/>
      <c r="C87" s="124">
        <v>0</v>
      </c>
      <c r="D87" s="124"/>
      <c r="E87" s="125">
        <v>0</v>
      </c>
      <c r="F87" s="124"/>
      <c r="G87" s="124"/>
      <c r="H87" s="125"/>
      <c r="I87" s="124"/>
      <c r="J87" s="124"/>
      <c r="K87" s="125">
        <v>0</v>
      </c>
      <c r="L87" s="124"/>
      <c r="M87" s="124"/>
      <c r="N87" s="124"/>
      <c r="O87" s="106"/>
    </row>
    <row r="88" spans="1:15" ht="52.4" x14ac:dyDescent="0.25">
      <c r="A88" s="169" t="s">
        <v>39</v>
      </c>
      <c r="B88" s="127" t="s">
        <v>38</v>
      </c>
      <c r="C88" s="128">
        <f>SUM(C89:C91)</f>
        <v>22400000</v>
      </c>
      <c r="D88" s="128">
        <f>SUM(D89:D91)</f>
        <v>-1250000</v>
      </c>
      <c r="E88" s="129">
        <f>D88/C88</f>
        <v>-5.5803571428571432E-2</v>
      </c>
      <c r="F88" s="128">
        <f>SUM(F89:F91)</f>
        <v>0</v>
      </c>
      <c r="G88" s="128">
        <f>SUM(G89:G91)</f>
        <v>700000</v>
      </c>
      <c r="H88" s="129">
        <v>1</v>
      </c>
      <c r="I88" s="128">
        <f>SUM(I89:I91)</f>
        <v>0</v>
      </c>
      <c r="J88" s="128">
        <f>SUM(J89:J91)</f>
        <v>0</v>
      </c>
      <c r="K88" s="129">
        <v>0</v>
      </c>
      <c r="L88" s="121">
        <f>D88+G88+J88</f>
        <v>-550000</v>
      </c>
      <c r="M88" s="128">
        <f>SUM(M89:M91)</f>
        <v>0</v>
      </c>
      <c r="N88" s="128">
        <f>SUM(N89:N91)</f>
        <v>0</v>
      </c>
      <c r="O88" s="106"/>
    </row>
    <row r="89" spans="1:15" ht="26.2" x14ac:dyDescent="0.25">
      <c r="A89" s="168" t="s">
        <v>385</v>
      </c>
      <c r="B89" s="123"/>
      <c r="C89" s="186">
        <v>22400000</v>
      </c>
      <c r="D89" s="186">
        <v>-18000000</v>
      </c>
      <c r="E89" s="125">
        <f>D89/C89</f>
        <v>-0.8035714285714286</v>
      </c>
      <c r="F89" s="124">
        <v>0</v>
      </c>
      <c r="G89" s="124">
        <v>0</v>
      </c>
      <c r="H89" s="125">
        <v>0</v>
      </c>
      <c r="I89" s="124">
        <v>0</v>
      </c>
      <c r="J89" s="124">
        <v>0</v>
      </c>
      <c r="K89" s="125">
        <v>0</v>
      </c>
      <c r="L89" s="124"/>
      <c r="M89" s="124">
        <v>0</v>
      </c>
      <c r="N89" s="124">
        <v>0</v>
      </c>
      <c r="O89" s="106"/>
    </row>
    <row r="90" spans="1:15" ht="26.2" x14ac:dyDescent="0.25">
      <c r="A90" s="168" t="s">
        <v>442</v>
      </c>
      <c r="B90" s="123"/>
      <c r="C90" s="186">
        <v>0</v>
      </c>
      <c r="D90" s="186">
        <v>16750000</v>
      </c>
      <c r="E90" s="125">
        <v>1</v>
      </c>
      <c r="F90" s="124">
        <v>0</v>
      </c>
      <c r="G90" s="124">
        <v>0</v>
      </c>
      <c r="H90" s="125">
        <v>1</v>
      </c>
      <c r="I90" s="124">
        <v>0</v>
      </c>
      <c r="J90" s="124">
        <v>0</v>
      </c>
      <c r="K90" s="125">
        <v>0</v>
      </c>
      <c r="L90" s="126"/>
      <c r="M90" s="124">
        <v>0</v>
      </c>
      <c r="N90" s="124">
        <v>0</v>
      </c>
      <c r="O90" s="106"/>
    </row>
    <row r="91" spans="1:15" x14ac:dyDescent="0.25">
      <c r="A91" s="168" t="s">
        <v>476</v>
      </c>
      <c r="B91" s="123"/>
      <c r="C91" s="186">
        <v>0</v>
      </c>
      <c r="D91" s="186">
        <v>0</v>
      </c>
      <c r="E91" s="125">
        <v>1</v>
      </c>
      <c r="F91" s="124">
        <v>0</v>
      </c>
      <c r="G91" s="124">
        <v>700000</v>
      </c>
      <c r="H91" s="125">
        <v>1</v>
      </c>
      <c r="I91" s="124">
        <v>0</v>
      </c>
      <c r="J91" s="124">
        <v>0</v>
      </c>
      <c r="K91" s="125">
        <v>0</v>
      </c>
      <c r="L91" s="126"/>
      <c r="M91" s="124">
        <v>0</v>
      </c>
      <c r="N91" s="124">
        <v>0</v>
      </c>
      <c r="O91" s="168" t="s">
        <v>475</v>
      </c>
    </row>
    <row r="92" spans="1:15" ht="39.299999999999997" x14ac:dyDescent="0.25">
      <c r="A92" s="169" t="s">
        <v>41</v>
      </c>
      <c r="B92" s="127" t="s">
        <v>40</v>
      </c>
      <c r="C92" s="128">
        <f>SUM(C93:C94)</f>
        <v>0</v>
      </c>
      <c r="D92" s="128">
        <f>SUM(D93:D94)</f>
        <v>0</v>
      </c>
      <c r="E92" s="129">
        <v>0</v>
      </c>
      <c r="F92" s="128">
        <f>SUM(F93:F94)</f>
        <v>0</v>
      </c>
      <c r="G92" s="128">
        <f>SUM(G93:G94)</f>
        <v>0</v>
      </c>
      <c r="H92" s="129">
        <v>0</v>
      </c>
      <c r="I92" s="128">
        <f>SUM(I93:I94)</f>
        <v>2970000</v>
      </c>
      <c r="J92" s="128">
        <f>SUM(J93:J94)</f>
        <v>396468</v>
      </c>
      <c r="K92" s="129">
        <f>J92/I92</f>
        <v>0.1334909090909091</v>
      </c>
      <c r="L92" s="128">
        <f>J92+G92+D92</f>
        <v>396468</v>
      </c>
      <c r="M92" s="128">
        <f>SUM(M93:M94)</f>
        <v>0</v>
      </c>
      <c r="N92" s="128">
        <f>N93</f>
        <v>0</v>
      </c>
      <c r="O92" s="168"/>
    </row>
    <row r="93" spans="1:15" ht="39.299999999999997" x14ac:dyDescent="0.25">
      <c r="A93" s="173" t="s">
        <v>164</v>
      </c>
      <c r="B93" s="135"/>
      <c r="C93" s="136">
        <v>0</v>
      </c>
      <c r="D93" s="136">
        <v>0</v>
      </c>
      <c r="E93" s="137">
        <v>0</v>
      </c>
      <c r="F93" s="136">
        <v>0</v>
      </c>
      <c r="G93" s="136">
        <v>0</v>
      </c>
      <c r="H93" s="137">
        <v>0</v>
      </c>
      <c r="I93" s="187">
        <v>2970000</v>
      </c>
      <c r="J93" s="201">
        <v>96468</v>
      </c>
      <c r="K93" s="137">
        <f>J93/I93</f>
        <v>3.2480808080808082E-2</v>
      </c>
      <c r="L93" s="136"/>
      <c r="M93" s="136">
        <v>0</v>
      </c>
      <c r="N93" s="136">
        <v>0</v>
      </c>
      <c r="O93" s="106"/>
    </row>
    <row r="94" spans="1:15" ht="26.85" thickBot="1" x14ac:dyDescent="0.3">
      <c r="A94" s="173" t="s">
        <v>459</v>
      </c>
      <c r="B94" s="135"/>
      <c r="C94" s="136">
        <v>0</v>
      </c>
      <c r="D94" s="136">
        <v>0</v>
      </c>
      <c r="E94" s="137">
        <v>0</v>
      </c>
      <c r="F94" s="136">
        <v>0</v>
      </c>
      <c r="G94" s="136">
        <v>0</v>
      </c>
      <c r="H94" s="137">
        <v>0</v>
      </c>
      <c r="I94" s="187">
        <v>0</v>
      </c>
      <c r="J94" s="201">
        <f>270000+30000</f>
        <v>300000</v>
      </c>
      <c r="K94" s="137">
        <v>1</v>
      </c>
      <c r="L94" s="136"/>
      <c r="M94" s="136">
        <v>0</v>
      </c>
      <c r="N94" s="136">
        <v>0</v>
      </c>
      <c r="O94" s="107"/>
    </row>
    <row r="95" spans="1:15" ht="38" thickBot="1" x14ac:dyDescent="0.3">
      <c r="A95" s="166" t="s">
        <v>43</v>
      </c>
      <c r="B95" s="139" t="s">
        <v>42</v>
      </c>
      <c r="C95" s="116">
        <f>C96+C98</f>
        <v>0</v>
      </c>
      <c r="D95" s="116">
        <f>D96+D98</f>
        <v>0</v>
      </c>
      <c r="E95" s="117">
        <v>0</v>
      </c>
      <c r="F95" s="116">
        <f>F96+F98</f>
        <v>13262000</v>
      </c>
      <c r="G95" s="116">
        <f>G96+G98</f>
        <v>-8290000</v>
      </c>
      <c r="H95" s="117">
        <f>G95/F95</f>
        <v>-0.62509425426029253</v>
      </c>
      <c r="I95" s="116">
        <f>I96+I98</f>
        <v>6180000</v>
      </c>
      <c r="J95" s="116">
        <f>J96+J98</f>
        <v>7224888</v>
      </c>
      <c r="K95" s="118">
        <f>J95/I95</f>
        <v>1.1690757281553399</v>
      </c>
      <c r="L95" s="116">
        <f>D95+G95+J95</f>
        <v>-1065112</v>
      </c>
      <c r="M95" s="116">
        <f>M96+M98</f>
        <v>0</v>
      </c>
      <c r="N95" s="119">
        <f>N96+N98</f>
        <v>0</v>
      </c>
      <c r="O95" s="107"/>
    </row>
    <row r="96" spans="1:15" ht="39.299999999999997" x14ac:dyDescent="0.25">
      <c r="A96" s="167" t="s">
        <v>45</v>
      </c>
      <c r="B96" s="140" t="s">
        <v>44</v>
      </c>
      <c r="C96" s="121">
        <f>C97</f>
        <v>0</v>
      </c>
      <c r="D96" s="121">
        <f>D97</f>
        <v>0</v>
      </c>
      <c r="E96" s="122">
        <v>0</v>
      </c>
      <c r="F96" s="121">
        <f>F97</f>
        <v>13262000</v>
      </c>
      <c r="G96" s="121">
        <f>G97</f>
        <v>-8290000</v>
      </c>
      <c r="H96" s="122">
        <f>G96/F96</f>
        <v>-0.62509425426029253</v>
      </c>
      <c r="I96" s="121">
        <f>I97</f>
        <v>1480000</v>
      </c>
      <c r="J96" s="121">
        <f>J97</f>
        <v>279000</v>
      </c>
      <c r="K96" s="122">
        <f>J96/I96</f>
        <v>0.1885135135135135</v>
      </c>
      <c r="L96" s="121">
        <f>D96+G96+J96</f>
        <v>-8011000</v>
      </c>
      <c r="M96" s="121">
        <f>M97</f>
        <v>0</v>
      </c>
      <c r="N96" s="121">
        <f>N97</f>
        <v>0</v>
      </c>
      <c r="O96" s="106"/>
    </row>
    <row r="97" spans="1:15" ht="39.299999999999997" x14ac:dyDescent="0.25">
      <c r="A97" s="168" t="s">
        <v>157</v>
      </c>
      <c r="B97" s="141"/>
      <c r="C97" s="124">
        <v>0</v>
      </c>
      <c r="D97" s="124">
        <v>0</v>
      </c>
      <c r="E97" s="125">
        <v>0</v>
      </c>
      <c r="F97" s="124">
        <v>13262000</v>
      </c>
      <c r="G97" s="124">
        <v>-8290000</v>
      </c>
      <c r="H97" s="125">
        <f>G97/F97</f>
        <v>-0.62509425426029253</v>
      </c>
      <c r="I97" s="124">
        <v>1480000</v>
      </c>
      <c r="J97" s="183">
        <v>279000</v>
      </c>
      <c r="K97" s="125">
        <f>J97/I97</f>
        <v>0.1885135135135135</v>
      </c>
      <c r="L97" s="124"/>
      <c r="M97" s="124">
        <v>0</v>
      </c>
      <c r="N97" s="124">
        <v>0</v>
      </c>
      <c r="O97" s="106" t="s">
        <v>471</v>
      </c>
    </row>
    <row r="98" spans="1:15" ht="26.2" x14ac:dyDescent="0.25">
      <c r="A98" s="169" t="s">
        <v>47</v>
      </c>
      <c r="B98" s="142" t="s">
        <v>46</v>
      </c>
      <c r="C98" s="128">
        <f>C99</f>
        <v>0</v>
      </c>
      <c r="D98" s="128">
        <f>D99</f>
        <v>0</v>
      </c>
      <c r="E98" s="129">
        <v>0</v>
      </c>
      <c r="F98" s="128">
        <f>F99</f>
        <v>0</v>
      </c>
      <c r="G98" s="128">
        <f>G99</f>
        <v>0</v>
      </c>
      <c r="H98" s="129">
        <v>0</v>
      </c>
      <c r="I98" s="128">
        <f>I99</f>
        <v>4700000</v>
      </c>
      <c r="J98" s="128">
        <f>J99</f>
        <v>6945888</v>
      </c>
      <c r="K98" s="129">
        <f>J98/I98</f>
        <v>1.4778485106382979</v>
      </c>
      <c r="L98" s="121">
        <f>D98+G98+J98</f>
        <v>6945888</v>
      </c>
      <c r="M98" s="128">
        <f>M99</f>
        <v>0</v>
      </c>
      <c r="N98" s="128">
        <f>N99</f>
        <v>0</v>
      </c>
      <c r="O98" s="106"/>
    </row>
    <row r="99" spans="1:15" ht="26.85" thickBot="1" x14ac:dyDescent="0.3">
      <c r="A99" s="173" t="s">
        <v>158</v>
      </c>
      <c r="B99" s="143"/>
      <c r="C99" s="136">
        <v>0</v>
      </c>
      <c r="D99" s="136">
        <v>0</v>
      </c>
      <c r="E99" s="137">
        <v>0</v>
      </c>
      <c r="F99" s="136">
        <v>0</v>
      </c>
      <c r="G99" s="136">
        <v>0</v>
      </c>
      <c r="H99" s="137">
        <v>0</v>
      </c>
      <c r="I99" s="136">
        <v>4700000</v>
      </c>
      <c r="J99" s="201">
        <v>6945888</v>
      </c>
      <c r="K99" s="137">
        <f>J99/I99</f>
        <v>1.4778485106382979</v>
      </c>
      <c r="L99" s="136"/>
      <c r="M99" s="136">
        <v>0</v>
      </c>
      <c r="N99" s="136">
        <v>0</v>
      </c>
      <c r="O99" s="106"/>
    </row>
    <row r="100" spans="1:15" ht="50.4" thickBot="1" x14ac:dyDescent="0.3">
      <c r="A100" s="166" t="s">
        <v>49</v>
      </c>
      <c r="B100" s="115" t="s">
        <v>48</v>
      </c>
      <c r="C100" s="144">
        <f>C101+C104</f>
        <v>0</v>
      </c>
      <c r="D100" s="144">
        <f>D101+D104</f>
        <v>547722</v>
      </c>
      <c r="E100" s="117">
        <v>0</v>
      </c>
      <c r="F100" s="144">
        <f>F101+F104</f>
        <v>0</v>
      </c>
      <c r="G100" s="144">
        <f>G101+G104</f>
        <v>0</v>
      </c>
      <c r="H100" s="117">
        <v>0</v>
      </c>
      <c r="I100" s="144">
        <f>I101+I104</f>
        <v>760000</v>
      </c>
      <c r="J100" s="144">
        <f>J101+J104</f>
        <v>76000</v>
      </c>
      <c r="K100" s="118">
        <v>1</v>
      </c>
      <c r="L100" s="116">
        <f>D100+G100+J100</f>
        <v>623722</v>
      </c>
      <c r="M100" s="144">
        <f>M101+M104</f>
        <v>0</v>
      </c>
      <c r="N100" s="145">
        <f>N101+N104</f>
        <v>0</v>
      </c>
      <c r="O100" s="107"/>
    </row>
    <row r="101" spans="1:15" ht="65.45" x14ac:dyDescent="0.25">
      <c r="A101" s="167" t="s">
        <v>51</v>
      </c>
      <c r="B101" s="140" t="s">
        <v>50</v>
      </c>
      <c r="C101" s="121">
        <f>SUM(C102:C103)</f>
        <v>0</v>
      </c>
      <c r="D101" s="121">
        <f>SUM(D102:D103)</f>
        <v>547722</v>
      </c>
      <c r="E101" s="122">
        <v>0</v>
      </c>
      <c r="F101" s="121">
        <f>SUM(F102:F103)</f>
        <v>0</v>
      </c>
      <c r="G101" s="121">
        <v>0</v>
      </c>
      <c r="H101" s="122">
        <v>0</v>
      </c>
      <c r="I101" s="121">
        <f>SUM(I102:I103)</f>
        <v>760000</v>
      </c>
      <c r="J101" s="121">
        <f>SUM(J102:J103)</f>
        <v>76000</v>
      </c>
      <c r="K101" s="122">
        <f>J101/I101</f>
        <v>0.1</v>
      </c>
      <c r="L101" s="121">
        <f>D101+G101+J101</f>
        <v>623722</v>
      </c>
      <c r="M101" s="121">
        <f>SUM(M102:M103)</f>
        <v>0</v>
      </c>
      <c r="N101" s="121">
        <f>SUM(N102:N103)</f>
        <v>0</v>
      </c>
      <c r="O101" s="106"/>
    </row>
    <row r="102" spans="1:15" ht="39.950000000000003" thickBot="1" x14ac:dyDescent="0.3">
      <c r="A102" s="168" t="s">
        <v>208</v>
      </c>
      <c r="B102" s="146"/>
      <c r="C102" s="124">
        <v>0</v>
      </c>
      <c r="D102" s="186">
        <v>547722</v>
      </c>
      <c r="E102" s="125">
        <v>1</v>
      </c>
      <c r="F102" s="124">
        <v>0</v>
      </c>
      <c r="G102" s="124">
        <v>0</v>
      </c>
      <c r="H102" s="125">
        <v>0</v>
      </c>
      <c r="I102" s="124">
        <v>760000</v>
      </c>
      <c r="J102" s="183">
        <v>76000</v>
      </c>
      <c r="K102" s="125">
        <f>J102/I102</f>
        <v>0.1</v>
      </c>
      <c r="L102" s="124"/>
      <c r="M102" s="124">
        <v>0</v>
      </c>
      <c r="N102" s="124">
        <v>0</v>
      </c>
      <c r="O102" s="106"/>
    </row>
    <row r="103" spans="1:15" hidden="1" x14ac:dyDescent="0.25">
      <c r="A103" s="168" t="s">
        <v>358</v>
      </c>
      <c r="B103" s="146"/>
      <c r="C103" s="124">
        <v>0</v>
      </c>
      <c r="D103" s="124">
        <v>0</v>
      </c>
      <c r="E103" s="125">
        <v>0</v>
      </c>
      <c r="F103" s="124">
        <v>0</v>
      </c>
      <c r="G103" s="124">
        <v>0</v>
      </c>
      <c r="H103" s="125">
        <v>0</v>
      </c>
      <c r="I103" s="124">
        <v>0</v>
      </c>
      <c r="J103" s="124">
        <v>0</v>
      </c>
      <c r="K103" s="125">
        <v>0</v>
      </c>
      <c r="L103" s="124"/>
      <c r="M103" s="124">
        <v>0</v>
      </c>
      <c r="N103" s="124">
        <v>0</v>
      </c>
      <c r="O103" s="106"/>
    </row>
    <row r="104" spans="1:15" ht="52.4" hidden="1" x14ac:dyDescent="0.25">
      <c r="A104" s="169" t="s">
        <v>53</v>
      </c>
      <c r="B104" s="142" t="s">
        <v>52</v>
      </c>
      <c r="C104" s="128">
        <f>SUM(C105:C105)</f>
        <v>0</v>
      </c>
      <c r="D104" s="128">
        <f>SUM(D105:D105)</f>
        <v>0</v>
      </c>
      <c r="E104" s="129">
        <v>0</v>
      </c>
      <c r="F104" s="128">
        <f>SUM(F105:F105)</f>
        <v>0</v>
      </c>
      <c r="G104" s="128">
        <f>SUM(G105:G105)</f>
        <v>0</v>
      </c>
      <c r="H104" s="129"/>
      <c r="I104" s="128">
        <f>SUM(I105:I105)</f>
        <v>0</v>
      </c>
      <c r="J104" s="128">
        <f>SUM(J105:J105)</f>
        <v>0</v>
      </c>
      <c r="K104" s="129">
        <v>0</v>
      </c>
      <c r="L104" s="121">
        <f>D104+G104+J104</f>
        <v>0</v>
      </c>
      <c r="M104" s="128">
        <f>SUM(M105:M105)</f>
        <v>0</v>
      </c>
      <c r="N104" s="128">
        <f>SUM(N105:N105)</f>
        <v>0</v>
      </c>
      <c r="O104" s="106"/>
    </row>
    <row r="105" spans="1:15" ht="14.25" hidden="1" customHeight="1" thickBot="1" x14ac:dyDescent="0.3">
      <c r="A105" s="168"/>
      <c r="B105" s="146"/>
      <c r="C105" s="124"/>
      <c r="D105" s="124"/>
      <c r="E105" s="125">
        <v>0</v>
      </c>
      <c r="F105" s="124"/>
      <c r="G105" s="124"/>
      <c r="H105" s="125"/>
      <c r="I105" s="124"/>
      <c r="J105" s="124"/>
      <c r="K105" s="125">
        <v>0</v>
      </c>
      <c r="L105" s="124"/>
      <c r="M105" s="124"/>
      <c r="N105" s="124"/>
      <c r="O105" s="106"/>
    </row>
    <row r="106" spans="1:15" ht="38" thickBot="1" x14ac:dyDescent="0.3">
      <c r="A106" s="166" t="s">
        <v>55</v>
      </c>
      <c r="B106" s="115" t="s">
        <v>54</v>
      </c>
      <c r="C106" s="116">
        <f>C107+C112</f>
        <v>0</v>
      </c>
      <c r="D106" s="116">
        <f>D107+D112</f>
        <v>0</v>
      </c>
      <c r="E106" s="117">
        <v>0</v>
      </c>
      <c r="F106" s="116">
        <f>F107+F112</f>
        <v>2751400</v>
      </c>
      <c r="G106" s="116">
        <f>G107+G112</f>
        <v>3130424</v>
      </c>
      <c r="H106" s="117">
        <f>G106/F106</f>
        <v>1.1377567783673765</v>
      </c>
      <c r="I106" s="116">
        <f>I107+I112</f>
        <v>0</v>
      </c>
      <c r="J106" s="116">
        <f>J107+J112</f>
        <v>0</v>
      </c>
      <c r="K106" s="118">
        <v>0</v>
      </c>
      <c r="L106" s="116">
        <f>D106+G106+J106</f>
        <v>3130424</v>
      </c>
      <c r="M106" s="116">
        <f>M107+M112</f>
        <v>0</v>
      </c>
      <c r="N106" s="119">
        <f>N107+N112</f>
        <v>0</v>
      </c>
      <c r="O106" s="107"/>
    </row>
    <row r="107" spans="1:15" ht="91.5" customHeight="1" x14ac:dyDescent="0.25">
      <c r="A107" s="167" t="s">
        <v>57</v>
      </c>
      <c r="B107" s="120" t="s">
        <v>56</v>
      </c>
      <c r="C107" s="121">
        <f>SUM(C108:C111)</f>
        <v>0</v>
      </c>
      <c r="D107" s="121">
        <f>SUM(D108:D111)</f>
        <v>0</v>
      </c>
      <c r="E107" s="122">
        <v>0</v>
      </c>
      <c r="F107" s="121">
        <f>SUM(F108:F111)</f>
        <v>300000</v>
      </c>
      <c r="G107" s="121">
        <f>SUM(G108:G111)</f>
        <v>2189424</v>
      </c>
      <c r="H107" s="122">
        <f>G107/F107</f>
        <v>7.2980799999999997</v>
      </c>
      <c r="I107" s="121">
        <f>SUM(I108:I111)</f>
        <v>0</v>
      </c>
      <c r="J107" s="121">
        <f>SUM(J108:J111)</f>
        <v>0</v>
      </c>
      <c r="K107" s="122">
        <v>0</v>
      </c>
      <c r="L107" s="121">
        <f>D107+G107+J107</f>
        <v>2189424</v>
      </c>
      <c r="M107" s="121">
        <f>SUM(M108:M111)</f>
        <v>0</v>
      </c>
      <c r="N107" s="121">
        <f>SUM(N108:N111)</f>
        <v>0</v>
      </c>
      <c r="O107" s="106"/>
    </row>
    <row r="108" spans="1:15" ht="19.5" customHeight="1" x14ac:dyDescent="0.25">
      <c r="A108" s="168" t="s">
        <v>462</v>
      </c>
      <c r="B108" s="147"/>
      <c r="C108" s="124"/>
      <c r="D108" s="124"/>
      <c r="E108" s="125">
        <v>0</v>
      </c>
      <c r="F108" s="124">
        <v>300000</v>
      </c>
      <c r="G108" s="124">
        <v>2189424</v>
      </c>
      <c r="H108" s="125">
        <f>G108/F108</f>
        <v>7.2980799999999997</v>
      </c>
      <c r="I108" s="124"/>
      <c r="J108" s="124"/>
      <c r="K108" s="125">
        <v>0</v>
      </c>
      <c r="L108" s="124"/>
      <c r="M108" s="124"/>
      <c r="N108" s="124"/>
      <c r="O108" s="106" t="s">
        <v>477</v>
      </c>
    </row>
    <row r="109" spans="1:15" hidden="1" x14ac:dyDescent="0.25">
      <c r="A109" s="168"/>
      <c r="B109" s="147"/>
      <c r="C109" s="124"/>
      <c r="D109" s="124"/>
      <c r="E109" s="125">
        <v>0</v>
      </c>
      <c r="F109" s="124"/>
      <c r="G109" s="124"/>
      <c r="H109" s="125"/>
      <c r="I109" s="124"/>
      <c r="J109" s="124"/>
      <c r="K109" s="125">
        <v>0</v>
      </c>
      <c r="L109" s="124"/>
      <c r="M109" s="124"/>
      <c r="N109" s="124"/>
      <c r="O109" s="106"/>
    </row>
    <row r="110" spans="1:15" hidden="1" x14ac:dyDescent="0.25">
      <c r="A110" s="168"/>
      <c r="B110" s="147"/>
      <c r="C110" s="124"/>
      <c r="D110" s="124"/>
      <c r="E110" s="125">
        <v>0</v>
      </c>
      <c r="F110" s="124"/>
      <c r="G110" s="124"/>
      <c r="H110" s="125"/>
      <c r="I110" s="124"/>
      <c r="J110" s="124"/>
      <c r="K110" s="125">
        <v>0</v>
      </c>
      <c r="L110" s="124"/>
      <c r="M110" s="124"/>
      <c r="N110" s="124"/>
      <c r="O110" s="106"/>
    </row>
    <row r="111" spans="1:15" ht="1" customHeight="1" x14ac:dyDescent="0.25">
      <c r="A111" s="168"/>
      <c r="B111" s="147"/>
      <c r="C111" s="124"/>
      <c r="D111" s="124"/>
      <c r="E111" s="125">
        <v>0</v>
      </c>
      <c r="F111" s="124"/>
      <c r="G111" s="124"/>
      <c r="H111" s="125"/>
      <c r="I111" s="124"/>
      <c r="J111" s="124"/>
      <c r="K111" s="125">
        <v>0</v>
      </c>
      <c r="L111" s="124"/>
      <c r="M111" s="124"/>
      <c r="N111" s="124"/>
      <c r="O111" s="106"/>
    </row>
    <row r="112" spans="1:15" ht="52.4" x14ac:dyDescent="0.25">
      <c r="A112" s="169" t="s">
        <v>59</v>
      </c>
      <c r="B112" s="127" t="s">
        <v>58</v>
      </c>
      <c r="C112" s="128">
        <f>SUM(C113:C113)</f>
        <v>0</v>
      </c>
      <c r="D112" s="128">
        <f>SUM(D113:D113)</f>
        <v>0</v>
      </c>
      <c r="E112" s="129">
        <v>0</v>
      </c>
      <c r="F112" s="128">
        <f>F114</f>
        <v>2451400</v>
      </c>
      <c r="G112" s="128">
        <f>G114</f>
        <v>941000</v>
      </c>
      <c r="H112" s="129">
        <f>G112/F112</f>
        <v>0.38386228277718853</v>
      </c>
      <c r="I112" s="128">
        <f>SUM(I113:I113)</f>
        <v>0</v>
      </c>
      <c r="J112" s="128">
        <f>SUM(J113:J113)</f>
        <v>0</v>
      </c>
      <c r="K112" s="129">
        <v>0</v>
      </c>
      <c r="L112" s="121">
        <f>D112+G112+J112</f>
        <v>941000</v>
      </c>
      <c r="M112" s="128">
        <f>SUM(M113:M113)</f>
        <v>0</v>
      </c>
      <c r="N112" s="128">
        <f>SUM(N113:N113)</f>
        <v>0</v>
      </c>
      <c r="O112" s="106"/>
    </row>
    <row r="113" spans="1:15" hidden="1" x14ac:dyDescent="0.25">
      <c r="A113" s="174"/>
      <c r="B113" s="147"/>
      <c r="C113" s="124">
        <v>0</v>
      </c>
      <c r="D113" s="124">
        <v>0</v>
      </c>
      <c r="E113" s="125">
        <v>0</v>
      </c>
      <c r="F113" s="124">
        <v>0</v>
      </c>
      <c r="G113" s="124">
        <v>0</v>
      </c>
      <c r="H113" s="125" t="e">
        <f>G113/F113</f>
        <v>#DIV/0!</v>
      </c>
      <c r="I113" s="124">
        <v>0</v>
      </c>
      <c r="J113" s="124">
        <v>0</v>
      </c>
      <c r="K113" s="125">
        <v>0</v>
      </c>
      <c r="L113" s="124"/>
      <c r="M113" s="124">
        <v>0</v>
      </c>
      <c r="N113" s="124">
        <v>0</v>
      </c>
      <c r="O113" s="106"/>
    </row>
    <row r="114" spans="1:15" ht="26.85" thickBot="1" x14ac:dyDescent="0.3">
      <c r="A114" s="174" t="s">
        <v>407</v>
      </c>
      <c r="B114" s="147"/>
      <c r="C114" s="124">
        <v>0</v>
      </c>
      <c r="D114" s="124">
        <v>0</v>
      </c>
      <c r="E114" s="125">
        <v>0</v>
      </c>
      <c r="F114" s="124">
        <v>2451400</v>
      </c>
      <c r="G114" s="124">
        <f>-550000+600000+600000+520400-229400</f>
        <v>941000</v>
      </c>
      <c r="H114" s="125">
        <f>G114/F114</f>
        <v>0.38386228277718853</v>
      </c>
      <c r="I114" s="124">
        <v>0</v>
      </c>
      <c r="J114" s="124">
        <v>0</v>
      </c>
      <c r="K114" s="125">
        <v>0</v>
      </c>
      <c r="L114" s="124"/>
      <c r="M114" s="124">
        <v>0</v>
      </c>
      <c r="N114" s="124">
        <v>0</v>
      </c>
      <c r="O114" s="107" t="s">
        <v>521</v>
      </c>
    </row>
    <row r="115" spans="1:15" ht="38" hidden="1" thickBot="1" x14ac:dyDescent="0.3">
      <c r="A115" s="166" t="s">
        <v>61</v>
      </c>
      <c r="B115" s="148" t="s">
        <v>60</v>
      </c>
      <c r="C115" s="116">
        <f>C116+C118+C120</f>
        <v>0</v>
      </c>
      <c r="D115" s="116">
        <f>D116+D118+D120</f>
        <v>0</v>
      </c>
      <c r="E115" s="117">
        <v>0</v>
      </c>
      <c r="F115" s="116">
        <f>F116+F118+F120</f>
        <v>0</v>
      </c>
      <c r="G115" s="116">
        <f>G116+G118+G120</f>
        <v>0</v>
      </c>
      <c r="H115" s="117">
        <v>0</v>
      </c>
      <c r="I115" s="116">
        <f>I116+I118+I120</f>
        <v>0</v>
      </c>
      <c r="J115" s="116">
        <f>J116+J118+J120</f>
        <v>0</v>
      </c>
      <c r="K115" s="117">
        <v>1</v>
      </c>
      <c r="L115" s="149">
        <f>D115+G115+J115</f>
        <v>0</v>
      </c>
      <c r="M115" s="116">
        <f>M116+M118+M120</f>
        <v>0</v>
      </c>
      <c r="N115" s="119">
        <f>N116+N118+N120</f>
        <v>0</v>
      </c>
      <c r="O115" s="107"/>
    </row>
    <row r="116" spans="1:15" ht="39.299999999999997" hidden="1" x14ac:dyDescent="0.25">
      <c r="A116" s="167" t="s">
        <v>304</v>
      </c>
      <c r="B116" s="140" t="s">
        <v>62</v>
      </c>
      <c r="C116" s="121">
        <f>C117</f>
        <v>0</v>
      </c>
      <c r="D116" s="121">
        <f>D117</f>
        <v>0</v>
      </c>
      <c r="E116" s="122">
        <v>0</v>
      </c>
      <c r="F116" s="121">
        <f>F117</f>
        <v>0</v>
      </c>
      <c r="G116" s="121">
        <f>G117</f>
        <v>0</v>
      </c>
      <c r="H116" s="122">
        <v>0</v>
      </c>
      <c r="I116" s="121">
        <f>I117</f>
        <v>0</v>
      </c>
      <c r="J116" s="121">
        <f>J117</f>
        <v>0</v>
      </c>
      <c r="K116" s="122">
        <v>1</v>
      </c>
      <c r="L116" s="121">
        <f>D116+G116+J116</f>
        <v>0</v>
      </c>
      <c r="M116" s="121">
        <f>M117</f>
        <v>0</v>
      </c>
      <c r="N116" s="121">
        <f>N117</f>
        <v>0</v>
      </c>
      <c r="O116" s="106"/>
    </row>
    <row r="117" spans="1:15" ht="26.2" hidden="1" x14ac:dyDescent="0.25">
      <c r="A117" s="168" t="s">
        <v>163</v>
      </c>
      <c r="B117" s="146"/>
      <c r="C117" s="124"/>
      <c r="D117" s="124"/>
      <c r="E117" s="125">
        <v>0</v>
      </c>
      <c r="F117" s="124"/>
      <c r="G117" s="124"/>
      <c r="H117" s="125">
        <v>0</v>
      </c>
      <c r="I117" s="124">
        <v>0</v>
      </c>
      <c r="J117" s="130"/>
      <c r="K117" s="125">
        <v>1</v>
      </c>
      <c r="L117" s="124"/>
      <c r="M117" s="124"/>
      <c r="N117" s="124"/>
      <c r="O117" s="106"/>
    </row>
    <row r="118" spans="1:15" ht="39.299999999999997" hidden="1" x14ac:dyDescent="0.25">
      <c r="A118" s="169" t="s">
        <v>64</v>
      </c>
      <c r="B118" s="142" t="s">
        <v>63</v>
      </c>
      <c r="C118" s="128">
        <f>SUM(C119:C119)</f>
        <v>0</v>
      </c>
      <c r="D118" s="128">
        <f>SUM(D119:D119)</f>
        <v>0</v>
      </c>
      <c r="E118" s="129">
        <v>0</v>
      </c>
      <c r="F118" s="128">
        <f>SUM(F119:F119)</f>
        <v>0</v>
      </c>
      <c r="G118" s="128">
        <f>SUM(G119:G119)</f>
        <v>0</v>
      </c>
      <c r="H118" s="129"/>
      <c r="I118" s="128">
        <f>SUM(I119:I119)</f>
        <v>0</v>
      </c>
      <c r="J118" s="128">
        <f>SUM(J119:J119)</f>
        <v>0</v>
      </c>
      <c r="K118" s="129">
        <v>0</v>
      </c>
      <c r="L118" s="121">
        <f>D118+G118+J118</f>
        <v>0</v>
      </c>
      <c r="M118" s="128">
        <f>SUM(M119:M119)</f>
        <v>0</v>
      </c>
      <c r="N118" s="128">
        <f>SUM(N119:N119)</f>
        <v>0</v>
      </c>
      <c r="O118" s="106"/>
    </row>
    <row r="119" spans="1:15" hidden="1" x14ac:dyDescent="0.25">
      <c r="A119" s="168"/>
      <c r="B119" s="146"/>
      <c r="C119" s="124"/>
      <c r="D119" s="124"/>
      <c r="E119" s="125">
        <v>0</v>
      </c>
      <c r="F119" s="124"/>
      <c r="G119" s="124"/>
      <c r="H119" s="125"/>
      <c r="I119" s="124"/>
      <c r="J119" s="124"/>
      <c r="K119" s="125">
        <v>0</v>
      </c>
      <c r="L119" s="124"/>
      <c r="M119" s="124"/>
      <c r="N119" s="124"/>
      <c r="O119" s="106"/>
    </row>
    <row r="120" spans="1:15" ht="39.299999999999997" hidden="1" x14ac:dyDescent="0.25">
      <c r="A120" s="169" t="s">
        <v>305</v>
      </c>
      <c r="B120" s="142" t="s">
        <v>65</v>
      </c>
      <c r="C120" s="128">
        <f>SUM(C121:C121)</f>
        <v>0</v>
      </c>
      <c r="D120" s="128">
        <f>SUM(D121:D121)</f>
        <v>0</v>
      </c>
      <c r="E120" s="129">
        <v>0</v>
      </c>
      <c r="F120" s="128">
        <f>SUM(F121:F121)</f>
        <v>0</v>
      </c>
      <c r="G120" s="128">
        <f>SUM(G121:G121)</f>
        <v>0</v>
      </c>
      <c r="H120" s="129"/>
      <c r="I120" s="128">
        <f>SUM(I121:I121)</f>
        <v>0</v>
      </c>
      <c r="J120" s="128">
        <f>SUM(J121:J121)</f>
        <v>0</v>
      </c>
      <c r="K120" s="129">
        <v>0</v>
      </c>
      <c r="L120" s="121">
        <f>D120+G120+J120</f>
        <v>0</v>
      </c>
      <c r="M120" s="128">
        <f>SUM(M121:M121)</f>
        <v>0</v>
      </c>
      <c r="N120" s="128">
        <f>SUM(N121:N121)</f>
        <v>0</v>
      </c>
      <c r="O120" s="106"/>
    </row>
    <row r="121" spans="1:15" ht="13.75" hidden="1" thickBot="1" x14ac:dyDescent="0.3">
      <c r="A121" s="168"/>
      <c r="B121" s="146"/>
      <c r="C121" s="124"/>
      <c r="D121" s="124"/>
      <c r="E121" s="125">
        <v>0</v>
      </c>
      <c r="F121" s="124"/>
      <c r="G121" s="124"/>
      <c r="H121" s="125"/>
      <c r="I121" s="124"/>
      <c r="J121" s="124"/>
      <c r="K121" s="125">
        <v>0</v>
      </c>
      <c r="L121" s="124"/>
      <c r="M121" s="124"/>
      <c r="N121" s="124"/>
      <c r="O121" s="106"/>
    </row>
    <row r="122" spans="1:15" ht="38" thickBot="1" x14ac:dyDescent="0.3">
      <c r="A122" s="166" t="s">
        <v>67</v>
      </c>
      <c r="B122" s="115" t="s">
        <v>66</v>
      </c>
      <c r="C122" s="116">
        <f>C123+C125</f>
        <v>0</v>
      </c>
      <c r="D122" s="116">
        <f>D123+D125</f>
        <v>0</v>
      </c>
      <c r="E122" s="117">
        <v>0</v>
      </c>
      <c r="F122" s="116">
        <f>F123+F125</f>
        <v>45000</v>
      </c>
      <c r="G122" s="116">
        <f>G123+G125</f>
        <v>-20205</v>
      </c>
      <c r="H122" s="117">
        <f>G122/F122</f>
        <v>-0.44900000000000001</v>
      </c>
      <c r="I122" s="116">
        <f>I123+I125</f>
        <v>0</v>
      </c>
      <c r="J122" s="116">
        <f>J123+J125</f>
        <v>0</v>
      </c>
      <c r="K122" s="117">
        <v>0</v>
      </c>
      <c r="L122" s="149">
        <f>D122+G122+J122</f>
        <v>-20205</v>
      </c>
      <c r="M122" s="116">
        <f>M123+M125</f>
        <v>0</v>
      </c>
      <c r="N122" s="119">
        <f>N123+N125</f>
        <v>0</v>
      </c>
      <c r="O122" s="107"/>
    </row>
    <row r="123" spans="1:15" ht="39.299999999999997" x14ac:dyDescent="0.25">
      <c r="A123" s="167" t="s">
        <v>306</v>
      </c>
      <c r="B123" s="120" t="s">
        <v>68</v>
      </c>
      <c r="C123" s="121">
        <f>C124</f>
        <v>0</v>
      </c>
      <c r="D123" s="121">
        <f>D124</f>
        <v>0</v>
      </c>
      <c r="E123" s="122">
        <v>0</v>
      </c>
      <c r="F123" s="121">
        <f>F124</f>
        <v>45000</v>
      </c>
      <c r="G123" s="121">
        <f>G124</f>
        <v>-20205</v>
      </c>
      <c r="H123" s="122">
        <f>G123/F123</f>
        <v>-0.44900000000000001</v>
      </c>
      <c r="I123" s="121">
        <f>I124</f>
        <v>0</v>
      </c>
      <c r="J123" s="121">
        <f>J124</f>
        <v>0</v>
      </c>
      <c r="K123" s="122">
        <v>0</v>
      </c>
      <c r="L123" s="121">
        <f>D123+G123+J123</f>
        <v>-20205</v>
      </c>
      <c r="M123" s="121">
        <f>M124</f>
        <v>0</v>
      </c>
      <c r="N123" s="121">
        <f>N124</f>
        <v>0</v>
      </c>
      <c r="O123" s="106"/>
    </row>
    <row r="124" spans="1:15" ht="13.75" thickBot="1" x14ac:dyDescent="0.3">
      <c r="A124" s="168" t="s">
        <v>359</v>
      </c>
      <c r="B124" s="123"/>
      <c r="C124" s="124">
        <v>0</v>
      </c>
      <c r="D124" s="124">
        <v>0</v>
      </c>
      <c r="E124" s="125">
        <v>0</v>
      </c>
      <c r="F124" s="124">
        <v>45000</v>
      </c>
      <c r="G124" s="124">
        <v>-20205</v>
      </c>
      <c r="H124" s="125">
        <f>G124/F124</f>
        <v>-0.44900000000000001</v>
      </c>
      <c r="I124" s="124">
        <v>0</v>
      </c>
      <c r="J124" s="124">
        <v>0</v>
      </c>
      <c r="K124" s="125">
        <v>1</v>
      </c>
      <c r="L124" s="124"/>
      <c r="M124" s="124">
        <v>0</v>
      </c>
      <c r="N124" s="124">
        <v>0</v>
      </c>
      <c r="O124" s="106" t="s">
        <v>468</v>
      </c>
    </row>
    <row r="125" spans="1:15" ht="24.9" hidden="1" x14ac:dyDescent="0.25">
      <c r="A125" s="175" t="s">
        <v>70</v>
      </c>
      <c r="B125" s="150" t="s">
        <v>69</v>
      </c>
      <c r="C125" s="151">
        <f>C126</f>
        <v>0</v>
      </c>
      <c r="D125" s="151">
        <f>D126</f>
        <v>0</v>
      </c>
      <c r="E125" s="152">
        <v>1</v>
      </c>
      <c r="F125" s="151">
        <f>F126</f>
        <v>0</v>
      </c>
      <c r="G125" s="151">
        <f>G126</f>
        <v>0</v>
      </c>
      <c r="H125" s="152">
        <v>0</v>
      </c>
      <c r="I125" s="151">
        <f>I126</f>
        <v>0</v>
      </c>
      <c r="J125" s="151">
        <f>J126</f>
        <v>0</v>
      </c>
      <c r="K125" s="152">
        <v>0</v>
      </c>
      <c r="L125" s="121">
        <f>D125+G125+J125</f>
        <v>0</v>
      </c>
      <c r="M125" s="151">
        <f>M126</f>
        <v>0</v>
      </c>
      <c r="N125" s="151">
        <f>N126</f>
        <v>0</v>
      </c>
      <c r="O125" s="106"/>
    </row>
    <row r="126" spans="1:15" ht="26.85" hidden="1" thickBot="1" x14ac:dyDescent="0.3">
      <c r="A126" s="173" t="s">
        <v>137</v>
      </c>
      <c r="B126" s="135" t="s">
        <v>71</v>
      </c>
      <c r="C126" s="136">
        <v>0</v>
      </c>
      <c r="D126" s="138">
        <v>0</v>
      </c>
      <c r="E126" s="137">
        <v>1</v>
      </c>
      <c r="F126" s="136">
        <v>0</v>
      </c>
      <c r="G126" s="136">
        <v>0</v>
      </c>
      <c r="H126" s="137">
        <v>0</v>
      </c>
      <c r="I126" s="136">
        <v>0</v>
      </c>
      <c r="J126" s="136">
        <v>0</v>
      </c>
      <c r="K126" s="137">
        <v>1</v>
      </c>
      <c r="L126" s="136"/>
      <c r="M126" s="136">
        <v>0</v>
      </c>
      <c r="N126" s="136">
        <v>0</v>
      </c>
      <c r="O126" s="106"/>
    </row>
    <row r="127" spans="1:15" ht="25.55" thickBot="1" x14ac:dyDescent="0.3">
      <c r="A127" s="176" t="s">
        <v>73</v>
      </c>
      <c r="B127" s="115" t="s">
        <v>72</v>
      </c>
      <c r="C127" s="116">
        <f>C128+C134+C137+C139</f>
        <v>0</v>
      </c>
      <c r="D127" s="116">
        <f>D128+D134+D137+D139</f>
        <v>0</v>
      </c>
      <c r="E127" s="117">
        <v>0</v>
      </c>
      <c r="F127" s="116">
        <f>F128+F134+F137+F139</f>
        <v>0</v>
      </c>
      <c r="G127" s="116">
        <f>G128+G134+G137+G139</f>
        <v>0</v>
      </c>
      <c r="H127" s="117">
        <v>0</v>
      </c>
      <c r="I127" s="116">
        <f>I128+I134+I137+I139</f>
        <v>66997963</v>
      </c>
      <c r="J127" s="116">
        <f>J128+J134+J137+J139</f>
        <v>47207430</v>
      </c>
      <c r="K127" s="117">
        <f>J127/I127</f>
        <v>0.70460992970786296</v>
      </c>
      <c r="L127" s="149">
        <f>D127+G127+J127</f>
        <v>47207430</v>
      </c>
      <c r="M127" s="116">
        <f>M128+M134+M137+M139</f>
        <v>0</v>
      </c>
      <c r="N127" s="119">
        <f>N128+N134+N137+N139</f>
        <v>0</v>
      </c>
      <c r="O127" s="107"/>
    </row>
    <row r="128" spans="1:15" ht="39.299999999999997" x14ac:dyDescent="0.25">
      <c r="A128" s="167" t="s">
        <v>75</v>
      </c>
      <c r="B128" s="120" t="s">
        <v>74</v>
      </c>
      <c r="C128" s="121">
        <f>SUM(C129:C133)</f>
        <v>0</v>
      </c>
      <c r="D128" s="121">
        <f>SUM(D129:D133)</f>
        <v>0</v>
      </c>
      <c r="E128" s="122">
        <v>0</v>
      </c>
      <c r="F128" s="121">
        <f>SUM(F129:F133)</f>
        <v>0</v>
      </c>
      <c r="G128" s="121">
        <f>SUM(G129:G133)</f>
        <v>0</v>
      </c>
      <c r="H128" s="122">
        <v>0</v>
      </c>
      <c r="I128" s="121">
        <f>SUM(I129:I133)</f>
        <v>66526963</v>
      </c>
      <c r="J128" s="121">
        <f>SUM(J129:J133)</f>
        <v>45697805</v>
      </c>
      <c r="K128" s="122">
        <f>J128/I128</f>
        <v>0.68690652540384267</v>
      </c>
      <c r="L128" s="121">
        <f>D128+G128+J128</f>
        <v>45697805</v>
      </c>
      <c r="M128" s="121">
        <f>SUM(M129:M133)</f>
        <v>0</v>
      </c>
      <c r="N128" s="121">
        <f>SUM(N129:N133)</f>
        <v>0</v>
      </c>
      <c r="O128" s="106"/>
    </row>
    <row r="129" spans="1:15" ht="26.2" x14ac:dyDescent="0.25">
      <c r="A129" s="168" t="s">
        <v>522</v>
      </c>
      <c r="B129" s="123"/>
      <c r="C129" s="124">
        <v>0</v>
      </c>
      <c r="D129" s="124">
        <v>0</v>
      </c>
      <c r="E129" s="125">
        <v>0</v>
      </c>
      <c r="F129" s="124">
        <v>0</v>
      </c>
      <c r="G129" s="124">
        <v>0</v>
      </c>
      <c r="H129" s="125">
        <v>0</v>
      </c>
      <c r="I129" s="186">
        <v>38000000</v>
      </c>
      <c r="J129" s="183">
        <v>3865000</v>
      </c>
      <c r="K129" s="125">
        <f>J129/I129</f>
        <v>0.10171052631578947</v>
      </c>
      <c r="L129" s="124"/>
      <c r="M129" s="124">
        <v>0</v>
      </c>
      <c r="N129" s="124">
        <v>0</v>
      </c>
      <c r="O129" s="106"/>
    </row>
    <row r="130" spans="1:15" ht="26.2" x14ac:dyDescent="0.25">
      <c r="A130" s="168" t="s">
        <v>165</v>
      </c>
      <c r="B130" s="123"/>
      <c r="C130" s="124">
        <v>0</v>
      </c>
      <c r="D130" s="124">
        <v>0</v>
      </c>
      <c r="E130" s="125">
        <v>0</v>
      </c>
      <c r="F130" s="124">
        <v>0</v>
      </c>
      <c r="G130" s="124">
        <v>0</v>
      </c>
      <c r="H130" s="125">
        <v>0</v>
      </c>
      <c r="I130" s="186">
        <f>14737841+1298748+1300000+4699093</f>
        <v>22035682</v>
      </c>
      <c r="J130" s="183">
        <f>8709477+500000+200000-2849093</f>
        <v>6560384</v>
      </c>
      <c r="K130" s="125">
        <f>J130/I130</f>
        <v>0.29771640378546033</v>
      </c>
      <c r="L130" s="124"/>
      <c r="M130" s="124">
        <v>0</v>
      </c>
      <c r="N130" s="124">
        <v>0</v>
      </c>
      <c r="O130" s="106"/>
    </row>
    <row r="131" spans="1:15" x14ac:dyDescent="0.25">
      <c r="A131" s="168" t="s">
        <v>457</v>
      </c>
      <c r="B131" s="123"/>
      <c r="C131" s="124">
        <v>0</v>
      </c>
      <c r="D131" s="124">
        <v>0</v>
      </c>
      <c r="E131" s="125">
        <v>0</v>
      </c>
      <c r="F131" s="124">
        <v>0</v>
      </c>
      <c r="G131" s="124">
        <v>0</v>
      </c>
      <c r="H131" s="125">
        <v>0</v>
      </c>
      <c r="I131" s="186">
        <v>0</v>
      </c>
      <c r="J131" s="183">
        <f>2974829+393409</f>
        <v>3368238</v>
      </c>
      <c r="K131" s="125">
        <v>1</v>
      </c>
      <c r="L131" s="124"/>
      <c r="M131" s="124">
        <v>0</v>
      </c>
      <c r="N131" s="124">
        <v>0</v>
      </c>
      <c r="O131" s="106"/>
    </row>
    <row r="132" spans="1:15" x14ac:dyDescent="0.25">
      <c r="A132" s="168" t="s">
        <v>458</v>
      </c>
      <c r="B132" s="123"/>
      <c r="C132" s="124">
        <v>0</v>
      </c>
      <c r="D132" s="124">
        <v>0</v>
      </c>
      <c r="E132" s="125">
        <v>0</v>
      </c>
      <c r="F132" s="124">
        <v>0</v>
      </c>
      <c r="G132" s="124">
        <v>0</v>
      </c>
      <c r="H132" s="125">
        <v>0</v>
      </c>
      <c r="I132" s="186">
        <v>0</v>
      </c>
      <c r="J132" s="183">
        <f>1687000+88790</f>
        <v>1775790</v>
      </c>
      <c r="K132" s="125">
        <v>1</v>
      </c>
      <c r="L132" s="124"/>
      <c r="M132" s="124">
        <v>0</v>
      </c>
      <c r="N132" s="124">
        <v>0</v>
      </c>
      <c r="O132" s="106"/>
    </row>
    <row r="133" spans="1:15" ht="39.299999999999997" x14ac:dyDescent="0.25">
      <c r="A133" s="168" t="s">
        <v>340</v>
      </c>
      <c r="B133" s="123"/>
      <c r="C133" s="124">
        <v>0</v>
      </c>
      <c r="D133" s="124">
        <v>0</v>
      </c>
      <c r="E133" s="125">
        <v>0</v>
      </c>
      <c r="F133" s="124">
        <v>0</v>
      </c>
      <c r="G133" s="124">
        <v>0</v>
      </c>
      <c r="H133" s="125">
        <v>0</v>
      </c>
      <c r="I133" s="124">
        <v>6491281</v>
      </c>
      <c r="J133" s="130">
        <f>28009557+2118836</f>
        <v>30128393</v>
      </c>
      <c r="K133" s="125">
        <f>J133/I133</f>
        <v>4.6413632378570577</v>
      </c>
      <c r="L133" s="124"/>
      <c r="M133" s="124">
        <v>0</v>
      </c>
      <c r="N133" s="124">
        <v>0</v>
      </c>
      <c r="O133" s="106"/>
    </row>
    <row r="134" spans="1:15" ht="39.299999999999997" x14ac:dyDescent="0.25">
      <c r="A134" s="169" t="s">
        <v>77</v>
      </c>
      <c r="B134" s="127" t="s">
        <v>76</v>
      </c>
      <c r="C134" s="128">
        <f>SUM(C135:C136)</f>
        <v>0</v>
      </c>
      <c r="D134" s="128">
        <f>SUM(D135:D136)</f>
        <v>0</v>
      </c>
      <c r="E134" s="129">
        <v>0</v>
      </c>
      <c r="F134" s="128">
        <f>SUM(F135:F136)</f>
        <v>0</v>
      </c>
      <c r="G134" s="128">
        <f>SUM(G135:G136)</f>
        <v>0</v>
      </c>
      <c r="H134" s="129">
        <v>0</v>
      </c>
      <c r="I134" s="128">
        <f>I135</f>
        <v>471000</v>
      </c>
      <c r="J134" s="128">
        <f>SUM(J135:J136)</f>
        <v>69625</v>
      </c>
      <c r="K134" s="129">
        <v>1</v>
      </c>
      <c r="L134" s="121">
        <f>D134+G134+J134</f>
        <v>69625</v>
      </c>
      <c r="M134" s="128">
        <f>SUM(M135:M136)</f>
        <v>0</v>
      </c>
      <c r="N134" s="128">
        <f>SUM(N135:N136)</f>
        <v>0</v>
      </c>
      <c r="O134" s="106"/>
    </row>
    <row r="135" spans="1:15" ht="26.2" x14ac:dyDescent="0.25">
      <c r="A135" s="168" t="s">
        <v>78</v>
      </c>
      <c r="B135" s="123"/>
      <c r="C135" s="124">
        <v>0</v>
      </c>
      <c r="D135" s="124">
        <v>0</v>
      </c>
      <c r="E135" s="125">
        <v>0</v>
      </c>
      <c r="F135" s="124">
        <v>0</v>
      </c>
      <c r="G135" s="124">
        <v>0</v>
      </c>
      <c r="H135" s="125">
        <v>0</v>
      </c>
      <c r="I135" s="124">
        <v>471000</v>
      </c>
      <c r="J135" s="183">
        <v>24000</v>
      </c>
      <c r="K135" s="125">
        <f>J135/I135</f>
        <v>5.0955414012738856E-2</v>
      </c>
      <c r="L135" s="124"/>
      <c r="M135" s="124">
        <v>0</v>
      </c>
      <c r="N135" s="124">
        <v>0</v>
      </c>
      <c r="O135" s="106"/>
    </row>
    <row r="136" spans="1:15" ht="33.75" customHeight="1" x14ac:dyDescent="0.25">
      <c r="A136" s="168" t="s">
        <v>356</v>
      </c>
      <c r="B136" s="123"/>
      <c r="C136" s="124">
        <v>0</v>
      </c>
      <c r="D136" s="124">
        <v>0</v>
      </c>
      <c r="E136" s="125">
        <v>0</v>
      </c>
      <c r="F136" s="124">
        <v>0</v>
      </c>
      <c r="G136" s="124">
        <v>0</v>
      </c>
      <c r="H136" s="125">
        <v>0</v>
      </c>
      <c r="I136" s="124">
        <v>0</v>
      </c>
      <c r="J136" s="130">
        <v>45625</v>
      </c>
      <c r="K136" s="125">
        <v>0</v>
      </c>
      <c r="L136" s="126"/>
      <c r="M136" s="124">
        <v>0</v>
      </c>
      <c r="N136" s="124">
        <v>0</v>
      </c>
      <c r="O136" s="106"/>
    </row>
    <row r="137" spans="1:15" ht="57.8" customHeight="1" x14ac:dyDescent="0.25">
      <c r="A137" s="169" t="s">
        <v>80</v>
      </c>
      <c r="B137" s="127" t="s">
        <v>79</v>
      </c>
      <c r="C137" s="128">
        <f>SUM(C138:C138)</f>
        <v>0</v>
      </c>
      <c r="D137" s="128">
        <f>SUM(D138:D138)</f>
        <v>0</v>
      </c>
      <c r="E137" s="129">
        <v>0</v>
      </c>
      <c r="F137" s="128">
        <f>SUM(F138:F138)</f>
        <v>0</v>
      </c>
      <c r="G137" s="128">
        <f>SUM(G138:G138)</f>
        <v>0</v>
      </c>
      <c r="H137" s="129">
        <v>0</v>
      </c>
      <c r="I137" s="128">
        <f>SUM(I138:I138)</f>
        <v>0</v>
      </c>
      <c r="J137" s="128">
        <f>SUM(J138:J138)</f>
        <v>1060000</v>
      </c>
      <c r="K137" s="129">
        <v>1</v>
      </c>
      <c r="L137" s="121">
        <f>D137+G137+J137</f>
        <v>1060000</v>
      </c>
      <c r="M137" s="128">
        <f>SUM(M138:M138)</f>
        <v>0</v>
      </c>
      <c r="N137" s="128">
        <f>SUM(N138:N138)</f>
        <v>0</v>
      </c>
      <c r="O137" s="106"/>
    </row>
    <row r="138" spans="1:15" ht="46.5" customHeight="1" x14ac:dyDescent="0.25">
      <c r="A138" s="168" t="s">
        <v>460</v>
      </c>
      <c r="B138" s="123"/>
      <c r="C138" s="124">
        <v>0</v>
      </c>
      <c r="D138" s="124">
        <v>0</v>
      </c>
      <c r="E138" s="125">
        <v>0</v>
      </c>
      <c r="F138" s="124">
        <v>0</v>
      </c>
      <c r="G138" s="124">
        <v>0</v>
      </c>
      <c r="H138" s="125">
        <v>0</v>
      </c>
      <c r="I138" s="124">
        <v>0</v>
      </c>
      <c r="J138" s="130">
        <f>270000+190000+600000</f>
        <v>1060000</v>
      </c>
      <c r="K138" s="125">
        <v>1</v>
      </c>
      <c r="L138" s="124"/>
      <c r="M138" s="124">
        <v>0</v>
      </c>
      <c r="N138" s="124">
        <v>0</v>
      </c>
      <c r="O138" s="106"/>
    </row>
    <row r="139" spans="1:15" ht="78.55" x14ac:dyDescent="0.25">
      <c r="A139" s="169" t="s">
        <v>82</v>
      </c>
      <c r="B139" s="127" t="s">
        <v>81</v>
      </c>
      <c r="C139" s="128">
        <f>C140</f>
        <v>0</v>
      </c>
      <c r="D139" s="128">
        <f>D140</f>
        <v>0</v>
      </c>
      <c r="E139" s="129">
        <v>0</v>
      </c>
      <c r="F139" s="128">
        <f>F140</f>
        <v>0</v>
      </c>
      <c r="G139" s="128">
        <f>G140</f>
        <v>0</v>
      </c>
      <c r="H139" s="129">
        <v>0</v>
      </c>
      <c r="I139" s="128">
        <f>I140</f>
        <v>0</v>
      </c>
      <c r="J139" s="128">
        <f>J140</f>
        <v>380000</v>
      </c>
      <c r="K139" s="129">
        <v>1</v>
      </c>
      <c r="L139" s="121">
        <f>D139+G139+J139</f>
        <v>380000</v>
      </c>
      <c r="M139" s="128">
        <f>M140</f>
        <v>0</v>
      </c>
      <c r="N139" s="128">
        <f>N140</f>
        <v>0</v>
      </c>
      <c r="O139" s="106"/>
    </row>
    <row r="140" spans="1:15" ht="26.85" thickBot="1" x14ac:dyDescent="0.3">
      <c r="A140" s="173" t="s">
        <v>461</v>
      </c>
      <c r="B140" s="135"/>
      <c r="C140" s="124">
        <v>0</v>
      </c>
      <c r="D140" s="136">
        <v>0</v>
      </c>
      <c r="E140" s="137">
        <v>0</v>
      </c>
      <c r="F140" s="136">
        <v>0</v>
      </c>
      <c r="G140" s="136">
        <v>0</v>
      </c>
      <c r="H140" s="137">
        <v>0</v>
      </c>
      <c r="I140" s="136">
        <v>0</v>
      </c>
      <c r="J140" s="138">
        <v>380000</v>
      </c>
      <c r="K140" s="137">
        <v>1</v>
      </c>
      <c r="L140" s="136"/>
      <c r="M140" s="136">
        <v>0</v>
      </c>
      <c r="N140" s="136">
        <v>0</v>
      </c>
      <c r="O140" s="106"/>
    </row>
    <row r="141" spans="1:15" ht="38" thickBot="1" x14ac:dyDescent="0.3">
      <c r="A141" s="176" t="s">
        <v>84</v>
      </c>
      <c r="B141" s="115" t="s">
        <v>83</v>
      </c>
      <c r="C141" s="116">
        <f>C142+C147</f>
        <v>18073037</v>
      </c>
      <c r="D141" s="116">
        <f>D142+D147</f>
        <v>177789</v>
      </c>
      <c r="E141" s="117">
        <v>1</v>
      </c>
      <c r="F141" s="116">
        <f>F142+F147</f>
        <v>30066313</v>
      </c>
      <c r="G141" s="116">
        <f>G142+G147</f>
        <v>3800000</v>
      </c>
      <c r="H141" s="117">
        <v>0</v>
      </c>
      <c r="I141" s="116">
        <f>I142+I147</f>
        <v>311560485</v>
      </c>
      <c r="J141" s="116">
        <f>J142+J147</f>
        <v>3820225</v>
      </c>
      <c r="K141" s="117">
        <v>1</v>
      </c>
      <c r="L141" s="116">
        <f>D141+G141+J141</f>
        <v>7798014</v>
      </c>
      <c r="M141" s="116">
        <f>M142+M147</f>
        <v>26848843</v>
      </c>
      <c r="N141" s="119">
        <f>N142+N147</f>
        <v>0</v>
      </c>
      <c r="O141" s="107"/>
    </row>
    <row r="142" spans="1:15" ht="39.299999999999997" x14ac:dyDescent="0.25">
      <c r="A142" s="167" t="s">
        <v>86</v>
      </c>
      <c r="B142" s="120" t="s">
        <v>85</v>
      </c>
      <c r="C142" s="121">
        <f>SUM(C143:C145)</f>
        <v>0</v>
      </c>
      <c r="D142" s="121">
        <f>SUM(D143:D145)</f>
        <v>0</v>
      </c>
      <c r="E142" s="122">
        <v>0</v>
      </c>
      <c r="F142" s="121">
        <f>SUM(F143:F145)</f>
        <v>0</v>
      </c>
      <c r="G142" s="121">
        <f>SUM(G143:G145)</f>
        <v>0</v>
      </c>
      <c r="H142" s="122">
        <v>0</v>
      </c>
      <c r="I142" s="121">
        <f>SUM(I143:I145)</f>
        <v>0</v>
      </c>
      <c r="J142" s="121">
        <f>SUM(J143:J146)</f>
        <v>6562500</v>
      </c>
      <c r="K142" s="122">
        <v>1</v>
      </c>
      <c r="L142" s="121">
        <f>D142+G142+J142</f>
        <v>6562500</v>
      </c>
      <c r="M142" s="121">
        <f>SUM(M143:M145)</f>
        <v>26848843</v>
      </c>
      <c r="N142" s="121">
        <f>SUM(N143:N145)</f>
        <v>0</v>
      </c>
      <c r="O142" s="106"/>
    </row>
    <row r="143" spans="1:15" ht="26.2" hidden="1" x14ac:dyDescent="0.25">
      <c r="A143" s="168" t="s">
        <v>350</v>
      </c>
      <c r="B143" s="123"/>
      <c r="C143" s="124">
        <v>0</v>
      </c>
      <c r="D143" s="124">
        <v>0</v>
      </c>
      <c r="E143" s="125">
        <v>0</v>
      </c>
      <c r="F143" s="124">
        <v>0</v>
      </c>
      <c r="G143" s="124">
        <v>0</v>
      </c>
      <c r="H143" s="125">
        <v>0</v>
      </c>
      <c r="I143" s="124">
        <v>0</v>
      </c>
      <c r="J143" s="130">
        <v>0</v>
      </c>
      <c r="K143" s="125">
        <v>1</v>
      </c>
      <c r="L143" s="124"/>
      <c r="M143" s="124">
        <v>0</v>
      </c>
      <c r="N143" s="124">
        <v>0</v>
      </c>
      <c r="O143" s="106"/>
    </row>
    <row r="144" spans="1:15" x14ac:dyDescent="0.25">
      <c r="A144" s="168" t="s">
        <v>87</v>
      </c>
      <c r="B144" s="123"/>
      <c r="C144" s="124">
        <v>0</v>
      </c>
      <c r="D144" s="124">
        <v>0</v>
      </c>
      <c r="E144" s="125">
        <v>0</v>
      </c>
      <c r="F144" s="124">
        <v>0</v>
      </c>
      <c r="G144" s="124">
        <v>0</v>
      </c>
      <c r="H144" s="125">
        <v>0</v>
      </c>
      <c r="I144" s="124">
        <v>0</v>
      </c>
      <c r="J144" s="183">
        <f>4375000+2187500</f>
        <v>6562500</v>
      </c>
      <c r="K144" s="125">
        <v>1</v>
      </c>
      <c r="L144" s="124"/>
      <c r="M144" s="186">
        <v>26848843</v>
      </c>
      <c r="N144" s="124">
        <v>0</v>
      </c>
      <c r="O144" s="106"/>
    </row>
    <row r="145" spans="1:16" ht="26.2" hidden="1" x14ac:dyDescent="0.25">
      <c r="A145" s="168" t="s">
        <v>88</v>
      </c>
      <c r="B145" s="123"/>
      <c r="C145" s="124">
        <v>0</v>
      </c>
      <c r="D145" s="124">
        <v>0</v>
      </c>
      <c r="E145" s="125">
        <v>0</v>
      </c>
      <c r="F145" s="124">
        <v>0</v>
      </c>
      <c r="G145" s="124">
        <v>0</v>
      </c>
      <c r="H145" s="125">
        <v>0</v>
      </c>
      <c r="I145" s="124">
        <v>0</v>
      </c>
      <c r="J145" s="130">
        <v>0</v>
      </c>
      <c r="K145" s="125">
        <v>0</v>
      </c>
      <c r="L145" s="124"/>
      <c r="M145" s="124">
        <v>0</v>
      </c>
      <c r="N145" s="124">
        <v>0</v>
      </c>
      <c r="O145" s="106"/>
    </row>
    <row r="146" spans="1:16" hidden="1" x14ac:dyDescent="0.25">
      <c r="A146" s="168" t="s">
        <v>351</v>
      </c>
      <c r="B146" s="123"/>
      <c r="C146" s="124">
        <v>0</v>
      </c>
      <c r="D146" s="124">
        <v>0</v>
      </c>
      <c r="E146" s="125">
        <v>0</v>
      </c>
      <c r="F146" s="124">
        <v>0</v>
      </c>
      <c r="G146" s="124">
        <v>0</v>
      </c>
      <c r="H146" s="125">
        <v>0</v>
      </c>
      <c r="I146" s="124">
        <v>0</v>
      </c>
      <c r="J146" s="130">
        <v>0</v>
      </c>
      <c r="K146" s="125">
        <v>0</v>
      </c>
      <c r="L146" s="126"/>
      <c r="M146" s="124">
        <v>0</v>
      </c>
      <c r="N146" s="124">
        <v>0</v>
      </c>
      <c r="O146" s="106"/>
    </row>
    <row r="147" spans="1:16" ht="39.299999999999997" x14ac:dyDescent="0.25">
      <c r="A147" s="169" t="s">
        <v>90</v>
      </c>
      <c r="B147" s="127" t="s">
        <v>89</v>
      </c>
      <c r="C147" s="128">
        <f>SUM(C148:C159)</f>
        <v>18073037</v>
      </c>
      <c r="D147" s="128">
        <f>SUM(D148:D159)</f>
        <v>177789</v>
      </c>
      <c r="E147" s="129">
        <f>D147/C147</f>
        <v>9.8372509279984321E-3</v>
      </c>
      <c r="F147" s="128">
        <f>SUM(F148:F159)</f>
        <v>30066313</v>
      </c>
      <c r="G147" s="128">
        <f>SUM(G148:G159)</f>
        <v>3800000</v>
      </c>
      <c r="H147" s="129">
        <f>G147/F147</f>
        <v>0.12638729597473425</v>
      </c>
      <c r="I147" s="128">
        <f>SUM(I148:I159)</f>
        <v>311560485</v>
      </c>
      <c r="J147" s="128">
        <f>SUM(J148:J159)</f>
        <v>-2742275</v>
      </c>
      <c r="K147" s="129">
        <v>1</v>
      </c>
      <c r="L147" s="121">
        <f>D147+G147+J147</f>
        <v>1235514</v>
      </c>
      <c r="M147" s="128">
        <f>SUM(M148:M159)</f>
        <v>0</v>
      </c>
      <c r="N147" s="128">
        <f>SUM(N148:N159)</f>
        <v>0</v>
      </c>
      <c r="O147" s="106"/>
    </row>
    <row r="148" spans="1:16" hidden="1" x14ac:dyDescent="0.25">
      <c r="A148" s="168" t="s">
        <v>160</v>
      </c>
      <c r="B148" s="123"/>
      <c r="C148" s="124">
        <v>0</v>
      </c>
      <c r="D148" s="130">
        <v>0</v>
      </c>
      <c r="E148" s="125">
        <v>0</v>
      </c>
      <c r="F148" s="124">
        <v>0</v>
      </c>
      <c r="G148" s="124">
        <v>0</v>
      </c>
      <c r="H148" s="125">
        <v>0</v>
      </c>
      <c r="I148" s="124">
        <v>0</v>
      </c>
      <c r="J148" s="124">
        <v>0</v>
      </c>
      <c r="K148" s="125">
        <v>0</v>
      </c>
      <c r="L148" s="124"/>
      <c r="M148" s="124">
        <v>0</v>
      </c>
      <c r="N148" s="124">
        <v>0</v>
      </c>
      <c r="O148" s="106"/>
    </row>
    <row r="149" spans="1:16" hidden="1" x14ac:dyDescent="0.25">
      <c r="A149" s="168" t="s">
        <v>333</v>
      </c>
      <c r="B149" s="123"/>
      <c r="C149" s="124">
        <v>0</v>
      </c>
      <c r="D149" s="124">
        <v>0</v>
      </c>
      <c r="E149" s="125">
        <v>0</v>
      </c>
      <c r="F149" s="124">
        <v>0</v>
      </c>
      <c r="G149" s="124">
        <v>0</v>
      </c>
      <c r="H149" s="125">
        <v>0</v>
      </c>
      <c r="I149" s="124">
        <v>0</v>
      </c>
      <c r="J149" s="124">
        <v>0</v>
      </c>
      <c r="K149" s="125">
        <v>0</v>
      </c>
      <c r="L149" s="124"/>
      <c r="M149" s="124">
        <v>0</v>
      </c>
      <c r="N149" s="124">
        <v>0</v>
      </c>
      <c r="O149" s="106"/>
    </row>
    <row r="150" spans="1:16" x14ac:dyDescent="0.25">
      <c r="A150" s="188" t="s">
        <v>349</v>
      </c>
      <c r="B150" s="147"/>
      <c r="C150" s="183">
        <v>11300000</v>
      </c>
      <c r="D150" s="183">
        <v>-2670000</v>
      </c>
      <c r="E150" s="189">
        <f>D150/C150</f>
        <v>-0.23628318584070795</v>
      </c>
      <c r="F150" s="130">
        <v>0</v>
      </c>
      <c r="G150" s="130">
        <v>0</v>
      </c>
      <c r="H150" s="189">
        <v>0</v>
      </c>
      <c r="I150" s="183">
        <v>0</v>
      </c>
      <c r="J150" s="183">
        <v>2670000</v>
      </c>
      <c r="K150" s="189">
        <v>1</v>
      </c>
      <c r="L150" s="130"/>
      <c r="M150" s="130">
        <v>0</v>
      </c>
      <c r="N150" s="130">
        <v>0</v>
      </c>
      <c r="O150" s="106"/>
    </row>
    <row r="151" spans="1:16" s="192" customFormat="1" ht="26.2" x14ac:dyDescent="0.25">
      <c r="A151" s="188" t="s">
        <v>408</v>
      </c>
      <c r="B151" s="147"/>
      <c r="C151" s="183">
        <v>6773037</v>
      </c>
      <c r="D151" s="183">
        <v>2847789</v>
      </c>
      <c r="E151" s="189">
        <f>D151/C151</f>
        <v>0.4204596844812748</v>
      </c>
      <c r="F151" s="130">
        <v>0</v>
      </c>
      <c r="G151" s="130">
        <v>0</v>
      </c>
      <c r="H151" s="189">
        <v>0</v>
      </c>
      <c r="I151" s="183">
        <v>0</v>
      </c>
      <c r="J151" s="183">
        <v>0</v>
      </c>
      <c r="K151" s="189">
        <v>0</v>
      </c>
      <c r="L151" s="130"/>
      <c r="M151" s="130">
        <v>0</v>
      </c>
      <c r="N151" s="130">
        <v>0</v>
      </c>
      <c r="O151" s="190"/>
      <c r="P151" s="191"/>
    </row>
    <row r="152" spans="1:16" ht="26.2" x14ac:dyDescent="0.25">
      <c r="A152" s="168" t="s">
        <v>353</v>
      </c>
      <c r="B152" s="123"/>
      <c r="C152" s="124">
        <v>0</v>
      </c>
      <c r="D152" s="124">
        <v>0</v>
      </c>
      <c r="E152" s="125">
        <v>0</v>
      </c>
      <c r="F152" s="124">
        <v>0</v>
      </c>
      <c r="G152" s="124">
        <v>0</v>
      </c>
      <c r="H152" s="125">
        <v>0</v>
      </c>
      <c r="I152" s="186">
        <f>90000000+4736850</f>
        <v>94736850</v>
      </c>
      <c r="J152" s="183">
        <f>-18398960-968374</f>
        <v>-19367334</v>
      </c>
      <c r="K152" s="125">
        <f>J152/I152</f>
        <v>-0.20443295296392058</v>
      </c>
      <c r="L152" s="124"/>
      <c r="M152" s="124">
        <v>0</v>
      </c>
      <c r="N152" s="124">
        <v>0</v>
      </c>
      <c r="O152" s="106"/>
    </row>
    <row r="153" spans="1:16" x14ac:dyDescent="0.25">
      <c r="A153" s="168" t="s">
        <v>352</v>
      </c>
      <c r="B153" s="123"/>
      <c r="C153" s="124">
        <v>0</v>
      </c>
      <c r="D153" s="124">
        <v>0</v>
      </c>
      <c r="E153" s="125">
        <v>0</v>
      </c>
      <c r="F153" s="124">
        <v>0</v>
      </c>
      <c r="G153" s="124">
        <v>0</v>
      </c>
      <c r="H153" s="125">
        <v>0</v>
      </c>
      <c r="I153" s="186">
        <f>150000000+7900000</f>
        <v>157900000</v>
      </c>
      <c r="J153" s="183">
        <f>8055000+423948</f>
        <v>8478948</v>
      </c>
      <c r="K153" s="125">
        <f>J153/I153</f>
        <v>5.3698214059531346E-2</v>
      </c>
      <c r="L153" s="124"/>
      <c r="M153" s="124">
        <v>0</v>
      </c>
      <c r="N153" s="124">
        <v>0</v>
      </c>
      <c r="O153" s="106"/>
    </row>
    <row r="154" spans="1:16" ht="26.2" x14ac:dyDescent="0.25">
      <c r="A154" s="168" t="s">
        <v>354</v>
      </c>
      <c r="B154" s="123"/>
      <c r="C154" s="124">
        <v>0</v>
      </c>
      <c r="D154" s="124">
        <v>0</v>
      </c>
      <c r="E154" s="125">
        <v>0</v>
      </c>
      <c r="F154" s="124">
        <v>0</v>
      </c>
      <c r="G154" s="124">
        <v>0</v>
      </c>
      <c r="H154" s="125">
        <v>0</v>
      </c>
      <c r="I154" s="186">
        <v>8400000</v>
      </c>
      <c r="J154" s="183">
        <v>-3930000</v>
      </c>
      <c r="K154" s="125">
        <f>J154/I154</f>
        <v>-0.46785714285714286</v>
      </c>
      <c r="L154" s="124"/>
      <c r="M154" s="124">
        <v>0</v>
      </c>
      <c r="N154" s="124">
        <v>0</v>
      </c>
      <c r="O154" s="106"/>
    </row>
    <row r="155" spans="1:16" ht="26.2" x14ac:dyDescent="0.25">
      <c r="A155" s="168" t="s">
        <v>369</v>
      </c>
      <c r="B155" s="123"/>
      <c r="C155" s="124">
        <v>0</v>
      </c>
      <c r="D155" s="124">
        <v>0</v>
      </c>
      <c r="E155" s="125">
        <v>0</v>
      </c>
      <c r="F155" s="124">
        <v>0</v>
      </c>
      <c r="G155" s="124">
        <v>0</v>
      </c>
      <c r="H155" s="125">
        <v>0</v>
      </c>
      <c r="I155" s="186">
        <v>11942496</v>
      </c>
      <c r="J155" s="183">
        <v>-2118836</v>
      </c>
      <c r="K155" s="125">
        <f>J155/I155</f>
        <v>-0.17741986264847817</v>
      </c>
      <c r="L155" s="124"/>
      <c r="M155" s="124">
        <v>0</v>
      </c>
      <c r="N155" s="124">
        <v>0</v>
      </c>
      <c r="O155" s="106"/>
    </row>
    <row r="156" spans="1:16" ht="26.2" hidden="1" x14ac:dyDescent="0.25">
      <c r="A156" s="168" t="s">
        <v>409</v>
      </c>
      <c r="B156" s="123"/>
      <c r="C156" s="124">
        <v>0</v>
      </c>
      <c r="D156" s="124">
        <v>0</v>
      </c>
      <c r="E156" s="125">
        <v>0</v>
      </c>
      <c r="F156" s="124">
        <v>0</v>
      </c>
      <c r="G156" s="124">
        <v>0</v>
      </c>
      <c r="H156" s="125">
        <v>0</v>
      </c>
      <c r="I156" s="186">
        <v>0</v>
      </c>
      <c r="J156" s="183">
        <v>0</v>
      </c>
      <c r="K156" s="125">
        <v>1</v>
      </c>
      <c r="L156" s="124"/>
      <c r="M156" s="124">
        <v>0</v>
      </c>
      <c r="N156" s="124">
        <v>0</v>
      </c>
      <c r="O156" s="106"/>
    </row>
    <row r="157" spans="1:16" ht="39.299999999999997" hidden="1" x14ac:dyDescent="0.25">
      <c r="A157" s="168" t="s">
        <v>159</v>
      </c>
      <c r="B157" s="123"/>
      <c r="C157" s="124">
        <v>0</v>
      </c>
      <c r="D157" s="124">
        <v>0</v>
      </c>
      <c r="E157" s="125">
        <v>0</v>
      </c>
      <c r="F157" s="124">
        <v>0</v>
      </c>
      <c r="G157" s="124">
        <v>0</v>
      </c>
      <c r="H157" s="125">
        <v>0</v>
      </c>
      <c r="I157" s="186">
        <v>0</v>
      </c>
      <c r="J157" s="183">
        <v>0</v>
      </c>
      <c r="K157" s="125">
        <v>1</v>
      </c>
      <c r="L157" s="124"/>
      <c r="M157" s="124">
        <v>0</v>
      </c>
      <c r="N157" s="124">
        <v>0</v>
      </c>
      <c r="O157" s="106"/>
    </row>
    <row r="158" spans="1:16" ht="26.2" x14ac:dyDescent="0.25">
      <c r="A158" s="168" t="s">
        <v>161</v>
      </c>
      <c r="B158" s="123"/>
      <c r="C158" s="124">
        <v>0</v>
      </c>
      <c r="D158" s="124">
        <v>0</v>
      </c>
      <c r="E158" s="125">
        <v>0</v>
      </c>
      <c r="F158" s="124">
        <v>0</v>
      </c>
      <c r="G158" s="124">
        <v>0</v>
      </c>
      <c r="H158" s="125">
        <v>0</v>
      </c>
      <c r="I158" s="186">
        <v>18541000</v>
      </c>
      <c r="J158" s="183">
        <f>2300521+2685000-1720000</f>
        <v>3265521</v>
      </c>
      <c r="K158" s="125">
        <f>J158/I158</f>
        <v>0.17612431907664094</v>
      </c>
      <c r="L158" s="130"/>
      <c r="M158" s="124">
        <v>0</v>
      </c>
      <c r="N158" s="124">
        <v>0</v>
      </c>
      <c r="O158" s="106"/>
    </row>
    <row r="159" spans="1:16" ht="26.85" thickBot="1" x14ac:dyDescent="0.3">
      <c r="A159" s="173" t="s">
        <v>162</v>
      </c>
      <c r="B159" s="135"/>
      <c r="C159" s="124">
        <v>0</v>
      </c>
      <c r="D159" s="124">
        <v>0</v>
      </c>
      <c r="E159" s="137">
        <v>0</v>
      </c>
      <c r="F159" s="136">
        <v>30066313</v>
      </c>
      <c r="G159" s="136">
        <f>2000000+1800000</f>
        <v>3800000</v>
      </c>
      <c r="H159" s="137">
        <f>G159/F159</f>
        <v>0.12638729597473425</v>
      </c>
      <c r="I159" s="187">
        <v>20040139</v>
      </c>
      <c r="J159" s="201">
        <f>5259426+3000000</f>
        <v>8259426</v>
      </c>
      <c r="K159" s="137">
        <f>J159/I159</f>
        <v>0.41214414730356908</v>
      </c>
      <c r="L159" s="136"/>
      <c r="M159" s="124">
        <v>0</v>
      </c>
      <c r="N159" s="124">
        <v>0</v>
      </c>
      <c r="O159" s="106" t="s">
        <v>523</v>
      </c>
    </row>
    <row r="160" spans="1:16" ht="38" hidden="1" thickBot="1" x14ac:dyDescent="0.3">
      <c r="A160" s="166" t="s">
        <v>92</v>
      </c>
      <c r="B160" s="115" t="s">
        <v>91</v>
      </c>
      <c r="C160" s="116">
        <f>C161+C163</f>
        <v>0</v>
      </c>
      <c r="D160" s="116">
        <f>D161+D163</f>
        <v>0</v>
      </c>
      <c r="E160" s="117">
        <v>0</v>
      </c>
      <c r="F160" s="116">
        <f>F161+F163</f>
        <v>0</v>
      </c>
      <c r="G160" s="116">
        <f>G161+G163</f>
        <v>0</v>
      </c>
      <c r="H160" s="117"/>
      <c r="I160" s="116">
        <f>I161+I163</f>
        <v>0</v>
      </c>
      <c r="J160" s="116">
        <f>J161+J163</f>
        <v>0</v>
      </c>
      <c r="K160" s="117">
        <v>0</v>
      </c>
      <c r="L160" s="149">
        <f>D160+G160+J160</f>
        <v>0</v>
      </c>
      <c r="M160" s="116">
        <f>M161+M163</f>
        <v>0</v>
      </c>
      <c r="N160" s="119">
        <f>N161+N163</f>
        <v>0</v>
      </c>
      <c r="O160" s="107"/>
    </row>
    <row r="161" spans="1:15" ht="39.299999999999997" hidden="1" x14ac:dyDescent="0.25">
      <c r="A161" s="167" t="s">
        <v>94</v>
      </c>
      <c r="B161" s="120" t="s">
        <v>93</v>
      </c>
      <c r="C161" s="121">
        <f>SUM(C162:C162)</f>
        <v>0</v>
      </c>
      <c r="D161" s="121">
        <f>SUM(D162:D162)</f>
        <v>0</v>
      </c>
      <c r="E161" s="122">
        <v>0</v>
      </c>
      <c r="F161" s="121">
        <f>SUM(F162:F162)</f>
        <v>0</v>
      </c>
      <c r="G161" s="121">
        <f>SUM(G162:G162)</f>
        <v>0</v>
      </c>
      <c r="H161" s="122"/>
      <c r="I161" s="121">
        <f>SUM(I162:I162)</f>
        <v>0</v>
      </c>
      <c r="J161" s="121">
        <f>SUM(J162:J162)</f>
        <v>0</v>
      </c>
      <c r="K161" s="122">
        <v>0</v>
      </c>
      <c r="L161" s="121">
        <f>D161+G161+J161</f>
        <v>0</v>
      </c>
      <c r="M161" s="121">
        <f>SUM(M162:M162)</f>
        <v>0</v>
      </c>
      <c r="N161" s="121">
        <f>SUM(N162:N162)</f>
        <v>0</v>
      </c>
      <c r="O161" s="106"/>
    </row>
    <row r="162" spans="1:15" hidden="1" x14ac:dyDescent="0.25">
      <c r="A162" s="168"/>
      <c r="B162" s="123"/>
      <c r="C162" s="124"/>
      <c r="D162" s="124"/>
      <c r="E162" s="125">
        <v>0</v>
      </c>
      <c r="F162" s="124"/>
      <c r="G162" s="124"/>
      <c r="H162" s="125"/>
      <c r="I162" s="124"/>
      <c r="J162" s="124"/>
      <c r="K162" s="125">
        <v>0</v>
      </c>
      <c r="L162" s="124"/>
      <c r="M162" s="124"/>
      <c r="N162" s="124"/>
      <c r="O162" s="106"/>
    </row>
    <row r="163" spans="1:15" ht="52.4" hidden="1" x14ac:dyDescent="0.25">
      <c r="A163" s="169" t="s">
        <v>96</v>
      </c>
      <c r="B163" s="127" t="s">
        <v>95</v>
      </c>
      <c r="C163" s="128">
        <f>C164</f>
        <v>0</v>
      </c>
      <c r="D163" s="128">
        <f>D164</f>
        <v>0</v>
      </c>
      <c r="E163" s="129">
        <v>0</v>
      </c>
      <c r="F163" s="128">
        <f>F164</f>
        <v>0</v>
      </c>
      <c r="G163" s="128">
        <f>G164</f>
        <v>0</v>
      </c>
      <c r="H163" s="129"/>
      <c r="I163" s="128">
        <f>I164</f>
        <v>0</v>
      </c>
      <c r="J163" s="128">
        <f>J164</f>
        <v>0</v>
      </c>
      <c r="K163" s="129">
        <v>0</v>
      </c>
      <c r="L163" s="121">
        <f>D163+G163+J163</f>
        <v>0</v>
      </c>
      <c r="M163" s="128">
        <f>M164</f>
        <v>0</v>
      </c>
      <c r="N163" s="128">
        <f>N164</f>
        <v>0</v>
      </c>
      <c r="O163" s="106"/>
    </row>
    <row r="164" spans="1:15" ht="13.75" hidden="1" thickBot="1" x14ac:dyDescent="0.3">
      <c r="A164" s="173"/>
      <c r="B164" s="135"/>
      <c r="C164" s="136"/>
      <c r="D164" s="136"/>
      <c r="E164" s="137">
        <v>0</v>
      </c>
      <c r="F164" s="136"/>
      <c r="G164" s="136"/>
      <c r="H164" s="137"/>
      <c r="I164" s="136"/>
      <c r="J164" s="136"/>
      <c r="K164" s="137">
        <v>0</v>
      </c>
      <c r="L164" s="136"/>
      <c r="M164" s="136"/>
      <c r="N164" s="136"/>
      <c r="O164" s="106"/>
    </row>
    <row r="165" spans="1:15" ht="38" thickBot="1" x14ac:dyDescent="0.3">
      <c r="A165" s="176" t="s">
        <v>98</v>
      </c>
      <c r="B165" s="115" t="s">
        <v>97</v>
      </c>
      <c r="C165" s="116">
        <f>C166+C168</f>
        <v>0</v>
      </c>
      <c r="D165" s="116">
        <f>D166+D168</f>
        <v>0</v>
      </c>
      <c r="E165" s="117">
        <v>0</v>
      </c>
      <c r="F165" s="116">
        <f>F166+F168</f>
        <v>100000</v>
      </c>
      <c r="G165" s="116">
        <f>G166+G168</f>
        <v>-100000</v>
      </c>
      <c r="H165" s="117">
        <f>G165/F165</f>
        <v>-1</v>
      </c>
      <c r="I165" s="116">
        <f>I166+I168</f>
        <v>0</v>
      </c>
      <c r="J165" s="116">
        <f>J166+J168</f>
        <v>0</v>
      </c>
      <c r="K165" s="117">
        <v>0</v>
      </c>
      <c r="L165" s="149">
        <f>D165+G165+J165</f>
        <v>-100000</v>
      </c>
      <c r="M165" s="116">
        <f>M166+M168</f>
        <v>0</v>
      </c>
      <c r="N165" s="119">
        <f>N166+N168</f>
        <v>0</v>
      </c>
      <c r="O165" s="107"/>
    </row>
    <row r="166" spans="1:15" ht="52.4" x14ac:dyDescent="0.25">
      <c r="A166" s="167" t="s">
        <v>100</v>
      </c>
      <c r="B166" s="120" t="s">
        <v>99</v>
      </c>
      <c r="C166" s="121">
        <f>SUM(C167:C167)</f>
        <v>0</v>
      </c>
      <c r="D166" s="121">
        <f>SUM(D167:D167)</f>
        <v>0</v>
      </c>
      <c r="E166" s="122">
        <v>0</v>
      </c>
      <c r="F166" s="121">
        <f>SUM(F167:F167)</f>
        <v>100000</v>
      </c>
      <c r="G166" s="121">
        <f>SUM(G167:G167)</f>
        <v>-100000</v>
      </c>
      <c r="H166" s="122">
        <f>G166/F166</f>
        <v>-1</v>
      </c>
      <c r="I166" s="121">
        <f>SUM(I167:I167)</f>
        <v>0</v>
      </c>
      <c r="J166" s="121">
        <f>SUM(J167:J167)</f>
        <v>0</v>
      </c>
      <c r="K166" s="122">
        <v>0</v>
      </c>
      <c r="L166" s="121">
        <f>D166+G166+J166</f>
        <v>-100000</v>
      </c>
      <c r="M166" s="121">
        <f>SUM(M167:M167)</f>
        <v>0</v>
      </c>
      <c r="N166" s="121">
        <f>SUM(N167:N167)</f>
        <v>0</v>
      </c>
      <c r="O166" s="106"/>
    </row>
    <row r="167" spans="1:15" ht="13.75" thickBot="1" x14ac:dyDescent="0.3">
      <c r="A167" s="177" t="s">
        <v>469</v>
      </c>
      <c r="B167" s="123"/>
      <c r="C167" s="124">
        <v>0</v>
      </c>
      <c r="D167" s="124">
        <v>0</v>
      </c>
      <c r="E167" s="125">
        <v>0</v>
      </c>
      <c r="F167" s="124">
        <v>100000</v>
      </c>
      <c r="G167" s="124">
        <v>-100000</v>
      </c>
      <c r="H167" s="125">
        <f>G167/F167</f>
        <v>-1</v>
      </c>
      <c r="I167" s="124">
        <v>0</v>
      </c>
      <c r="J167" s="130">
        <v>0</v>
      </c>
      <c r="K167" s="125">
        <v>0</v>
      </c>
      <c r="L167" s="124"/>
      <c r="M167" s="124">
        <v>0</v>
      </c>
      <c r="N167" s="124">
        <v>0</v>
      </c>
      <c r="O167" s="106" t="s">
        <v>470</v>
      </c>
    </row>
    <row r="168" spans="1:15" ht="39.299999999999997" hidden="1" x14ac:dyDescent="0.25">
      <c r="A168" s="169" t="s">
        <v>102</v>
      </c>
      <c r="B168" s="127" t="s">
        <v>101</v>
      </c>
      <c r="C168" s="128">
        <f>SUM(C169:C169)</f>
        <v>0</v>
      </c>
      <c r="D168" s="128">
        <f>SUM(D169:D169)</f>
        <v>0</v>
      </c>
      <c r="E168" s="129">
        <v>0</v>
      </c>
      <c r="F168" s="128">
        <f>SUM(F169:F169)</f>
        <v>0</v>
      </c>
      <c r="G168" s="128">
        <f>SUM(G169:G169)</f>
        <v>0</v>
      </c>
      <c r="H168" s="129"/>
      <c r="I168" s="128">
        <f>SUM(I169:I169)</f>
        <v>0</v>
      </c>
      <c r="J168" s="128">
        <f>SUM(J169:J169)</f>
        <v>0</v>
      </c>
      <c r="K168" s="129">
        <v>0</v>
      </c>
      <c r="L168" s="121">
        <f>D168+G168+J168</f>
        <v>0</v>
      </c>
      <c r="M168" s="128">
        <f>SUM(M169:M169)</f>
        <v>0</v>
      </c>
      <c r="N168" s="128">
        <f>SUM(N169:N169)</f>
        <v>0</v>
      </c>
      <c r="O168" s="106"/>
    </row>
    <row r="169" spans="1:15" ht="13.75" hidden="1" thickBot="1" x14ac:dyDescent="0.3">
      <c r="A169" s="177"/>
      <c r="B169" s="123"/>
      <c r="C169" s="124"/>
      <c r="D169" s="124"/>
      <c r="E169" s="125">
        <v>0</v>
      </c>
      <c r="F169" s="124"/>
      <c r="G169" s="124"/>
      <c r="H169" s="125"/>
      <c r="I169" s="124"/>
      <c r="J169" s="124"/>
      <c r="K169" s="125">
        <v>0</v>
      </c>
      <c r="L169" s="124"/>
      <c r="M169" s="124"/>
      <c r="N169" s="124"/>
      <c r="O169" s="106"/>
    </row>
    <row r="170" spans="1:15" ht="38" hidden="1" thickBot="1" x14ac:dyDescent="0.3">
      <c r="A170" s="176" t="s">
        <v>104</v>
      </c>
      <c r="B170" s="153" t="s">
        <v>103</v>
      </c>
      <c r="C170" s="116">
        <f>C171+C173</f>
        <v>0</v>
      </c>
      <c r="D170" s="116">
        <f>D171+D173</f>
        <v>0</v>
      </c>
      <c r="E170" s="117">
        <v>0</v>
      </c>
      <c r="F170" s="116">
        <f>F171+F173</f>
        <v>0</v>
      </c>
      <c r="G170" s="116">
        <f>G171+G173</f>
        <v>0</v>
      </c>
      <c r="H170" s="117"/>
      <c r="I170" s="116">
        <f>I171+I173</f>
        <v>0</v>
      </c>
      <c r="J170" s="116">
        <f>J171+J173</f>
        <v>0</v>
      </c>
      <c r="K170" s="117">
        <v>0</v>
      </c>
      <c r="L170" s="149">
        <f>D170+G170+J170</f>
        <v>0</v>
      </c>
      <c r="M170" s="116">
        <f>M171+M173</f>
        <v>0</v>
      </c>
      <c r="N170" s="119">
        <f>N171+N173</f>
        <v>0</v>
      </c>
      <c r="O170" s="107"/>
    </row>
    <row r="171" spans="1:15" ht="39.299999999999997" hidden="1" x14ac:dyDescent="0.25">
      <c r="A171" s="178" t="s">
        <v>106</v>
      </c>
      <c r="B171" s="120" t="s">
        <v>105</v>
      </c>
      <c r="C171" s="121">
        <f>SUM(C172:C172)</f>
        <v>0</v>
      </c>
      <c r="D171" s="121">
        <f>SUM(D172:D172)</f>
        <v>0</v>
      </c>
      <c r="E171" s="122">
        <v>0</v>
      </c>
      <c r="F171" s="121">
        <f>SUM(F172:F172)</f>
        <v>0</v>
      </c>
      <c r="G171" s="121">
        <f>SUM(G172:G172)</f>
        <v>0</v>
      </c>
      <c r="H171" s="122"/>
      <c r="I171" s="121">
        <f>SUM(I172:I172)</f>
        <v>0</v>
      </c>
      <c r="J171" s="121">
        <f>SUM(J172:J172)</f>
        <v>0</v>
      </c>
      <c r="K171" s="122">
        <v>0</v>
      </c>
      <c r="L171" s="121">
        <f>D171+G171+J171</f>
        <v>0</v>
      </c>
      <c r="M171" s="121">
        <f>SUM(M172:M172)</f>
        <v>0</v>
      </c>
      <c r="N171" s="121">
        <f>SUM(N172:N172)</f>
        <v>0</v>
      </c>
      <c r="O171" s="106"/>
    </row>
    <row r="172" spans="1:15" hidden="1" x14ac:dyDescent="0.25">
      <c r="A172" s="179"/>
      <c r="B172" s="123"/>
      <c r="C172" s="124"/>
      <c r="D172" s="124"/>
      <c r="E172" s="125">
        <v>0</v>
      </c>
      <c r="F172" s="124"/>
      <c r="G172" s="124"/>
      <c r="H172" s="125"/>
      <c r="I172" s="124"/>
      <c r="J172" s="124"/>
      <c r="K172" s="125">
        <v>0</v>
      </c>
      <c r="L172" s="124"/>
      <c r="M172" s="124"/>
      <c r="N172" s="124"/>
      <c r="O172" s="106"/>
    </row>
    <row r="173" spans="1:15" ht="39.299999999999997" hidden="1" x14ac:dyDescent="0.25">
      <c r="A173" s="180" t="s">
        <v>108</v>
      </c>
      <c r="B173" s="127" t="s">
        <v>107</v>
      </c>
      <c r="C173" s="128">
        <f>SUM(C175:C175)</f>
        <v>0</v>
      </c>
      <c r="D173" s="128">
        <f>SUM(D175:D175)</f>
        <v>0</v>
      </c>
      <c r="E173" s="129">
        <v>0</v>
      </c>
      <c r="F173" s="128">
        <f>SUM(F175:F175)</f>
        <v>0</v>
      </c>
      <c r="G173" s="128">
        <f>SUM(G175:G175)</f>
        <v>0</v>
      </c>
      <c r="H173" s="129"/>
      <c r="I173" s="128">
        <f>I174</f>
        <v>0</v>
      </c>
      <c r="J173" s="128">
        <f>J174</f>
        <v>0</v>
      </c>
      <c r="K173" s="129">
        <v>0</v>
      </c>
      <c r="L173" s="121">
        <f>D173+G173+J173</f>
        <v>0</v>
      </c>
      <c r="M173" s="128">
        <f>SUM(M175:M175)</f>
        <v>0</v>
      </c>
      <c r="N173" s="128">
        <f>SUM(N175:N175)</f>
        <v>0</v>
      </c>
      <c r="O173" s="106"/>
    </row>
    <row r="174" spans="1:15" ht="13.75" hidden="1" thickBot="1" x14ac:dyDescent="0.3">
      <c r="A174" s="179"/>
      <c r="B174" s="123"/>
      <c r="C174" s="124"/>
      <c r="D174" s="124"/>
      <c r="E174" s="125">
        <v>0</v>
      </c>
      <c r="F174" s="124"/>
      <c r="G174" s="124"/>
      <c r="H174" s="125"/>
      <c r="I174" s="124"/>
      <c r="J174" s="124"/>
      <c r="K174" s="125">
        <v>0</v>
      </c>
      <c r="L174" s="124"/>
      <c r="M174" s="124"/>
      <c r="N174" s="124"/>
      <c r="O174" s="106"/>
    </row>
    <row r="175" spans="1:15" ht="38" thickBot="1" x14ac:dyDescent="0.3">
      <c r="A175" s="176" t="s">
        <v>363</v>
      </c>
      <c r="B175" s="153" t="s">
        <v>360</v>
      </c>
      <c r="C175" s="116">
        <f>C176+C178</f>
        <v>0</v>
      </c>
      <c r="D175" s="116">
        <f>D176+D178</f>
        <v>0</v>
      </c>
      <c r="E175" s="117">
        <v>0</v>
      </c>
      <c r="F175" s="116">
        <f>F176+F178</f>
        <v>0</v>
      </c>
      <c r="G175" s="116">
        <f>G176+G178</f>
        <v>0</v>
      </c>
      <c r="H175" s="117">
        <v>0</v>
      </c>
      <c r="I175" s="116">
        <f>I176+I178</f>
        <v>4940000</v>
      </c>
      <c r="J175" s="116">
        <f>J176+J178</f>
        <v>-211714</v>
      </c>
      <c r="K175" s="117">
        <f>J175/I175</f>
        <v>-4.2857085020242915E-2</v>
      </c>
      <c r="L175" s="116">
        <f>D175+G175+J175</f>
        <v>-211714</v>
      </c>
      <c r="M175" s="116">
        <f>M176+M178</f>
        <v>0</v>
      </c>
      <c r="N175" s="119">
        <f>N176+N178</f>
        <v>0</v>
      </c>
      <c r="O175" s="106"/>
    </row>
    <row r="176" spans="1:15" ht="39.299999999999997" hidden="1" x14ac:dyDescent="0.25">
      <c r="A176" s="178" t="s">
        <v>364</v>
      </c>
      <c r="B176" s="120" t="s">
        <v>361</v>
      </c>
      <c r="C176" s="121">
        <f>SUM(C177:C177)</f>
        <v>0</v>
      </c>
      <c r="D176" s="121">
        <f>SUM(D177:D177)</f>
        <v>0</v>
      </c>
      <c r="E176" s="122">
        <v>0</v>
      </c>
      <c r="F176" s="121">
        <f>SUM(F177:F177)</f>
        <v>0</v>
      </c>
      <c r="G176" s="121">
        <f>SUM(G177:G177)</f>
        <v>0</v>
      </c>
      <c r="H176" s="122">
        <v>0</v>
      </c>
      <c r="I176" s="121">
        <f>SUM(I177:I177)</f>
        <v>0</v>
      </c>
      <c r="J176" s="121">
        <f>SUM(J177:J177)</f>
        <v>0</v>
      </c>
      <c r="K176" s="122">
        <v>0</v>
      </c>
      <c r="L176" s="121">
        <f>D176+G176+J176</f>
        <v>0</v>
      </c>
      <c r="M176" s="121">
        <f>SUM(M177:M177)</f>
        <v>0</v>
      </c>
      <c r="N176" s="121">
        <f>SUM(N177:N177)</f>
        <v>0</v>
      </c>
      <c r="O176" s="107"/>
    </row>
    <row r="177" spans="1:15" hidden="1" x14ac:dyDescent="0.25">
      <c r="A177" s="179" t="s">
        <v>366</v>
      </c>
      <c r="B177" s="123"/>
      <c r="C177" s="124">
        <v>0</v>
      </c>
      <c r="D177" s="124">
        <v>0</v>
      </c>
      <c r="E177" s="125">
        <v>0</v>
      </c>
      <c r="F177" s="124">
        <v>0</v>
      </c>
      <c r="G177" s="124">
        <v>0</v>
      </c>
      <c r="H177" s="125">
        <v>0</v>
      </c>
      <c r="I177" s="124">
        <v>0</v>
      </c>
      <c r="J177" s="124">
        <v>0</v>
      </c>
      <c r="K177" s="125">
        <v>1</v>
      </c>
      <c r="L177" s="124"/>
      <c r="M177" s="124">
        <v>0</v>
      </c>
      <c r="N177" s="124">
        <v>0</v>
      </c>
      <c r="O177" s="107"/>
    </row>
    <row r="178" spans="1:15" ht="65.45" x14ac:dyDescent="0.25">
      <c r="A178" s="180" t="s">
        <v>365</v>
      </c>
      <c r="B178" s="127" t="s">
        <v>362</v>
      </c>
      <c r="C178" s="128">
        <f>SUM(C179:C179)</f>
        <v>0</v>
      </c>
      <c r="D178" s="128">
        <f>SUM(D179:D179)</f>
        <v>0</v>
      </c>
      <c r="E178" s="129">
        <v>0</v>
      </c>
      <c r="F178" s="128">
        <f>SUM(F179:F179)</f>
        <v>0</v>
      </c>
      <c r="G178" s="128">
        <f>SUM(G179:G179)</f>
        <v>0</v>
      </c>
      <c r="H178" s="129">
        <v>0</v>
      </c>
      <c r="I178" s="128">
        <f>SUM(I179:I179)</f>
        <v>4940000</v>
      </c>
      <c r="J178" s="128">
        <f>SUM(J179:J179)</f>
        <v>-211714</v>
      </c>
      <c r="K178" s="129">
        <f>J178/I178</f>
        <v>-4.2857085020242915E-2</v>
      </c>
      <c r="L178" s="121">
        <f>D178+G178+J178</f>
        <v>-211714</v>
      </c>
      <c r="M178" s="128">
        <f>SUM(M179:M179)</f>
        <v>0</v>
      </c>
      <c r="N178" s="128">
        <f>SUM(N179:N179)</f>
        <v>0</v>
      </c>
      <c r="O178" s="107"/>
    </row>
    <row r="179" spans="1:15" ht="13.75" thickBot="1" x14ac:dyDescent="0.3">
      <c r="A179" s="181" t="s">
        <v>367</v>
      </c>
      <c r="B179" s="154"/>
      <c r="C179" s="155">
        <v>0</v>
      </c>
      <c r="D179" s="155">
        <v>0</v>
      </c>
      <c r="E179" s="156">
        <v>0</v>
      </c>
      <c r="F179" s="155">
        <v>0</v>
      </c>
      <c r="G179" s="155">
        <v>0</v>
      </c>
      <c r="H179" s="156">
        <v>0</v>
      </c>
      <c r="I179" s="204">
        <v>4940000</v>
      </c>
      <c r="J179" s="205">
        <v>-211714</v>
      </c>
      <c r="K179" s="156">
        <f>J179/I179</f>
        <v>-4.2857085020242915E-2</v>
      </c>
      <c r="L179" s="155"/>
      <c r="M179" s="155">
        <v>0</v>
      </c>
      <c r="N179" s="157">
        <v>0</v>
      </c>
      <c r="O179" s="107"/>
    </row>
    <row r="180" spans="1:15" ht="38" thickBot="1" x14ac:dyDescent="0.3">
      <c r="A180" s="176" t="s">
        <v>446</v>
      </c>
      <c r="B180" s="153" t="s">
        <v>444</v>
      </c>
      <c r="C180" s="116">
        <f>C181</f>
        <v>0</v>
      </c>
      <c r="D180" s="116">
        <f>D181</f>
        <v>308122.5</v>
      </c>
      <c r="E180" s="117">
        <v>0</v>
      </c>
      <c r="F180" s="116">
        <f>F181</f>
        <v>0</v>
      </c>
      <c r="G180" s="116">
        <f>G181</f>
        <v>428</v>
      </c>
      <c r="H180" s="117">
        <v>0</v>
      </c>
      <c r="I180" s="116">
        <f>I181</f>
        <v>0</v>
      </c>
      <c r="J180" s="116">
        <f>J181</f>
        <v>0</v>
      </c>
      <c r="K180" s="117">
        <v>0</v>
      </c>
      <c r="L180" s="116">
        <f>D180+G180+J180</f>
        <v>308550.5</v>
      </c>
      <c r="M180" s="116">
        <f>M181</f>
        <v>0</v>
      </c>
      <c r="N180" s="119">
        <f>N181</f>
        <v>0</v>
      </c>
      <c r="O180" s="107"/>
    </row>
    <row r="181" spans="1:15" ht="65.45" x14ac:dyDescent="0.25">
      <c r="A181" s="178" t="s">
        <v>447</v>
      </c>
      <c r="B181" s="120" t="s">
        <v>445</v>
      </c>
      <c r="C181" s="121">
        <f>SUM(C182:C183)</f>
        <v>0</v>
      </c>
      <c r="D181" s="121">
        <f>SUM(D182:D183)</f>
        <v>308122.5</v>
      </c>
      <c r="E181" s="122">
        <v>0</v>
      </c>
      <c r="F181" s="121">
        <f>SUM(F182:F183)</f>
        <v>0</v>
      </c>
      <c r="G181" s="121">
        <f>SUM(G182:G183)</f>
        <v>428</v>
      </c>
      <c r="H181" s="122">
        <v>0</v>
      </c>
      <c r="I181" s="121">
        <f>SUM(I182:I183)</f>
        <v>0</v>
      </c>
      <c r="J181" s="121">
        <f>SUM(J182:J183)</f>
        <v>0</v>
      </c>
      <c r="K181" s="122">
        <v>0</v>
      </c>
      <c r="L181" s="121">
        <f>D181+G181+J181</f>
        <v>308550.5</v>
      </c>
      <c r="M181" s="121">
        <f>SUM(M182:M182)</f>
        <v>0</v>
      </c>
      <c r="N181" s="121">
        <f>SUM(N182:N182)</f>
        <v>0</v>
      </c>
      <c r="O181" s="107"/>
    </row>
    <row r="182" spans="1:15" ht="26.2" x14ac:dyDescent="0.25">
      <c r="A182" s="228" t="s">
        <v>448</v>
      </c>
      <c r="B182" s="123"/>
      <c r="C182" s="186">
        <v>0</v>
      </c>
      <c r="D182" s="186">
        <v>300000</v>
      </c>
      <c r="E182" s="125">
        <v>1</v>
      </c>
      <c r="F182" s="124">
        <v>0</v>
      </c>
      <c r="G182" s="124">
        <v>0</v>
      </c>
      <c r="H182" s="125">
        <v>0</v>
      </c>
      <c r="I182" s="124">
        <v>0</v>
      </c>
      <c r="J182" s="124">
        <v>0</v>
      </c>
      <c r="K182" s="125">
        <v>1</v>
      </c>
      <c r="L182" s="124"/>
      <c r="M182" s="124">
        <v>0</v>
      </c>
      <c r="N182" s="124">
        <v>0</v>
      </c>
      <c r="O182" s="229"/>
    </row>
    <row r="183" spans="1:15" ht="26.2" x14ac:dyDescent="0.25">
      <c r="A183" s="266" t="s">
        <v>524</v>
      </c>
      <c r="B183" s="123"/>
      <c r="C183" s="186">
        <v>0</v>
      </c>
      <c r="D183" s="186">
        <v>8122.5</v>
      </c>
      <c r="E183" s="125">
        <v>1</v>
      </c>
      <c r="F183" s="124">
        <v>0</v>
      </c>
      <c r="G183" s="124">
        <v>428</v>
      </c>
      <c r="H183" s="125">
        <v>0</v>
      </c>
      <c r="I183" s="124">
        <v>0</v>
      </c>
      <c r="J183" s="124">
        <v>0</v>
      </c>
      <c r="K183" s="125">
        <v>1</v>
      </c>
      <c r="L183" s="124"/>
      <c r="M183" s="124">
        <v>0</v>
      </c>
      <c r="N183" s="124">
        <v>0</v>
      </c>
      <c r="O183" s="229"/>
    </row>
    <row r="184" spans="1:15" ht="24.75" customHeight="1" thickBot="1" x14ac:dyDescent="0.3">
      <c r="A184" s="222" t="s">
        <v>123</v>
      </c>
      <c r="B184" s="223"/>
      <c r="C184" s="224">
        <f>C170+C165+C160+C141+C127+C122+C115+C106+C100+C95+C83+C69+C31+C5+C180</f>
        <v>-567461789</v>
      </c>
      <c r="D184" s="224">
        <f>D170+D165+D160+D141+D127+D122+D115+D106+D100+D95+D83+D69+D31+D5+D180</f>
        <v>133892479.61</v>
      </c>
      <c r="E184" s="225">
        <v>1</v>
      </c>
      <c r="F184" s="224">
        <f>F170+F165+F160+F141+F127+F122+F115+F106+F100+F95+F83+F69+F31+F5+F180</f>
        <v>489576652</v>
      </c>
      <c r="G184" s="224">
        <f>G170+G165+G160+G141+G127+G122+G115+G106+G100+G95+G83+G69+G31+G5+G180</f>
        <v>49539252</v>
      </c>
      <c r="H184" s="225">
        <f>G184/F184</f>
        <v>0.10118793818623524</v>
      </c>
      <c r="I184" s="224">
        <f>I170+I165+I160+I141+I127+I122+I115+I106+I100+I95+I83+I69+I31+I5+I175</f>
        <v>399808448</v>
      </c>
      <c r="J184" s="224">
        <f>J5+J31+J69+J83+J95+J100+J106+J115+J122+J127+J141+J160+J165+J170++J175+J180</f>
        <v>58243197</v>
      </c>
      <c r="K184" s="225">
        <f>J184/I184</f>
        <v>0.14567775466315308</v>
      </c>
      <c r="L184" s="224">
        <f>D184+G184+J184</f>
        <v>241674928.61000001</v>
      </c>
      <c r="M184" s="224">
        <f>M170+M165+M160+M141+M127+M122+M115+M106+M100+M95+M83+M69+M31+M5</f>
        <v>26848843</v>
      </c>
      <c r="N184" s="226">
        <f>N170+N165+N160+N141+N127+N122+N115+N106+N100+N95+N83+N69+N31+N5</f>
        <v>0</v>
      </c>
      <c r="O184" s="227"/>
    </row>
    <row r="185" spans="1:15" ht="21.8" customHeight="1" thickBot="1" x14ac:dyDescent="0.3">
      <c r="A185" s="182" t="s">
        <v>110</v>
      </c>
      <c r="B185" s="158" t="s">
        <v>109</v>
      </c>
      <c r="C185" s="159">
        <f>SUM(C186:C209)</f>
        <v>4170247</v>
      </c>
      <c r="D185" s="159">
        <f>SUM(D186:D209)</f>
        <v>39145406</v>
      </c>
      <c r="E185" s="160">
        <v>1</v>
      </c>
      <c r="F185" s="159">
        <f>SUM(F186:F209)</f>
        <v>169007180</v>
      </c>
      <c r="G185" s="159">
        <f>SUM(G186:G209)</f>
        <v>24235846</v>
      </c>
      <c r="H185" s="160">
        <f>G185/F185</f>
        <v>0.14340128034797101</v>
      </c>
      <c r="I185" s="159">
        <f>SUM(I186:I209)</f>
        <v>43145378</v>
      </c>
      <c r="J185" s="159">
        <f>SUM(J186:J209)</f>
        <v>5779673</v>
      </c>
      <c r="K185" s="160">
        <f>J185/I185</f>
        <v>0.13395810322950469</v>
      </c>
      <c r="L185" s="159">
        <f>D185+G185+J185</f>
        <v>69160925</v>
      </c>
      <c r="M185" s="159">
        <f>SUM(M186:M211)</f>
        <v>0</v>
      </c>
      <c r="N185" s="159">
        <f>SUM(N186:N211)</f>
        <v>0</v>
      </c>
      <c r="O185" s="208"/>
    </row>
    <row r="186" spans="1:15" ht="26.2" x14ac:dyDescent="0.25">
      <c r="A186" s="196" t="s">
        <v>334</v>
      </c>
      <c r="B186" s="197"/>
      <c r="C186" s="203">
        <v>876254</v>
      </c>
      <c r="D186" s="203">
        <v>-9765</v>
      </c>
      <c r="E186" s="199">
        <f>D186/C186</f>
        <v>-1.1144029014418194E-2</v>
      </c>
      <c r="F186" s="198">
        <v>0</v>
      </c>
      <c r="G186" s="203">
        <v>0</v>
      </c>
      <c r="H186" s="199">
        <v>0</v>
      </c>
      <c r="I186" s="198">
        <v>0</v>
      </c>
      <c r="J186" s="198">
        <v>0</v>
      </c>
      <c r="K186" s="199">
        <v>0</v>
      </c>
      <c r="L186" s="198"/>
      <c r="M186" s="198">
        <v>0</v>
      </c>
      <c r="N186" s="198">
        <v>0</v>
      </c>
      <c r="O186" s="212"/>
    </row>
    <row r="187" spans="1:15" ht="26.2" hidden="1" x14ac:dyDescent="0.25">
      <c r="A187" s="168" t="s">
        <v>140</v>
      </c>
      <c r="B187" s="123"/>
      <c r="C187" s="186">
        <v>0</v>
      </c>
      <c r="D187" s="183">
        <v>0</v>
      </c>
      <c r="E187" s="125">
        <v>1</v>
      </c>
      <c r="F187" s="124">
        <v>0</v>
      </c>
      <c r="G187" s="186">
        <v>0</v>
      </c>
      <c r="H187" s="161">
        <v>0</v>
      </c>
      <c r="I187" s="124">
        <v>0</v>
      </c>
      <c r="J187" s="130">
        <v>0</v>
      </c>
      <c r="K187" s="161">
        <v>0</v>
      </c>
      <c r="L187" s="124"/>
      <c r="M187" s="124">
        <v>0</v>
      </c>
      <c r="N187" s="124">
        <v>0</v>
      </c>
      <c r="O187" s="106"/>
    </row>
    <row r="188" spans="1:15" ht="26.2" hidden="1" x14ac:dyDescent="0.25">
      <c r="A188" s="168" t="s">
        <v>141</v>
      </c>
      <c r="B188" s="123"/>
      <c r="C188" s="186">
        <v>0</v>
      </c>
      <c r="D188" s="183">
        <v>0</v>
      </c>
      <c r="E188" s="125">
        <v>1</v>
      </c>
      <c r="F188" s="124">
        <v>0</v>
      </c>
      <c r="G188" s="186">
        <v>0</v>
      </c>
      <c r="H188" s="161">
        <v>0</v>
      </c>
      <c r="I188" s="124">
        <v>0</v>
      </c>
      <c r="J188" s="130">
        <v>0</v>
      </c>
      <c r="K188" s="161">
        <v>0</v>
      </c>
      <c r="L188" s="124"/>
      <c r="M188" s="124">
        <v>0</v>
      </c>
      <c r="N188" s="124">
        <v>0</v>
      </c>
      <c r="O188" s="106"/>
    </row>
    <row r="189" spans="1:15" x14ac:dyDescent="0.25">
      <c r="A189" s="168" t="s">
        <v>142</v>
      </c>
      <c r="B189" s="123"/>
      <c r="C189" s="186">
        <v>3010759</v>
      </c>
      <c r="D189" s="183">
        <v>139514</v>
      </c>
      <c r="E189" s="125">
        <f>D189/C189</f>
        <v>4.6338481426112153E-2</v>
      </c>
      <c r="F189" s="124">
        <v>0</v>
      </c>
      <c r="G189" s="186">
        <v>0</v>
      </c>
      <c r="H189" s="161">
        <v>0</v>
      </c>
      <c r="I189" s="124">
        <v>0</v>
      </c>
      <c r="J189" s="130">
        <v>0</v>
      </c>
      <c r="K189" s="161">
        <v>0</v>
      </c>
      <c r="L189" s="124"/>
      <c r="M189" s="124">
        <v>0</v>
      </c>
      <c r="N189" s="124">
        <v>0</v>
      </c>
      <c r="O189" s="106"/>
    </row>
    <row r="190" spans="1:15" ht="26.2" x14ac:dyDescent="0.25">
      <c r="A190" s="168" t="s">
        <v>143</v>
      </c>
      <c r="B190" s="123"/>
      <c r="C190" s="186">
        <v>283234</v>
      </c>
      <c r="D190" s="183">
        <v>12978</v>
      </c>
      <c r="E190" s="125">
        <f>D190/C190</f>
        <v>4.5820770105283973E-2</v>
      </c>
      <c r="F190" s="124">
        <v>0</v>
      </c>
      <c r="G190" s="186">
        <v>0</v>
      </c>
      <c r="H190" s="161">
        <v>0</v>
      </c>
      <c r="I190" s="124">
        <v>0</v>
      </c>
      <c r="J190" s="130">
        <v>0</v>
      </c>
      <c r="K190" s="161">
        <v>0</v>
      </c>
      <c r="L190" s="124"/>
      <c r="M190" s="124">
        <v>0</v>
      </c>
      <c r="N190" s="124">
        <v>0</v>
      </c>
      <c r="O190" s="106"/>
    </row>
    <row r="191" spans="1:15" ht="132.75" customHeight="1" x14ac:dyDescent="0.25">
      <c r="A191" s="168" t="s">
        <v>153</v>
      </c>
      <c r="B191" s="123"/>
      <c r="C191" s="186">
        <v>0</v>
      </c>
      <c r="D191" s="183">
        <f>90000+2754480</f>
        <v>2844480</v>
      </c>
      <c r="E191" s="125">
        <v>1</v>
      </c>
      <c r="F191" s="130">
        <v>71291390</v>
      </c>
      <c r="G191" s="186">
        <f>60000+100000+150000+400000-3500000+152000+100000-28100+40000+10000+250000+200000+100000+3420387+4588945+891749+942863+342524+4767613+16000+500000-337000</f>
        <v>13166981</v>
      </c>
      <c r="H191" s="161">
        <f>G191/F191</f>
        <v>0.18469244322491118</v>
      </c>
      <c r="I191" s="124">
        <v>29832076</v>
      </c>
      <c r="J191" s="130">
        <f>4600911+250095</f>
        <v>4851006</v>
      </c>
      <c r="K191" s="125">
        <f>J191/I191</f>
        <v>0.16261040632908014</v>
      </c>
      <c r="L191" s="124"/>
      <c r="M191" s="124">
        <v>0</v>
      </c>
      <c r="N191" s="124">
        <v>0</v>
      </c>
      <c r="O191" s="106" t="s">
        <v>525</v>
      </c>
    </row>
    <row r="192" spans="1:15" ht="30.8" customHeight="1" x14ac:dyDescent="0.25">
      <c r="A192" s="168" t="s">
        <v>453</v>
      </c>
      <c r="B192" s="123"/>
      <c r="C192" s="186">
        <v>0</v>
      </c>
      <c r="D192" s="183"/>
      <c r="E192" s="125">
        <v>0</v>
      </c>
      <c r="F192" s="130">
        <v>1903521</v>
      </c>
      <c r="G192" s="186">
        <v>284938</v>
      </c>
      <c r="H192" s="161">
        <f>G192/F192</f>
        <v>0.14968996927273195</v>
      </c>
      <c r="I192" s="124">
        <v>64057</v>
      </c>
      <c r="J192" s="130">
        <v>6834</v>
      </c>
      <c r="K192" s="125">
        <f>J192/I192</f>
        <v>0.10668623257411368</v>
      </c>
      <c r="L192" s="124"/>
      <c r="M192" s="124">
        <v>0</v>
      </c>
      <c r="N192" s="124">
        <v>0</v>
      </c>
      <c r="O192" s="106" t="s">
        <v>474</v>
      </c>
    </row>
    <row r="193" spans="1:15" ht="26.2" x14ac:dyDescent="0.25">
      <c r="A193" s="168" t="s">
        <v>336</v>
      </c>
      <c r="B193" s="123"/>
      <c r="C193" s="124">
        <v>0</v>
      </c>
      <c r="D193" s="124">
        <v>0</v>
      </c>
      <c r="E193" s="125">
        <v>0</v>
      </c>
      <c r="F193" s="124">
        <v>0</v>
      </c>
      <c r="G193" s="186">
        <v>0</v>
      </c>
      <c r="H193" s="161">
        <v>0</v>
      </c>
      <c r="I193" s="124">
        <v>3031529</v>
      </c>
      <c r="J193" s="130">
        <v>124000</v>
      </c>
      <c r="K193" s="125">
        <f>J193/I193</f>
        <v>4.0903451690549555E-2</v>
      </c>
      <c r="L193" s="124"/>
      <c r="M193" s="124">
        <v>0</v>
      </c>
      <c r="N193" s="124">
        <v>0</v>
      </c>
      <c r="O193" s="106"/>
    </row>
    <row r="194" spans="1:15" x14ac:dyDescent="0.25">
      <c r="A194" s="168" t="s">
        <v>422</v>
      </c>
      <c r="B194" s="123"/>
      <c r="C194" s="124">
        <v>0</v>
      </c>
      <c r="D194" s="124">
        <v>0</v>
      </c>
      <c r="E194" s="125">
        <v>0</v>
      </c>
      <c r="F194" s="124">
        <v>0</v>
      </c>
      <c r="G194" s="186">
        <v>0</v>
      </c>
      <c r="H194" s="161">
        <v>0</v>
      </c>
      <c r="I194" s="124">
        <v>540000</v>
      </c>
      <c r="J194" s="130">
        <v>605945</v>
      </c>
      <c r="K194" s="125">
        <f>J194/I194</f>
        <v>1.1221203703703704</v>
      </c>
      <c r="L194" s="124"/>
      <c r="M194" s="124">
        <v>0</v>
      </c>
      <c r="N194" s="124">
        <v>0</v>
      </c>
      <c r="O194" s="106"/>
    </row>
    <row r="195" spans="1:15" x14ac:dyDescent="0.25">
      <c r="A195" s="168" t="s">
        <v>454</v>
      </c>
      <c r="B195" s="123"/>
      <c r="C195" s="124">
        <v>0</v>
      </c>
      <c r="D195" s="124">
        <v>0</v>
      </c>
      <c r="E195" s="125">
        <v>0</v>
      </c>
      <c r="F195" s="124">
        <v>0</v>
      </c>
      <c r="G195" s="186">
        <v>0</v>
      </c>
      <c r="H195" s="161">
        <v>0</v>
      </c>
      <c r="I195" s="124">
        <v>0</v>
      </c>
      <c r="J195" s="130">
        <v>0</v>
      </c>
      <c r="K195" s="125">
        <v>0</v>
      </c>
      <c r="L195" s="124"/>
      <c r="M195" s="124">
        <v>0</v>
      </c>
      <c r="N195" s="124">
        <v>0</v>
      </c>
      <c r="O195" s="106"/>
    </row>
    <row r="196" spans="1:15" ht="26.2" x14ac:dyDescent="0.25">
      <c r="A196" s="168" t="s">
        <v>410</v>
      </c>
      <c r="B196" s="123"/>
      <c r="C196" s="124">
        <v>0</v>
      </c>
      <c r="D196" s="124">
        <v>0</v>
      </c>
      <c r="E196" s="125">
        <v>0</v>
      </c>
      <c r="F196" s="124">
        <v>340000</v>
      </c>
      <c r="G196" s="186">
        <v>450000</v>
      </c>
      <c r="H196" s="161">
        <f>G196/F196</f>
        <v>1.3235294117647058</v>
      </c>
      <c r="I196" s="124">
        <v>0</v>
      </c>
      <c r="J196" s="130">
        <v>0</v>
      </c>
      <c r="K196" s="125">
        <v>0</v>
      </c>
      <c r="L196" s="124"/>
      <c r="M196" s="124">
        <v>0</v>
      </c>
      <c r="N196" s="124">
        <v>0</v>
      </c>
      <c r="O196" s="106" t="s">
        <v>526</v>
      </c>
    </row>
    <row r="197" spans="1:15" ht="26.2" hidden="1" x14ac:dyDescent="0.25">
      <c r="A197" s="168" t="s">
        <v>149</v>
      </c>
      <c r="B197" s="123"/>
      <c r="C197" s="124">
        <v>0</v>
      </c>
      <c r="D197" s="124">
        <v>0</v>
      </c>
      <c r="E197" s="125">
        <v>0</v>
      </c>
      <c r="F197" s="124">
        <v>0</v>
      </c>
      <c r="G197" s="186">
        <v>0</v>
      </c>
      <c r="H197" s="161">
        <v>0</v>
      </c>
      <c r="I197" s="124">
        <v>0</v>
      </c>
      <c r="J197" s="130">
        <v>0</v>
      </c>
      <c r="K197" s="125">
        <v>0</v>
      </c>
      <c r="L197" s="124"/>
      <c r="M197" s="124">
        <v>0</v>
      </c>
      <c r="N197" s="124">
        <v>0</v>
      </c>
      <c r="O197" s="106"/>
    </row>
    <row r="198" spans="1:15" ht="26.2" hidden="1" x14ac:dyDescent="0.25">
      <c r="A198" s="173" t="s">
        <v>150</v>
      </c>
      <c r="B198" s="123"/>
      <c r="C198" s="124">
        <v>0</v>
      </c>
      <c r="D198" s="124">
        <v>0</v>
      </c>
      <c r="E198" s="125">
        <v>0</v>
      </c>
      <c r="F198" s="124">
        <v>0</v>
      </c>
      <c r="G198" s="186">
        <v>0</v>
      </c>
      <c r="H198" s="161">
        <v>0</v>
      </c>
      <c r="I198" s="136">
        <v>0</v>
      </c>
      <c r="J198" s="138">
        <v>0</v>
      </c>
      <c r="K198" s="137">
        <v>0</v>
      </c>
      <c r="L198" s="136"/>
      <c r="M198" s="124">
        <v>0</v>
      </c>
      <c r="N198" s="124">
        <v>0</v>
      </c>
      <c r="O198" s="108"/>
    </row>
    <row r="199" spans="1:15" ht="26.2" hidden="1" x14ac:dyDescent="0.25">
      <c r="A199" s="173" t="s">
        <v>151</v>
      </c>
      <c r="B199" s="123"/>
      <c r="C199" s="124">
        <v>0</v>
      </c>
      <c r="D199" s="124">
        <v>0</v>
      </c>
      <c r="E199" s="125">
        <v>0</v>
      </c>
      <c r="F199" s="124">
        <v>0</v>
      </c>
      <c r="G199" s="186">
        <v>0</v>
      </c>
      <c r="H199" s="161">
        <v>0</v>
      </c>
      <c r="I199" s="136">
        <v>0</v>
      </c>
      <c r="J199" s="138">
        <v>0</v>
      </c>
      <c r="K199" s="137">
        <v>0</v>
      </c>
      <c r="L199" s="136"/>
      <c r="M199" s="124">
        <v>0</v>
      </c>
      <c r="N199" s="124">
        <v>0</v>
      </c>
      <c r="O199" s="108"/>
    </row>
    <row r="200" spans="1:15" ht="26.2" x14ac:dyDescent="0.25">
      <c r="A200" s="173" t="s">
        <v>152</v>
      </c>
      <c r="B200" s="123"/>
      <c r="C200" s="124">
        <v>0</v>
      </c>
      <c r="D200" s="124">
        <v>0</v>
      </c>
      <c r="E200" s="125">
        <v>0</v>
      </c>
      <c r="F200" s="124">
        <v>0</v>
      </c>
      <c r="G200" s="186">
        <v>0</v>
      </c>
      <c r="H200" s="161">
        <v>0</v>
      </c>
      <c r="I200" s="136">
        <v>2362116</v>
      </c>
      <c r="J200" s="138">
        <v>344000</v>
      </c>
      <c r="K200" s="137">
        <f>J200/I200</f>
        <v>0.14563213660971772</v>
      </c>
      <c r="L200" s="136"/>
      <c r="M200" s="124">
        <v>0</v>
      </c>
      <c r="N200" s="124">
        <v>0</v>
      </c>
      <c r="O200" s="108"/>
    </row>
    <row r="201" spans="1:15" ht="26.2" x14ac:dyDescent="0.25">
      <c r="A201" s="173" t="s">
        <v>455</v>
      </c>
      <c r="B201" s="123"/>
      <c r="C201" s="124">
        <v>0</v>
      </c>
      <c r="D201" s="124">
        <v>0</v>
      </c>
      <c r="E201" s="125">
        <v>0</v>
      </c>
      <c r="F201" s="124">
        <v>0</v>
      </c>
      <c r="G201" s="186">
        <v>0</v>
      </c>
      <c r="H201" s="161">
        <v>0</v>
      </c>
      <c r="I201" s="136">
        <v>3600000</v>
      </c>
      <c r="J201" s="138">
        <v>950000</v>
      </c>
      <c r="K201" s="137">
        <f>J201/I201</f>
        <v>0.2638888888888889</v>
      </c>
      <c r="L201" s="136"/>
      <c r="M201" s="124">
        <v>0</v>
      </c>
      <c r="N201" s="124">
        <v>0</v>
      </c>
      <c r="O201" s="108"/>
    </row>
    <row r="202" spans="1:15" ht="26.2" x14ac:dyDescent="0.25">
      <c r="A202" s="173" t="s">
        <v>154</v>
      </c>
      <c r="B202" s="123"/>
      <c r="C202" s="124">
        <v>0</v>
      </c>
      <c r="D202" s="124">
        <v>0</v>
      </c>
      <c r="E202" s="125">
        <v>0</v>
      </c>
      <c r="F202" s="124">
        <v>0</v>
      </c>
      <c r="G202" s="186">
        <v>0</v>
      </c>
      <c r="H202" s="161">
        <v>0</v>
      </c>
      <c r="I202" s="136">
        <v>1000000</v>
      </c>
      <c r="J202" s="138">
        <v>-874627</v>
      </c>
      <c r="K202" s="137">
        <f>J202/I202</f>
        <v>-0.87462700000000004</v>
      </c>
      <c r="L202" s="136"/>
      <c r="M202" s="124">
        <v>0</v>
      </c>
      <c r="N202" s="124">
        <v>0</v>
      </c>
      <c r="O202" s="108"/>
    </row>
    <row r="203" spans="1:15" ht="40.75" customHeight="1" x14ac:dyDescent="0.25">
      <c r="A203" s="173" t="s">
        <v>328</v>
      </c>
      <c r="B203" s="123"/>
      <c r="C203" s="124">
        <v>0</v>
      </c>
      <c r="D203" s="183">
        <v>36158199</v>
      </c>
      <c r="E203" s="125">
        <v>1</v>
      </c>
      <c r="F203" s="187">
        <v>28402099</v>
      </c>
      <c r="G203" s="187">
        <f>-15000000+500000+2000000+3000000+1300000</f>
        <v>-8200000</v>
      </c>
      <c r="H203" s="161">
        <f t="shared" ref="H203" si="0">G203/F203</f>
        <v>-0.28871105617933379</v>
      </c>
      <c r="I203" s="136">
        <v>0</v>
      </c>
      <c r="J203" s="138">
        <v>0</v>
      </c>
      <c r="K203" s="137">
        <v>1</v>
      </c>
      <c r="L203" s="136"/>
      <c r="M203" s="124">
        <v>0</v>
      </c>
      <c r="N203" s="124">
        <v>0</v>
      </c>
      <c r="O203" s="108" t="s">
        <v>499</v>
      </c>
    </row>
    <row r="204" spans="1:15" ht="26.2" x14ac:dyDescent="0.25">
      <c r="A204" s="173" t="s">
        <v>330</v>
      </c>
      <c r="B204" s="123"/>
      <c r="C204" s="124">
        <v>0</v>
      </c>
      <c r="D204" s="124">
        <v>0</v>
      </c>
      <c r="E204" s="125">
        <v>0</v>
      </c>
      <c r="F204" s="136">
        <v>1500000</v>
      </c>
      <c r="G204" s="187">
        <f>-300000-90000+17946</f>
        <v>-372054</v>
      </c>
      <c r="H204" s="137">
        <f>G204/F204</f>
        <v>-0.24803600000000001</v>
      </c>
      <c r="I204" s="136">
        <v>286000</v>
      </c>
      <c r="J204" s="138">
        <v>-100000</v>
      </c>
      <c r="K204" s="137">
        <f>J204/I204</f>
        <v>-0.34965034965034963</v>
      </c>
      <c r="L204" s="136"/>
      <c r="M204" s="124">
        <v>0</v>
      </c>
      <c r="N204" s="124">
        <v>0</v>
      </c>
      <c r="O204" s="108" t="s">
        <v>527</v>
      </c>
    </row>
    <row r="205" spans="1:15" ht="26.2" x14ac:dyDescent="0.25">
      <c r="A205" s="173" t="s">
        <v>404</v>
      </c>
      <c r="B205" s="123"/>
      <c r="C205" s="124">
        <v>0</v>
      </c>
      <c r="D205" s="124">
        <v>0</v>
      </c>
      <c r="E205" s="125">
        <v>0</v>
      </c>
      <c r="F205" s="136">
        <v>0</v>
      </c>
      <c r="G205" s="187">
        <v>0</v>
      </c>
      <c r="H205" s="137">
        <v>1</v>
      </c>
      <c r="I205" s="136">
        <v>2429600</v>
      </c>
      <c r="J205" s="138">
        <v>-127485</v>
      </c>
      <c r="K205" s="137">
        <f>J205/I205</f>
        <v>-5.2471600263417843E-2</v>
      </c>
      <c r="L205" s="136"/>
      <c r="M205" s="124">
        <v>0</v>
      </c>
      <c r="N205" s="124">
        <v>0</v>
      </c>
      <c r="O205" s="108"/>
    </row>
    <row r="206" spans="1:15" x14ac:dyDescent="0.25">
      <c r="A206" s="173" t="s">
        <v>464</v>
      </c>
      <c r="B206" s="123"/>
      <c r="C206" s="124">
        <v>0</v>
      </c>
      <c r="D206" s="124">
        <v>0</v>
      </c>
      <c r="E206" s="125">
        <v>0</v>
      </c>
      <c r="F206" s="138">
        <v>3000000</v>
      </c>
      <c r="G206" s="187">
        <f>11000000+2000000-3000000</f>
        <v>10000000</v>
      </c>
      <c r="H206" s="137">
        <f>G206/F206</f>
        <v>3.3333333333333335</v>
      </c>
      <c r="I206" s="136">
        <v>0</v>
      </c>
      <c r="J206" s="136">
        <v>0</v>
      </c>
      <c r="K206" s="137">
        <v>0</v>
      </c>
      <c r="L206" s="136"/>
      <c r="M206" s="124">
        <v>0</v>
      </c>
      <c r="N206" s="124">
        <v>0</v>
      </c>
      <c r="O206" s="108" t="s">
        <v>498</v>
      </c>
    </row>
    <row r="207" spans="1:15" x14ac:dyDescent="0.25">
      <c r="A207" s="173" t="s">
        <v>465</v>
      </c>
      <c r="B207" s="123"/>
      <c r="C207" s="124">
        <v>0</v>
      </c>
      <c r="D207" s="124">
        <v>0</v>
      </c>
      <c r="E207" s="125">
        <v>0</v>
      </c>
      <c r="F207" s="138">
        <v>660000</v>
      </c>
      <c r="G207" s="187">
        <v>240000</v>
      </c>
      <c r="H207" s="137">
        <f>G207/F207</f>
        <v>0.36363636363636365</v>
      </c>
      <c r="I207" s="136">
        <v>0</v>
      </c>
      <c r="J207" s="136">
        <v>0</v>
      </c>
      <c r="K207" s="137">
        <v>0</v>
      </c>
      <c r="L207" s="136"/>
      <c r="M207" s="124">
        <v>0</v>
      </c>
      <c r="N207" s="124">
        <v>0</v>
      </c>
      <c r="O207" s="108" t="s">
        <v>528</v>
      </c>
    </row>
    <row r="208" spans="1:15" x14ac:dyDescent="0.25">
      <c r="A208" s="173" t="s">
        <v>463</v>
      </c>
      <c r="B208" s="123"/>
      <c r="C208" s="124">
        <v>0</v>
      </c>
      <c r="D208" s="124">
        <v>0</v>
      </c>
      <c r="E208" s="125">
        <v>0</v>
      </c>
      <c r="F208" s="138">
        <v>144000</v>
      </c>
      <c r="G208" s="187">
        <v>-13972</v>
      </c>
      <c r="H208" s="137">
        <f>G208/F208</f>
        <v>-9.7027777777777782E-2</v>
      </c>
      <c r="I208" s="136">
        <v>0</v>
      </c>
      <c r="J208" s="136">
        <v>0</v>
      </c>
      <c r="K208" s="137">
        <v>0</v>
      </c>
      <c r="L208" s="136"/>
      <c r="M208" s="124">
        <v>0</v>
      </c>
      <c r="N208" s="124">
        <v>0</v>
      </c>
      <c r="O208" s="108"/>
    </row>
    <row r="209" spans="1:15" ht="39.950000000000003" thickBot="1" x14ac:dyDescent="0.3">
      <c r="A209" s="173" t="s">
        <v>335</v>
      </c>
      <c r="B209" s="135"/>
      <c r="C209" s="136">
        <v>0</v>
      </c>
      <c r="D209" s="136">
        <v>0</v>
      </c>
      <c r="E209" s="137">
        <v>0</v>
      </c>
      <c r="F209" s="138">
        <v>61766170</v>
      </c>
      <c r="G209" s="187">
        <f>15000+15000+200000+200000+200000+10000+50000-10000+50000+4789435+2931118+229400</f>
        <v>8679953</v>
      </c>
      <c r="H209" s="137">
        <f>G209/F209</f>
        <v>0.14052924116874982</v>
      </c>
      <c r="I209" s="136">
        <v>0</v>
      </c>
      <c r="J209" s="136">
        <v>0</v>
      </c>
      <c r="K209" s="137">
        <v>0</v>
      </c>
      <c r="L209" s="136"/>
      <c r="M209" s="136">
        <v>0</v>
      </c>
      <c r="N209" s="136">
        <v>0</v>
      </c>
      <c r="O209" s="108" t="s">
        <v>504</v>
      </c>
    </row>
    <row r="210" spans="1:15" ht="20.95" customHeight="1" thickBot="1" x14ac:dyDescent="0.3">
      <c r="A210" s="207" t="s">
        <v>421</v>
      </c>
      <c r="B210" s="158"/>
      <c r="C210" s="159">
        <f>SUM(C211:C212)</f>
        <v>0</v>
      </c>
      <c r="D210" s="159">
        <f>SUM(D211:D212)</f>
        <v>121750</v>
      </c>
      <c r="E210" s="160">
        <v>1</v>
      </c>
      <c r="F210" s="159">
        <f>F211</f>
        <v>0</v>
      </c>
      <c r="G210" s="159">
        <f t="shared" ref="G210:K210" si="1">G211</f>
        <v>0</v>
      </c>
      <c r="H210" s="159">
        <f t="shared" si="1"/>
        <v>0</v>
      </c>
      <c r="I210" s="159">
        <f t="shared" si="1"/>
        <v>0</v>
      </c>
      <c r="J210" s="159">
        <f t="shared" si="1"/>
        <v>0</v>
      </c>
      <c r="K210" s="159">
        <f t="shared" si="1"/>
        <v>0</v>
      </c>
      <c r="L210" s="159">
        <f>D210</f>
        <v>121750</v>
      </c>
      <c r="M210" s="159">
        <f>M211</f>
        <v>0</v>
      </c>
      <c r="N210" s="159">
        <f>N211</f>
        <v>0</v>
      </c>
      <c r="O210" s="208"/>
    </row>
    <row r="211" spans="1:15" ht="39.299999999999997" x14ac:dyDescent="0.25">
      <c r="A211" s="206" t="s">
        <v>450</v>
      </c>
      <c r="B211" s="154"/>
      <c r="C211" s="155">
        <v>0</v>
      </c>
      <c r="D211" s="205">
        <v>88000</v>
      </c>
      <c r="E211" s="156">
        <v>1</v>
      </c>
      <c r="F211" s="155">
        <v>0</v>
      </c>
      <c r="G211" s="155">
        <v>0</v>
      </c>
      <c r="H211" s="156">
        <v>0</v>
      </c>
      <c r="I211" s="155">
        <v>0</v>
      </c>
      <c r="J211" s="155">
        <v>0</v>
      </c>
      <c r="K211" s="156">
        <v>0</v>
      </c>
      <c r="L211" s="155"/>
      <c r="M211" s="155">
        <v>0</v>
      </c>
      <c r="N211" s="155">
        <v>0</v>
      </c>
      <c r="O211" s="200"/>
    </row>
    <row r="212" spans="1:15" ht="13.75" thickBot="1" x14ac:dyDescent="0.3">
      <c r="A212" s="209" t="s">
        <v>376</v>
      </c>
      <c r="B212" s="135"/>
      <c r="C212" s="136">
        <v>0</v>
      </c>
      <c r="D212" s="201">
        <v>33750</v>
      </c>
      <c r="E212" s="137">
        <v>1</v>
      </c>
      <c r="F212" s="136"/>
      <c r="G212" s="136"/>
      <c r="H212" s="137"/>
      <c r="I212" s="136"/>
      <c r="J212" s="136"/>
      <c r="K212" s="137"/>
      <c r="L212" s="136"/>
      <c r="M212" s="136"/>
      <c r="N212" s="136"/>
      <c r="O212" s="200"/>
    </row>
    <row r="213" spans="1:15" ht="25.55" customHeight="1" thickBot="1" x14ac:dyDescent="0.3">
      <c r="A213" s="210" t="s">
        <v>148</v>
      </c>
      <c r="B213" s="211"/>
      <c r="C213" s="211">
        <f>C184+C185</f>
        <v>-563291542</v>
      </c>
      <c r="D213" s="211">
        <f>D184+D185+D210</f>
        <v>173159635.61000001</v>
      </c>
      <c r="E213" s="211"/>
      <c r="F213" s="211">
        <f>F184+F185</f>
        <v>658583832</v>
      </c>
      <c r="G213" s="211">
        <f>G184+G185</f>
        <v>73775098</v>
      </c>
      <c r="H213" s="211"/>
      <c r="I213" s="211">
        <f>I184+I185</f>
        <v>442953826</v>
      </c>
      <c r="J213" s="211">
        <f>J184+J185</f>
        <v>64022870</v>
      </c>
      <c r="K213" s="211"/>
      <c r="L213" s="211">
        <f>D213+G213+J213</f>
        <v>310957603.61000001</v>
      </c>
      <c r="M213" s="211">
        <f>M184+M185</f>
        <v>26848843</v>
      </c>
      <c r="N213" s="211">
        <f>N184+N185</f>
        <v>0</v>
      </c>
      <c r="O213" s="109"/>
    </row>
    <row r="215" spans="1:15" hidden="1" x14ac:dyDescent="0.25">
      <c r="C215" s="111" t="s">
        <v>414</v>
      </c>
      <c r="D215" s="162">
        <f>Доходы!D25-Доходы!D80</f>
        <v>173169400.61000001</v>
      </c>
      <c r="I215" s="124" t="s">
        <v>368</v>
      </c>
      <c r="J215" s="124">
        <v>31985718</v>
      </c>
      <c r="K215" s="231" t="s">
        <v>506</v>
      </c>
      <c r="L215" s="124">
        <v>2882293266</v>
      </c>
    </row>
    <row r="216" spans="1:15" hidden="1" x14ac:dyDescent="0.25">
      <c r="C216" s="111" t="s">
        <v>413</v>
      </c>
      <c r="D216" s="163">
        <f>D215-D213</f>
        <v>9765</v>
      </c>
      <c r="I216" s="124" t="s">
        <v>370</v>
      </c>
      <c r="J216" s="124">
        <f>20484500+7437574+87483+190000+380000</f>
        <v>28579557</v>
      </c>
      <c r="K216" s="231" t="s">
        <v>507</v>
      </c>
      <c r="L216" s="164">
        <f>L213+L215</f>
        <v>3193250869.6100001</v>
      </c>
    </row>
    <row r="217" spans="1:15" hidden="1" x14ac:dyDescent="0.25">
      <c r="D217" s="163"/>
      <c r="I217" s="124" t="s">
        <v>371</v>
      </c>
      <c r="J217" s="124">
        <f>250095+2187500+600000</f>
        <v>3037595</v>
      </c>
    </row>
    <row r="218" spans="1:15" hidden="1" x14ac:dyDescent="0.25">
      <c r="I218" s="124" t="s">
        <v>372</v>
      </c>
      <c r="J218" s="124">
        <v>270000</v>
      </c>
    </row>
    <row r="219" spans="1:15" hidden="1" x14ac:dyDescent="0.25">
      <c r="I219" s="124" t="s">
        <v>373</v>
      </c>
      <c r="J219" s="124">
        <f>200000-200000+50000+100000</f>
        <v>150000</v>
      </c>
    </row>
    <row r="220" spans="1:15" hidden="1" x14ac:dyDescent="0.25">
      <c r="C220" s="111" t="s">
        <v>415</v>
      </c>
      <c r="D220" s="162">
        <f>Доходы!D80</f>
        <v>64022870</v>
      </c>
      <c r="I220" s="124"/>
      <c r="J220" s="124"/>
    </row>
    <row r="221" spans="1:15" hidden="1" x14ac:dyDescent="0.25">
      <c r="C221" s="111" t="s">
        <v>413</v>
      </c>
      <c r="D221" s="185">
        <f>J211-D219</f>
        <v>0</v>
      </c>
      <c r="I221" s="124"/>
      <c r="J221" s="124"/>
    </row>
    <row r="222" spans="1:15" hidden="1" x14ac:dyDescent="0.25">
      <c r="E222" s="184" t="s">
        <v>418</v>
      </c>
      <c r="F222" s="124">
        <f>Доходы!D121</f>
        <v>303123080.61000001</v>
      </c>
      <c r="H222" s="111">
        <f>D213+J213</f>
        <v>237182505.61000001</v>
      </c>
      <c r="I222" s="124"/>
      <c r="J222" s="124"/>
    </row>
    <row r="223" spans="1:15" hidden="1" x14ac:dyDescent="0.25">
      <c r="E223" s="184" t="s">
        <v>419</v>
      </c>
      <c r="F223" s="124">
        <f>D213+G213+J213</f>
        <v>310957603.61000001</v>
      </c>
      <c r="I223" s="124"/>
      <c r="J223" s="124"/>
    </row>
    <row r="224" spans="1:15" hidden="1" x14ac:dyDescent="0.25">
      <c r="E224" s="184" t="s">
        <v>420</v>
      </c>
      <c r="F224" s="124">
        <f>F222-F223</f>
        <v>-7834523</v>
      </c>
      <c r="I224" s="124"/>
      <c r="J224" s="124"/>
    </row>
    <row r="225" spans="3:10" hidden="1" x14ac:dyDescent="0.25">
      <c r="E225" s="184"/>
      <c r="F225" s="124"/>
      <c r="I225" s="124"/>
      <c r="J225" s="124"/>
    </row>
    <row r="226" spans="3:10" hidden="1" x14ac:dyDescent="0.25">
      <c r="I226" s="124"/>
      <c r="J226" s="164">
        <f>SUM(J215:J225)</f>
        <v>64022870</v>
      </c>
    </row>
    <row r="227" spans="3:10" hidden="1" x14ac:dyDescent="0.25"/>
    <row r="228" spans="3:10" hidden="1" x14ac:dyDescent="0.25"/>
    <row r="229" spans="3:10" hidden="1" x14ac:dyDescent="0.25">
      <c r="J229" s="111">
        <f>J213-J226</f>
        <v>0</v>
      </c>
    </row>
    <row r="230" spans="3:10" hidden="1" x14ac:dyDescent="0.25"/>
    <row r="231" spans="3:10" hidden="1" x14ac:dyDescent="0.25"/>
    <row r="232" spans="3:10" hidden="1" x14ac:dyDescent="0.25"/>
    <row r="233" spans="3:10" hidden="1" x14ac:dyDescent="0.25">
      <c r="D233" s="111">
        <f>D7+D8+D22+D23+D24+D30+D41+D42+D43+D45+D46+D48+D50+D51+D52+D71+D72+D73+D76+D89+D90+D102+D150+D151+D182+D186+D189+D190+D211+D64</f>
        <v>81389552.109999999</v>
      </c>
    </row>
    <row r="234" spans="3:10" hidden="1" x14ac:dyDescent="0.25">
      <c r="C234" s="111" t="s">
        <v>509</v>
      </c>
      <c r="D234" s="202">
        <f>D212+D203+D191+D74+D65+D39+D25+D9</f>
        <v>91761961</v>
      </c>
    </row>
    <row r="235" spans="3:10" hidden="1" x14ac:dyDescent="0.25">
      <c r="D235" s="163">
        <f>SUM(D233:D234)</f>
        <v>173151513.11000001</v>
      </c>
    </row>
    <row r="236" spans="3:10" hidden="1" x14ac:dyDescent="0.25"/>
    <row r="237" spans="3:10" hidden="1" x14ac:dyDescent="0.25">
      <c r="C237" s="111" t="s">
        <v>451</v>
      </c>
      <c r="D237" s="111">
        <v>9765</v>
      </c>
    </row>
    <row r="238" spans="3:10" hidden="1" x14ac:dyDescent="0.25">
      <c r="C238" s="111" t="s">
        <v>452</v>
      </c>
      <c r="D238" s="111">
        <v>88000</v>
      </c>
    </row>
    <row r="239" spans="3:10" hidden="1" x14ac:dyDescent="0.25">
      <c r="D239" s="163">
        <f>SUM(D237:D238)</f>
        <v>97765</v>
      </c>
    </row>
    <row r="240" spans="3:10" hidden="1" x14ac:dyDescent="0.25"/>
    <row r="241" spans="4:4" hidden="1" x14ac:dyDescent="0.25"/>
    <row r="242" spans="4:4" hidden="1" x14ac:dyDescent="0.25">
      <c r="D242" s="163">
        <f>D235-D239</f>
        <v>173053748.11000001</v>
      </c>
    </row>
    <row r="243" spans="4:4" hidden="1" x14ac:dyDescent="0.25"/>
    <row r="244" spans="4:4" hidden="1" x14ac:dyDescent="0.25"/>
    <row r="245" spans="4:4" hidden="1" x14ac:dyDescent="0.25"/>
    <row r="246" spans="4:4" hidden="1" x14ac:dyDescent="0.25"/>
    <row r="247" spans="4:4" hidden="1" x14ac:dyDescent="0.25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23622047244094491" right="0.23622047244094491" top="0.35433070866141736" bottom="0.15748031496062992" header="0" footer="0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4"/>
  <sheetViews>
    <sheetView workbookViewId="0">
      <selection activeCell="H8" sqref="H8"/>
    </sheetView>
  </sheetViews>
  <sheetFormatPr defaultRowHeight="15.05" x14ac:dyDescent="0.3"/>
  <cols>
    <col min="1" max="1" width="32.44140625" customWidth="1"/>
    <col min="2" max="6" width="0" hidden="1" customWidth="1"/>
    <col min="7" max="7" width="22.33203125" customWidth="1"/>
    <col min="8" max="8" width="21.33203125" customWidth="1"/>
    <col min="9" max="9" width="20.5546875" customWidth="1"/>
    <col min="10" max="10" width="21.33203125" customWidth="1"/>
  </cols>
  <sheetData>
    <row r="2" spans="1:11" hidden="1" x14ac:dyDescent="0.3"/>
    <row r="3" spans="1:11" ht="15.75" x14ac:dyDescent="0.3">
      <c r="A3" s="253" t="s">
        <v>347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5.75" x14ac:dyDescent="0.3">
      <c r="A4" s="2"/>
      <c r="B4" s="3"/>
      <c r="C4" s="4"/>
      <c r="D4" s="263"/>
      <c r="E4" s="263"/>
      <c r="F4" s="263"/>
      <c r="G4" s="263"/>
      <c r="H4" s="4"/>
      <c r="I4" s="4"/>
      <c r="J4" s="4"/>
      <c r="K4" s="4"/>
    </row>
    <row r="5" spans="1:11" ht="31.45" x14ac:dyDescent="0.3">
      <c r="A5" s="5"/>
      <c r="B5" s="5"/>
      <c r="C5" s="5"/>
      <c r="D5" s="5"/>
      <c r="E5" s="5"/>
      <c r="F5" s="5"/>
      <c r="G5" s="6" t="s">
        <v>343</v>
      </c>
      <c r="H5" s="7" t="s">
        <v>124</v>
      </c>
      <c r="I5" s="7" t="s">
        <v>125</v>
      </c>
      <c r="J5" s="6" t="s">
        <v>344</v>
      </c>
      <c r="K5" s="8"/>
    </row>
    <row r="6" spans="1:11" x14ac:dyDescent="0.3">
      <c r="A6" s="9"/>
      <c r="B6" s="264">
        <f>+G7</f>
        <v>0</v>
      </c>
      <c r="C6" s="264"/>
      <c r="D6" s="265"/>
      <c r="E6" s="265"/>
      <c r="F6" s="265"/>
      <c r="G6" s="265"/>
      <c r="H6" s="25">
        <f>H7+H9+H8</f>
        <v>303123080.61000001</v>
      </c>
      <c r="I6" s="25">
        <f>Расходы!D213+Расходы!G213+Расходы!J213</f>
        <v>310957603.61000001</v>
      </c>
      <c r="J6" s="25">
        <f>B6-H6+I6</f>
        <v>7834523</v>
      </c>
      <c r="K6" s="8"/>
    </row>
    <row r="7" spans="1:11" x14ac:dyDescent="0.3">
      <c r="A7" s="10" t="s">
        <v>126</v>
      </c>
      <c r="B7" s="26"/>
      <c r="C7" s="26"/>
      <c r="D7" s="26"/>
      <c r="E7" s="26"/>
      <c r="F7" s="26"/>
      <c r="G7" s="26">
        <v>0</v>
      </c>
      <c r="H7" s="26">
        <v>0</v>
      </c>
      <c r="I7" s="26">
        <f>21508377</f>
        <v>21508377</v>
      </c>
      <c r="J7" s="26">
        <f>J6</f>
        <v>7834523</v>
      </c>
      <c r="K7" s="8"/>
    </row>
    <row r="8" spans="1:11" ht="30.15" x14ac:dyDescent="0.3">
      <c r="A8" s="10" t="s">
        <v>127</v>
      </c>
      <c r="B8" s="26"/>
      <c r="C8" s="26"/>
      <c r="D8" s="26"/>
      <c r="E8" s="26"/>
      <c r="F8" s="26"/>
      <c r="G8" s="26"/>
      <c r="H8" s="26">
        <f>Доходы!D6</f>
        <v>65930810</v>
      </c>
      <c r="I8" s="26">
        <v>0</v>
      </c>
      <c r="J8" s="26">
        <v>0</v>
      </c>
      <c r="K8" s="8"/>
    </row>
    <row r="9" spans="1:11" x14ac:dyDescent="0.3">
      <c r="A9" s="10" t="s">
        <v>128</v>
      </c>
      <c r="B9" s="26"/>
      <c r="C9" s="26"/>
      <c r="D9" s="26"/>
      <c r="E9" s="26"/>
      <c r="F9" s="26"/>
      <c r="G9" s="26"/>
      <c r="H9" s="26">
        <f>Доходы!D25</f>
        <v>237192270.61000001</v>
      </c>
      <c r="I9" s="26">
        <v>0</v>
      </c>
      <c r="J9" s="26">
        <v>0</v>
      </c>
      <c r="K9" s="8"/>
    </row>
    <row r="10" spans="1:11" x14ac:dyDescent="0.3">
      <c r="A10" s="10" t="s">
        <v>129</v>
      </c>
      <c r="B10" s="26"/>
      <c r="C10" s="26"/>
      <c r="D10" s="26"/>
      <c r="E10" s="26"/>
      <c r="F10" s="26"/>
      <c r="G10" s="26"/>
      <c r="H10" s="26"/>
      <c r="I10" s="26"/>
      <c r="J10" s="26"/>
      <c r="K10" s="8"/>
    </row>
    <row r="11" spans="1:11" x14ac:dyDescent="0.3">
      <c r="A11" s="10" t="s">
        <v>130</v>
      </c>
      <c r="B11" s="26"/>
      <c r="C11" s="26"/>
      <c r="D11" s="26"/>
      <c r="E11" s="26"/>
      <c r="F11" s="26"/>
      <c r="G11" s="26"/>
      <c r="H11" s="26"/>
      <c r="I11" s="26"/>
      <c r="J11" s="26"/>
      <c r="K11" s="8"/>
    </row>
    <row r="12" spans="1:1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3">
    <mergeCell ref="A3:K3"/>
    <mergeCell ref="D4:G4"/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Доходы</vt:lpstr>
      <vt:lpstr>Расходы</vt:lpstr>
      <vt:lpstr>Источники</vt:lpstr>
      <vt:lpstr>Лист1</vt:lpstr>
      <vt:lpstr>Доходы!Область_печати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2024-08-23T07:17:06Z</dcterms:modified>
</cp:coreProperties>
</file>