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2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расходы!$A$4:$P$5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Доходы!$B$1:$G$130</definedName>
    <definedName name="_xlnm.Print_Area" localSheetId="3">источники!$A$1:$K$14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3" l="1"/>
  <c r="K26" i="3" s="1"/>
  <c r="J25" i="3"/>
  <c r="K25" i="3" s="1"/>
  <c r="H9" i="4"/>
  <c r="K27" i="3"/>
  <c r="K28" i="3"/>
  <c r="K31" i="3"/>
  <c r="K32" i="3"/>
  <c r="K33" i="3"/>
  <c r="K36" i="3"/>
  <c r="K37" i="3"/>
  <c r="K44" i="3"/>
  <c r="K45" i="3"/>
  <c r="K46" i="3"/>
  <c r="K49" i="3"/>
  <c r="J27" i="3"/>
  <c r="J195" i="3" l="1"/>
  <c r="K206" i="3"/>
  <c r="J128" i="3"/>
  <c r="J49" i="3" l="1"/>
  <c r="G26" i="3"/>
  <c r="G28" i="3"/>
  <c r="G30" i="3"/>
  <c r="G31" i="3"/>
  <c r="G32" i="3"/>
  <c r="G33" i="3"/>
  <c r="G34" i="3"/>
  <c r="G35" i="3"/>
  <c r="G36" i="3"/>
  <c r="G38" i="3"/>
  <c r="G39" i="3"/>
  <c r="G40" i="3"/>
  <c r="G41" i="3"/>
  <c r="G43" i="3"/>
  <c r="J207" i="3"/>
  <c r="J19" i="3"/>
  <c r="F196" i="3"/>
  <c r="F42" i="3"/>
  <c r="F21" i="3"/>
  <c r="J124" i="3"/>
  <c r="J87" i="3"/>
  <c r="J24" i="3" l="1"/>
  <c r="F214" i="3"/>
  <c r="J20" i="3"/>
  <c r="F213" i="3" l="1"/>
  <c r="F60" i="3"/>
  <c r="J208" i="3" l="1"/>
  <c r="G203" i="3"/>
  <c r="G70" i="3"/>
  <c r="G71" i="3"/>
  <c r="G67" i="3"/>
  <c r="G81" i="3"/>
  <c r="G68" i="3"/>
  <c r="G69" i="3"/>
  <c r="G84" i="3"/>
  <c r="K198" i="3" l="1"/>
  <c r="K199" i="3"/>
  <c r="K201" i="3"/>
  <c r="K202" i="3"/>
  <c r="K204" i="3"/>
  <c r="K205" i="3"/>
  <c r="K211" i="3"/>
  <c r="F25" i="3"/>
  <c r="G25" i="3" s="1"/>
  <c r="J223" i="3"/>
  <c r="K195" i="3"/>
  <c r="D125" i="2"/>
  <c r="D49" i="2"/>
  <c r="D31" i="2" l="1"/>
  <c r="D8" i="2"/>
  <c r="D15" i="2" l="1"/>
  <c r="K208" i="3" l="1"/>
  <c r="I208" i="3"/>
  <c r="I37" i="3"/>
  <c r="I19" i="3"/>
  <c r="I20" i="3"/>
  <c r="K20" i="3" s="1"/>
  <c r="J197" i="3" l="1"/>
  <c r="I195" i="3"/>
  <c r="K207" i="3"/>
  <c r="I207" i="3"/>
  <c r="K197" i="3" l="1"/>
  <c r="N142" i="3"/>
  <c r="N210" i="3"/>
  <c r="M209" i="3"/>
  <c r="N209" i="3" s="1"/>
  <c r="N173" i="3"/>
  <c r="N171" i="3"/>
  <c r="J200" i="3" l="1"/>
  <c r="J213" i="3"/>
  <c r="J8" i="3"/>
  <c r="J13" i="3"/>
  <c r="J15" i="3"/>
  <c r="J18" i="3"/>
  <c r="J44" i="3"/>
  <c r="J47" i="3"/>
  <c r="J54" i="3"/>
  <c r="J60" i="3"/>
  <c r="J86" i="3"/>
  <c r="J89" i="3"/>
  <c r="J98" i="3"/>
  <c r="J100" i="3"/>
  <c r="J102" i="3"/>
  <c r="J105" i="3"/>
  <c r="J108" i="3"/>
  <c r="J111" i="3"/>
  <c r="J113" i="3"/>
  <c r="J115" i="3"/>
  <c r="J118" i="3"/>
  <c r="J120" i="3"/>
  <c r="J123" i="3"/>
  <c r="J126" i="3"/>
  <c r="J129" i="3"/>
  <c r="J132" i="3"/>
  <c r="J135" i="3"/>
  <c r="J139" i="3"/>
  <c r="J141" i="3"/>
  <c r="J145" i="3"/>
  <c r="J147" i="3"/>
  <c r="J149" i="3"/>
  <c r="J152" i="3"/>
  <c r="J155" i="3"/>
  <c r="J157" i="3"/>
  <c r="J161" i="3"/>
  <c r="J164" i="3"/>
  <c r="J167" i="3"/>
  <c r="J170" i="3"/>
  <c r="J178" i="3"/>
  <c r="J183" i="3"/>
  <c r="J185" i="3"/>
  <c r="J188" i="3"/>
  <c r="J190" i="3"/>
  <c r="I105" i="3"/>
  <c r="K200" i="3" l="1"/>
  <c r="J194" i="3"/>
  <c r="J110" i="3"/>
  <c r="J23" i="3"/>
  <c r="J97" i="3"/>
  <c r="J138" i="3"/>
  <c r="J59" i="3"/>
  <c r="J7" i="3"/>
  <c r="I22" i="3"/>
  <c r="K22" i="3" s="1"/>
  <c r="I200" i="3"/>
  <c r="J192" i="3" l="1"/>
  <c r="J216" i="3" s="1"/>
  <c r="K107" i="3"/>
  <c r="K151" i="3"/>
  <c r="K125" i="3"/>
  <c r="K19" i="3" l="1"/>
  <c r="N179" i="3" l="1"/>
  <c r="N175" i="3"/>
  <c r="N143" i="3"/>
  <c r="N176" i="3" l="1"/>
  <c r="N172" i="3"/>
  <c r="N177" i="3"/>
  <c r="D27" i="2" l="1"/>
  <c r="B6" i="4" l="1"/>
  <c r="I213" i="3"/>
  <c r="K150" i="3"/>
  <c r="I149" i="3"/>
  <c r="P108" i="3"/>
  <c r="O108" i="3"/>
  <c r="M108" i="3"/>
  <c r="I108" i="3"/>
  <c r="F108" i="3"/>
  <c r="P54" i="3"/>
  <c r="O54" i="3"/>
  <c r="M54" i="3"/>
  <c r="I54" i="3"/>
  <c r="F54" i="3"/>
  <c r="K124" i="3" l="1"/>
  <c r="F49" i="2" l="1"/>
  <c r="E49" i="2"/>
  <c r="E31" i="2" l="1"/>
  <c r="F31" i="2"/>
  <c r="D97" i="2"/>
  <c r="D96" i="2" s="1"/>
  <c r="D26" i="2" s="1"/>
  <c r="K186" i="3" l="1"/>
  <c r="P194" i="3" l="1"/>
  <c r="O194" i="3"/>
  <c r="I194" i="3"/>
  <c r="F194" i="3"/>
  <c r="M194" i="3"/>
  <c r="P170" i="3" l="1"/>
  <c r="O170" i="3"/>
  <c r="I170" i="3"/>
  <c r="F170" i="3"/>
  <c r="P188" i="3"/>
  <c r="O188" i="3"/>
  <c r="M188" i="3"/>
  <c r="I188" i="3"/>
  <c r="F188" i="3"/>
  <c r="P185" i="3"/>
  <c r="O185" i="3"/>
  <c r="M185" i="3"/>
  <c r="I185" i="3"/>
  <c r="F185" i="3"/>
  <c r="P183" i="3"/>
  <c r="O183" i="3"/>
  <c r="M183" i="3"/>
  <c r="I183" i="3"/>
  <c r="F183" i="3"/>
  <c r="P135" i="3"/>
  <c r="O135" i="3"/>
  <c r="M135" i="3"/>
  <c r="I135" i="3"/>
  <c r="F135" i="3"/>
  <c r="M170" i="3" l="1"/>
  <c r="K128" i="3"/>
  <c r="N104" i="3"/>
  <c r="K106" i="3"/>
  <c r="G77" i="3"/>
  <c r="G78" i="3"/>
  <c r="G79" i="3"/>
  <c r="F97" i="2" l="1"/>
  <c r="F96" i="2" s="1"/>
  <c r="E97" i="2"/>
  <c r="E96" i="2" s="1"/>
  <c r="K101" i="3" l="1"/>
  <c r="I102" i="3" l="1"/>
  <c r="M102" i="3"/>
  <c r="P178" i="3"/>
  <c r="O178" i="3"/>
  <c r="M178" i="3"/>
  <c r="I178" i="3"/>
  <c r="F178" i="3"/>
  <c r="F102" i="3" l="1"/>
  <c r="P141" i="3" l="1"/>
  <c r="K85" i="3"/>
  <c r="I18" i="3"/>
  <c r="M18" i="3"/>
  <c r="G83" i="3"/>
  <c r="G80" i="3"/>
  <c r="G75" i="3"/>
  <c r="G74" i="3"/>
  <c r="G73" i="3"/>
  <c r="G72" i="3"/>
  <c r="G66" i="3"/>
  <c r="G65" i="3"/>
  <c r="G64" i="3"/>
  <c r="G63" i="3"/>
  <c r="G62" i="3"/>
  <c r="P60" i="3"/>
  <c r="O60" i="3"/>
  <c r="M60" i="3"/>
  <c r="I60" i="3"/>
  <c r="P47" i="3"/>
  <c r="O47" i="3"/>
  <c r="M47" i="3"/>
  <c r="I47" i="3"/>
  <c r="F47" i="3"/>
  <c r="P44" i="3"/>
  <c r="O44" i="3"/>
  <c r="M44" i="3"/>
  <c r="I44" i="3"/>
  <c r="F44" i="3"/>
  <c r="I24" i="3"/>
  <c r="P24" i="3"/>
  <c r="O24" i="3"/>
  <c r="M24" i="3"/>
  <c r="F24" i="3"/>
  <c r="P18" i="3"/>
  <c r="O18" i="3"/>
  <c r="F18" i="3"/>
  <c r="F23" i="3" l="1"/>
  <c r="P23" i="3"/>
  <c r="O23" i="3"/>
  <c r="I23" i="3"/>
  <c r="M23" i="3"/>
  <c r="G76" i="3"/>
  <c r="P157" i="3" l="1"/>
  <c r="O157" i="3"/>
  <c r="M157" i="3"/>
  <c r="I157" i="3"/>
  <c r="F157" i="3"/>
  <c r="P167" i="3"/>
  <c r="O167" i="3"/>
  <c r="P190" i="3"/>
  <c r="O190" i="3"/>
  <c r="M190" i="3"/>
  <c r="I190" i="3"/>
  <c r="F190" i="3"/>
  <c r="P147" i="3"/>
  <c r="O147" i="3"/>
  <c r="P145" i="3"/>
  <c r="O145" i="3"/>
  <c r="O141" i="3"/>
  <c r="M141" i="3"/>
  <c r="I141" i="3"/>
  <c r="F141" i="3"/>
  <c r="K121" i="3"/>
  <c r="P120" i="3"/>
  <c r="O120" i="3"/>
  <c r="M120" i="3"/>
  <c r="I120" i="3"/>
  <c r="F120" i="3"/>
  <c r="P102" i="3"/>
  <c r="O102" i="3"/>
  <c r="P100" i="3"/>
  <c r="O100" i="3"/>
  <c r="M100" i="3"/>
  <c r="I100" i="3"/>
  <c r="F100" i="3"/>
  <c r="E8" i="2" l="1"/>
  <c r="F8" i="2"/>
  <c r="E15" i="2"/>
  <c r="F15" i="2"/>
  <c r="F6" i="2" l="1"/>
  <c r="E6" i="2"/>
  <c r="P213" i="3" l="1"/>
  <c r="O213" i="3"/>
  <c r="M213" i="3"/>
  <c r="E25" i="2"/>
  <c r="E130" i="2" s="1"/>
  <c r="F25" i="2"/>
  <c r="F130" i="2" s="1"/>
  <c r="M118" i="3" l="1"/>
  <c r="I118" i="3"/>
  <c r="F118" i="3"/>
  <c r="M147" i="3"/>
  <c r="I147" i="3"/>
  <c r="F147" i="3"/>
  <c r="M145" i="3"/>
  <c r="I145" i="3"/>
  <c r="F145" i="3"/>
  <c r="M167" i="3" l="1"/>
  <c r="I167" i="3"/>
  <c r="F167" i="3"/>
  <c r="K87" i="3" l="1"/>
  <c r="I115" i="3" l="1"/>
  <c r="K117" i="3"/>
  <c r="P164" i="3"/>
  <c r="O164" i="3"/>
  <c r="M164" i="3"/>
  <c r="I164" i="3"/>
  <c r="F164" i="3"/>
  <c r="P161" i="3"/>
  <c r="O161" i="3"/>
  <c r="M161" i="3"/>
  <c r="I161" i="3"/>
  <c r="F161" i="3"/>
  <c r="P155" i="3"/>
  <c r="O155" i="3"/>
  <c r="M155" i="3"/>
  <c r="I155" i="3"/>
  <c r="F155" i="3"/>
  <c r="P152" i="3"/>
  <c r="O152" i="3"/>
  <c r="M152" i="3"/>
  <c r="I152" i="3"/>
  <c r="F152" i="3"/>
  <c r="P149" i="3"/>
  <c r="O149" i="3"/>
  <c r="M149" i="3"/>
  <c r="F149" i="3"/>
  <c r="P139" i="3"/>
  <c r="P138" i="3" s="1"/>
  <c r="O139" i="3"/>
  <c r="O138" i="3" s="1"/>
  <c r="M139" i="3"/>
  <c r="M138" i="3" s="1"/>
  <c r="I139" i="3"/>
  <c r="I138" i="3" s="1"/>
  <c r="F139" i="3"/>
  <c r="F138" i="3" s="1"/>
  <c r="P132" i="3"/>
  <c r="O132" i="3"/>
  <c r="M132" i="3"/>
  <c r="I132" i="3"/>
  <c r="F132" i="3"/>
  <c r="P129" i="3"/>
  <c r="O129" i="3"/>
  <c r="M129" i="3"/>
  <c r="I129" i="3"/>
  <c r="F129" i="3"/>
  <c r="K127" i="3"/>
  <c r="P126" i="3"/>
  <c r="O126" i="3"/>
  <c r="M126" i="3"/>
  <c r="I126" i="3"/>
  <c r="F126" i="3"/>
  <c r="P123" i="3"/>
  <c r="O123" i="3"/>
  <c r="M123" i="3"/>
  <c r="I123" i="3"/>
  <c r="F123" i="3"/>
  <c r="K116" i="3"/>
  <c r="P115" i="3"/>
  <c r="O115" i="3"/>
  <c r="M115" i="3"/>
  <c r="F115" i="3"/>
  <c r="P113" i="3"/>
  <c r="O113" i="3"/>
  <c r="M113" i="3"/>
  <c r="I113" i="3"/>
  <c r="F113" i="3"/>
  <c r="P111" i="3"/>
  <c r="O111" i="3"/>
  <c r="M111" i="3"/>
  <c r="I111" i="3"/>
  <c r="F111" i="3"/>
  <c r="P105" i="3"/>
  <c r="O105" i="3"/>
  <c r="M105" i="3"/>
  <c r="F105" i="3"/>
  <c r="P98" i="3"/>
  <c r="O98" i="3"/>
  <c r="M98" i="3"/>
  <c r="I98" i="3"/>
  <c r="F98" i="3"/>
  <c r="K90" i="3"/>
  <c r="P89" i="3"/>
  <c r="O89" i="3"/>
  <c r="M89" i="3"/>
  <c r="I89" i="3"/>
  <c r="F89" i="3"/>
  <c r="P86" i="3"/>
  <c r="P59" i="3" s="1"/>
  <c r="O86" i="3"/>
  <c r="O59" i="3" s="1"/>
  <c r="M86" i="3"/>
  <c r="M59" i="3" s="1"/>
  <c r="I86" i="3"/>
  <c r="I59" i="3" s="1"/>
  <c r="F86" i="3"/>
  <c r="F59" i="3" s="1"/>
  <c r="P15" i="3"/>
  <c r="O15" i="3"/>
  <c r="M15" i="3"/>
  <c r="I15" i="3"/>
  <c r="F15" i="3"/>
  <c r="P13" i="3"/>
  <c r="O13" i="3"/>
  <c r="M13" i="3"/>
  <c r="I13" i="3"/>
  <c r="F13" i="3"/>
  <c r="P8" i="3"/>
  <c r="O8" i="3"/>
  <c r="M8" i="3"/>
  <c r="I8" i="3"/>
  <c r="F8" i="3"/>
  <c r="F7" i="3" l="1"/>
  <c r="I7" i="3"/>
  <c r="P7" i="3"/>
  <c r="M7" i="3"/>
  <c r="O7" i="3"/>
  <c r="M110" i="3"/>
  <c r="F110" i="3"/>
  <c r="I110" i="3"/>
  <c r="F97" i="3"/>
  <c r="P97" i="3"/>
  <c r="M97" i="3"/>
  <c r="D6" i="2"/>
  <c r="P110" i="3"/>
  <c r="O110" i="3"/>
  <c r="I97" i="3"/>
  <c r="O97" i="3"/>
  <c r="M192" i="3" l="1"/>
  <c r="F192" i="3"/>
  <c r="I192" i="3"/>
  <c r="I216" i="3" s="1"/>
  <c r="O192" i="3"/>
  <c r="P192" i="3"/>
  <c r="F216" i="3" l="1"/>
  <c r="D193" i="3"/>
  <c r="O193" i="3"/>
  <c r="O216" i="3"/>
  <c r="O218" i="3" s="1"/>
  <c r="P193" i="3"/>
  <c r="P216" i="3"/>
  <c r="P218" i="3" s="1"/>
  <c r="H8" i="4" l="1"/>
  <c r="H23" i="1" l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M216" i="3"/>
  <c r="N217" i="3" s="1"/>
  <c r="E218" i="3" l="1"/>
  <c r="I6" i="4" s="1"/>
  <c r="D25" i="2"/>
  <c r="D130" i="2" s="1"/>
  <c r="H6" i="4" l="1"/>
  <c r="J6" i="4" s="1"/>
  <c r="J7" i="4" s="1"/>
</calcChain>
</file>

<file path=xl/sharedStrings.xml><?xml version="1.0" encoding="utf-8"?>
<sst xmlns="http://schemas.openxmlformats.org/spreadsheetml/2006/main" count="1199" uniqueCount="603">
  <si>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</si>
  <si>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</si>
  <si>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</si>
  <si>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</si>
  <si>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</si>
  <si>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</si>
  <si>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</si>
  <si>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</si>
  <si>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</si>
  <si>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</si>
  <si>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</si>
  <si>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</si>
  <si>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</si>
  <si>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</si>
  <si>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</si>
  <si>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</si>
  <si>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</si>
  <si>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</si>
  <si>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</si>
  <si>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</si>
  <si>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</si>
  <si>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</si>
  <si>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</si>
  <si>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</si>
  <si>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</si>
  <si>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</si>
  <si>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</si>
  <si>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</si>
  <si>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</si>
  <si>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</si>
  <si>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</si>
  <si>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</si>
  <si>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</si>
  <si>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</si>
  <si>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</si>
  <si>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</si>
  <si>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</si>
  <si>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</si>
  <si>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</si>
  <si>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</si>
  <si>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</si>
  <si>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</si>
  <si>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</si>
  <si>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</si>
  <si>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</si>
  <si>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</si>
  <si>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</si>
  <si>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</si>
  <si>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</si>
  <si>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</si>
  <si>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</si>
  <si>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</si>
  <si>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</si>
  <si>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</si>
  <si>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</si>
  <si>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</si>
  <si>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</si>
  <si>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</si>
  <si>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</si>
  <si>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</si>
  <si>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</si>
  <si>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</si>
  <si>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</si>
  <si>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</si>
  <si>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</si>
  <si>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</si>
  <si>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</si>
  <si>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</si>
  <si>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</si>
  <si>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</si>
  <si>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</si>
  <si>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</si>
  <si>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</si>
  <si>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</si>
  <si>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</si>
  <si>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</si>
  <si>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</si>
  <si>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</si>
  <si>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</si>
  <si>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</si>
  <si>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</si>
  <si>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</si>
  <si>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</si>
  <si>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</si>
  <si>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</si>
  <si>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</si>
  <si>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</si>
  <si>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</si>
  <si>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</si>
  <si>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</si>
  <si>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</si>
  <si>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</si>
  <si>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</si>
  <si>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</si>
  <si>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</si>
  <si>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</si>
  <si>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</si>
  <si>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</si>
  <si>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</si>
  <si>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</si>
  <si>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</si>
  <si>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</si>
  <si>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</si>
  <si>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</si>
  <si>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</si>
  <si>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</si>
  <si>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</si>
  <si>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</si>
  <si>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</si>
  <si>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</si>
  <si>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</si>
  <si>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</si>
  <si>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</si>
  <si>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</si>
  <si>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</si>
  <si>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</si>
  <si>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</si>
  <si>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</si>
  <si>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</si>
  <si>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</si>
  <si>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</si>
  <si>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</si>
  <si>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</si>
  <si>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</si>
  <si>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</si>
  <si>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</si>
  <si>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</si>
  <si>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</si>
  <si>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</si>
  <si>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</si>
  <si>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</si>
  <si>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</si>
  <si>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</si>
  <si>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</si>
  <si>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</si>
  <si>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</si>
  <si>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</si>
  <si>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</si>
  <si>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</si>
  <si>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</si>
  <si>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</si>
  <si>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</si>
  <si>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</si>
  <si>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</si>
  <si>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</si>
  <si>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</si>
  <si>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</si>
  <si>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</si>
  <si>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</si>
  <si>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</si>
  <si>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</si>
  <si>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</si>
  <si>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</si>
  <si>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</si>
  <si>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</si>
  <si>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</si>
  <si>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</si>
  <si>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</si>
  <si>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</si>
  <si>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</si>
  <si>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</si>
  <si>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</si>
  <si>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</si>
  <si>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</si>
  <si>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</si>
  <si>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</si>
  <si>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</si>
  <si>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</si>
  <si>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</si>
  <si>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</si>
  <si>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</si>
  <si>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</si>
  <si>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</si>
  <si>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</si>
  <si>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</si>
  <si>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</si>
  <si>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</si>
  <si>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</si>
  <si>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</si>
  <si>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</si>
  <si>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</si>
  <si>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</si>
  <si>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</si>
  <si>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</si>
  <si>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</si>
  <si>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</si>
  <si>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</si>
  <si>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</si>
  <si>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</si>
  <si>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</si>
  <si>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</si>
  <si>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Обучение муниципальных служащих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</si>
  <si>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</si>
  <si>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</si>
  <si>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</si>
  <si>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</si>
  <si>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</si>
  <si>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</si>
  <si>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органов местного самоуправления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</si>
  <si>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</si>
  <si>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</si>
  <si>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</si>
  <si>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</si>
  <si>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</si>
  <si>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</si>
  <si>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</si>
  <si>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</si>
  <si>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</si>
  <si>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</si>
  <si>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Проведение гас. экспертизы</t>
  </si>
  <si>
    <t xml:space="preserve">Мероприятия по благоустройству (обеспечение деятельности)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</si>
  <si>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</si>
  <si>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</si>
  <si>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АТМР, ДФ, ДИ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</si>
  <si>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</si>
  <si>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</si>
  <si>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</si>
  <si>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</si>
  <si>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</si>
  <si>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</si>
  <si>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</si>
  <si>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</si>
  <si>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</si>
  <si>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</si>
  <si>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Расходы на обеспечение  деятельности  органов местного самоуправления в сфере соц. защиты</t>
  </si>
  <si>
    <t xml:space="preserve">Инициативное бюджетирование </t>
  </si>
  <si>
    <t>Субвенции бюджетам муниципальных районов на государственную регистрацию актов гражданского состояния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</si>
  <si>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</si>
  <si>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</si>
  <si>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</si>
  <si>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</si>
  <si>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</si>
  <si>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</si>
  <si>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</si>
  <si>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</si>
  <si>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</si>
  <si>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</si>
  <si>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</si>
  <si>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</si>
  <si>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</si>
  <si>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</si>
  <si>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</si>
  <si>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</si>
  <si>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</si>
  <si>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Условно утвержденные</t>
  </si>
  <si>
    <t xml:space="preserve">1. Изменения доходов бюджета Тутаевского муниципального района </t>
  </si>
  <si>
    <t>2023 год</t>
  </si>
  <si>
    <t>954 202 35084 05 0000 150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</si>
  <si>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</si>
  <si>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</si>
  <si>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</si>
  <si>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</si>
  <si>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</si>
  <si>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</si>
  <si>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</si>
  <si>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</si>
  <si>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</si>
  <si>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</si>
  <si>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</si>
  <si>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</si>
  <si>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</si>
  <si>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1</t>
  </si>
  <si>
    <t>01</t>
  </si>
  <si>
    <t>04</t>
  </si>
  <si>
    <t>05</t>
  </si>
  <si>
    <t>09</t>
  </si>
  <si>
    <t>10</t>
  </si>
  <si>
    <t>Повышение уровня благоустройства дворовых территорий (ДФ)</t>
  </si>
  <si>
    <t>25</t>
  </si>
  <si>
    <t>26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</si>
  <si>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</si>
  <si>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</si>
  <si>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</si>
  <si>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</si>
  <si>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</si>
  <si>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</si>
  <si>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</si>
  <si>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</si>
  <si>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</si>
  <si>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</si>
  <si>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Стимулирование работников в рамках проектной деятельности</t>
  </si>
  <si>
    <t>АТМР, ДМИ, ДФ</t>
  </si>
  <si>
    <t>Перевозка жителей нуждающихся в гемодиализе</t>
  </si>
  <si>
    <t>Доплата к пенсии муниципальным служащим</t>
  </si>
  <si>
    <t>ЕДК при возникновении поствакцинальных осложнений</t>
  </si>
  <si>
    <t>Уведомления из областного бюджета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</si>
  <si>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</si>
  <si>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</si>
  <si>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</si>
  <si>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</si>
  <si>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</si>
  <si>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</si>
  <si>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 xml:space="preserve">Обучение муниципальных  служащих </t>
  </si>
  <si>
    <t>Содержание муниципального имущества</t>
  </si>
  <si>
    <t>Компьютерное оборудование</t>
  </si>
  <si>
    <t>Безвозмездные поступления из других бюджетов бюджетной системы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</si>
  <si>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</si>
  <si>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</si>
  <si>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</si>
  <si>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</si>
  <si>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954 2 02 30022 05 0000 150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</si>
  <si>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</si>
  <si>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 xml:space="preserve">Расходы по строительству межпоселковых газопроводов п. Мишаки, Кузилово, Емишево на тер. Артемьевского сп </t>
  </si>
  <si>
    <t>Коммунальные услуги Православной школе</t>
  </si>
  <si>
    <t>02</t>
  </si>
  <si>
    <t>03</t>
  </si>
  <si>
    <t>границы сельских поселений</t>
  </si>
  <si>
    <t>Субсидия на подготовку к зиме</t>
  </si>
  <si>
    <t>Прочие доходы от оказания платных услуг (работ) получателями средств бюджетов муниципальных районов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</si>
  <si>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</si>
  <si>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>953 1 13 01995 05 0000 130</t>
  </si>
  <si>
    <t>Расходы на повышение антитеррористической защищенности объектов образования</t>
  </si>
  <si>
    <t>%</t>
  </si>
  <si>
    <t>Плата за негативное воздействие на окружающую среду</t>
  </si>
  <si>
    <t>Арендная плата за землю</t>
  </si>
  <si>
    <t>Доходы от сдачу в аренду имущества</t>
  </si>
  <si>
    <t xml:space="preserve">952 111 05000 05 0000 120 </t>
  </si>
  <si>
    <t>048 112 01000 01 0000 120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</si>
  <si>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</si>
  <si>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</si>
  <si>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>953 2 02 30024 05 3007 150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</si>
  <si>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</si>
  <si>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</si>
  <si>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</si>
  <si>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образовательного процесса в дошкольных образовательных организациях</t>
  </si>
  <si>
    <t>Субвенция на организацию образовательного процесса в общеобразовательных организациях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</si>
  <si>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</si>
  <si>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</si>
  <si>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денежные выплаты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</si>
  <si>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</si>
  <si>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953 202 30024 05 3009 150</t>
  </si>
  <si>
    <t>953 202 30024 05 3010 150</t>
  </si>
  <si>
    <t>953 202 30024 05 3013 150</t>
  </si>
  <si>
    <t>953 202 30024 05 3014 150</t>
  </si>
  <si>
    <t>953 202 30024 05 3015 150</t>
  </si>
  <si>
    <t>953 202 30024 05 3017 150</t>
  </si>
  <si>
    <t>954 202 30024 05 3019 150</t>
  </si>
  <si>
    <t>954 202 30024 05 3020 150</t>
  </si>
  <si>
    <t>954 202 30024 05 3022 150</t>
  </si>
  <si>
    <t>Субвенция на выплату ежемесячного пособия на ребенка</t>
  </si>
  <si>
    <t>953 202 30024 05 3033 150</t>
  </si>
  <si>
    <t>Субвенция на частичную оплату стоимости путевки в организации отдыха детей и их оздоровления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</si>
  <si>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</si>
  <si>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954 202 35380 05 000 150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</si>
  <si>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</si>
  <si>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</si>
  <si>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</si>
  <si>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950 202 35930 05 0000 150</t>
  </si>
  <si>
    <t>Мероприятия по охране окружающей среды</t>
  </si>
  <si>
    <t>Программное обеспечение</t>
  </si>
  <si>
    <t>Обследование ЖФ</t>
  </si>
  <si>
    <t>Мероприятия по охране окружающей среды (МБТ)</t>
  </si>
  <si>
    <t>950 202 30024 05 3027 150</t>
  </si>
  <si>
    <t>954 202 30024 05 3029 150</t>
  </si>
  <si>
    <t>954 202 30024 05 3037 150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</si>
  <si>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</si>
  <si>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</si>
  <si>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</si>
  <si>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</si>
  <si>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</si>
  <si>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954 202 20024 05 3004 150</t>
  </si>
  <si>
    <t>954 202 35137 05 0000 150</t>
  </si>
  <si>
    <t>954 202 35250 05 0000 150</t>
  </si>
  <si>
    <t>953 202 35260 05 0000 150</t>
  </si>
  <si>
    <t>954 202 35270 05 0000 150</t>
  </si>
  <si>
    <t>Субвенция на освобождение от оплаты стоимости  проезда детей из многодетных семей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</si>
  <si>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</si>
  <si>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</si>
  <si>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</si>
  <si>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</si>
  <si>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Содержание учреждений спорта</t>
  </si>
  <si>
    <t>Проезд детей из многодетных семей</t>
  </si>
  <si>
    <t>Расходы на питание детей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</si>
  <si>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</si>
  <si>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953 202 29999 05 2049 150</t>
  </si>
  <si>
    <t>Мероприятия по строительству объектов водоснабжения на селе</t>
  </si>
  <si>
    <t>Мероприятия по содержанию объектов водоснабжения и водоотведения гп Тутаев</t>
  </si>
  <si>
    <t>Муниципальная программа "Поддержка и развитие садоводческих, огороднических некоммерческих объединений граждан на территории   Тутаевского муниципального района"</t>
  </si>
  <si>
    <t>2024 год</t>
  </si>
  <si>
    <t xml:space="preserve">Субсидирование речных пассажирских перевозок </t>
  </si>
  <si>
    <t xml:space="preserve">Строительство колодцев на селе </t>
  </si>
  <si>
    <t>30</t>
  </si>
  <si>
    <t>29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</si>
  <si>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</si>
  <si>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</si>
  <si>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</si>
  <si>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</si>
  <si>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</si>
  <si>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 xml:space="preserve">Обеспечение мероприятий по БДД </t>
  </si>
  <si>
    <t>Текущее содержание дорог</t>
  </si>
  <si>
    <t>Замена газового оборудования и приборов учета в мун.жилфонде</t>
  </si>
  <si>
    <t>Реализация проекта "Наши дворы"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</si>
  <si>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23.12.2021 №135-г "О бюджете Тутаевского муниципального района на 2022 год и на плановый период 2023 - 2024 годов"</t>
  </si>
  <si>
    <t>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</si>
  <si>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ТО камер видеонаблюдения на территории Города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</si>
  <si>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</si>
  <si>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</si>
  <si>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956 2 02 25467 05 0000 150</t>
  </si>
  <si>
    <t>956 2 02 25519 05 0000 150</t>
  </si>
  <si>
    <t>950 2 02 29999 05 2032 150</t>
  </si>
  <si>
    <t>953 2 02 29999 05 2037 150</t>
  </si>
  <si>
    <t>Субсидия на повышение оплаты труда отдельных категорий  работников муниципальных учреждений в сфере образования</t>
  </si>
  <si>
    <t>956 2 02 29999 05 2048 150</t>
  </si>
  <si>
    <t>956 2 02 29999 05 2040 150</t>
  </si>
  <si>
    <t>954 2 02 30024 05 3021 150</t>
  </si>
  <si>
    <t>950 2 02 30024 05 3028 150</t>
  </si>
  <si>
    <t>953 2 02 30024 05 3030 150</t>
  </si>
  <si>
    <t>950 2 02 30024 05 3031 150</t>
  </si>
  <si>
    <t>954 2 02 30024 05 3041 150</t>
  </si>
  <si>
    <t>953 202 35304 05 0000 150</t>
  </si>
  <si>
    <t>955 202 40014 05 4601 150</t>
  </si>
  <si>
    <t>952 202 40014 05 4602 150</t>
  </si>
  <si>
    <t>950 202 40014 05 4603 150</t>
  </si>
  <si>
    <t>950 202 40014 05 4604 150</t>
  </si>
  <si>
    <t>950 202 40014 05 4605 150</t>
  </si>
  <si>
    <t>950 202 40014 05 4606 150</t>
  </si>
  <si>
    <t>950 202 40014 05 4607 150</t>
  </si>
  <si>
    <t>950 202 40014 05 4609 150</t>
  </si>
  <si>
    <t>956 202 40014 05 4610 150</t>
  </si>
  <si>
    <t>953 202 40014 05 4612 150</t>
  </si>
  <si>
    <t>950 202 40014 05 4613 150</t>
  </si>
  <si>
    <t>950 202 40014 05 4614 150</t>
  </si>
  <si>
    <t>950 202 40014 05 4615 150</t>
  </si>
  <si>
    <t>950 202 40014 05 4617 150</t>
  </si>
  <si>
    <t>956 202 40014 05 4618 150</t>
  </si>
  <si>
    <t>950 202 40014 05 4619 150</t>
  </si>
  <si>
    <t>956 202 40014 05 4621 150</t>
  </si>
  <si>
    <t>954 202 40014 05 4622 150</t>
  </si>
  <si>
    <t>950 202 40014 05 4625 150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</si>
  <si>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</si>
  <si>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</si>
  <si>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</si>
  <si>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952 202 49999 05 4009 150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</si>
  <si>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</si>
  <si>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</si>
  <si>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</si>
  <si>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Субсидия на обеспечение трудоустройства несовершеннолетних граждан на временные рабочие места</t>
  </si>
  <si>
    <t>Субсидия на проведение капиьального ремонта муниципальных библиотек</t>
  </si>
  <si>
    <t>Субвенция на оказание социальной помощи отдельным категориям  граждан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</si>
  <si>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</si>
  <si>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</si>
  <si>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</si>
  <si>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</si>
  <si>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</si>
  <si>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Межбюджетные трансферты на   содержание органов местного самоуправления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</si>
  <si>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</si>
  <si>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</si>
  <si>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</si>
  <si>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</si>
  <si>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</si>
  <si>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</si>
  <si>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</si>
  <si>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</si>
  <si>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</si>
  <si>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</si>
  <si>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</si>
  <si>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</si>
  <si>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</si>
  <si>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</si>
  <si>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</si>
  <si>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</si>
  <si>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</si>
  <si>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</si>
  <si>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обеспечение мероприятий по выполнению прочих обязательств органами местного самоуправления</t>
  </si>
  <si>
    <t>Межбюджетные трансферты на проведение комплекса кадастровых работ на объектах газораспределения</t>
  </si>
  <si>
    <t>Уведомления из поселений ТМР</t>
  </si>
  <si>
    <t>Уведомление из областного бюджета</t>
  </si>
  <si>
    <t xml:space="preserve">Муниципальная программа "Управление земельно-имущественным комплексом Тутаевского муниципального района" </t>
  </si>
  <si>
    <t>06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</si>
  <si>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</si>
  <si>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Содержание учреждений культуры</t>
  </si>
  <si>
    <t>Содержание сетей уличного освещения</t>
  </si>
  <si>
    <t>Организация  деятельности учреждения</t>
  </si>
  <si>
    <t xml:space="preserve">3. Изменения  источников дефицита  бюджета  Тутаевского муниципального района на 2022 год </t>
  </si>
  <si>
    <t>Доходы от продажи земельных участков</t>
  </si>
  <si>
    <t>955 202 19999 05 1004 150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</si>
  <si>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</si>
  <si>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Субсидия на реализацию мероприятий по патриотическому воспитанию граждан</t>
  </si>
  <si>
    <t>956 202 29999 05 2006 150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</si>
  <si>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</si>
  <si>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953 202 29999 05 2015 150</t>
  </si>
  <si>
    <t>Субсидия на осуществление деятельности в сфере молодежной политики  социальными учреждениями молодежи</t>
  </si>
  <si>
    <t>956 202 29999 05 2009 150</t>
  </si>
  <si>
    <t>953 202 30024 05 3006 150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</si>
  <si>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</si>
  <si>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 xml:space="preserve"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- решения Правительства ЯО) </t>
  </si>
  <si>
    <t>955 202 45160 05 4002 150</t>
  </si>
  <si>
    <t>954 202 49999 05 4007 150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</si>
  <si>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</si>
  <si>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</si>
  <si>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</si>
  <si>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</si>
  <si>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953 2023 49999 05 4013 150</t>
  </si>
  <si>
    <t>953 202 29999 05 2001 150</t>
  </si>
  <si>
    <t>Субсидия на развитие материально-технической базы общеобразовательных организаций для организации питания обучающихся</t>
  </si>
  <si>
    <t>Единый сельскохозяйственный налог</t>
  </si>
  <si>
    <t>182 105 03010 01 0000 110</t>
  </si>
  <si>
    <t>по фактическому исполнению</t>
  </si>
  <si>
    <t>предложения главного администратора доходов - ДМИ АТМР</t>
  </si>
  <si>
    <t>предложения главного администратора доходов - ДО АТМР</t>
  </si>
  <si>
    <t>950 202 29999 05 2034 150</t>
  </si>
  <si>
    <t>Субсидия на реализацию муниципальных программ поддержки социально ориентированных некоммерческих организаций</t>
  </si>
  <si>
    <t>ФП ремонт дорог "Агломерация" (обл. субсидия)</t>
  </si>
  <si>
    <t>Повышение уровня благоустройства  общественных  территорий (бл-во)</t>
  </si>
  <si>
    <t>Мероприятия по внешнему благоустройство (строительство контейнерных площадок)</t>
  </si>
  <si>
    <t xml:space="preserve">Софинансирование ремонта ул. Толбухина </t>
  </si>
  <si>
    <t>строительство ФОКОТ на левом берегу г. Тутаев</t>
  </si>
  <si>
    <t>Расходы на содержание животных без владельцев</t>
  </si>
  <si>
    <t>Мероприятия по патриотическому воспитанию граждан</t>
  </si>
  <si>
    <t>Субсидирование  на частичное возмещение расходов по теплоснабжению населения и соцсферы</t>
  </si>
  <si>
    <t>Строительство и реконструкция а/ дорог в рамках реализации новых инвестиционных проектов</t>
  </si>
  <si>
    <t>экономия при торгах</t>
  </si>
  <si>
    <t>Выполнение других обязательств ОМС</t>
  </si>
  <si>
    <t>КСП</t>
  </si>
  <si>
    <t>экономия</t>
  </si>
  <si>
    <t>Содержание УКСТ</t>
  </si>
  <si>
    <t xml:space="preserve">перенос в обязательства </t>
  </si>
  <si>
    <t>содержание мун.имущества</t>
  </si>
  <si>
    <t>на ФОТ по  штат.расп. до 24 окладов</t>
  </si>
  <si>
    <t>ПСД 100,0т.р.;дизайн проект 50,0т.руб.;канализация -285,5труб.;теплоснабжение 216,5т.руб.;ХВС и раводка270,1т.руб.;теплые полы 588,5т.руб.;стр.материалы 1327,6т.руб.;вентиляция 700,0т.руб,;строительные работы 1 500,0т.руб.; оборудование 344,0т.руб.; фасссадные работы 400,0т.руб.; тех.присоединение эл.52,4т.руб... Снять экономии при покупке -73,738т.руб.</t>
  </si>
  <si>
    <t>Доп.расходы, всвязи с ранним включением отопления</t>
  </si>
  <si>
    <t>Содержание здания БС</t>
  </si>
  <si>
    <t>монтаж охранно-тревожной сигнализации в здании центральной библиотеки 551,965т.руб.; изготовление вывески 56,0т.рукб..</t>
  </si>
  <si>
    <t xml:space="preserve">Выплаты по обязательствам муниципального образования </t>
  </si>
  <si>
    <t>Содержание подведомственных организаций</t>
  </si>
  <si>
    <t xml:space="preserve">Ремонт здания  Ленина 79-А </t>
  </si>
  <si>
    <t>Содержание Информационного центра</t>
  </si>
  <si>
    <t>Строитедьство а/д инд.парке "Тутаев" (обл. субсидия)</t>
  </si>
  <si>
    <t>МБТ на сбор,переработку ливневых стоков</t>
  </si>
  <si>
    <t>не заключен МК, на анализ стоков 45 000руб.</t>
  </si>
  <si>
    <t>МБТ на субсидирование БПХ</t>
  </si>
  <si>
    <t xml:space="preserve"> ЗП увеличена за счет средств ГП Тутаев</t>
  </si>
  <si>
    <t>экономия при проведении конкурсных процедур (приобретение здания по адресу Ленина 79-А )</t>
  </si>
  <si>
    <t>(-30 000,00. Агентство,-178174,00  ЖКХ)</t>
  </si>
  <si>
    <t>Изменения текущей редакции по заявкам ГРБС</t>
  </si>
  <si>
    <t>Выполнение других обязательств органов местного самоуправления (Содержание имущества казны ТМР)</t>
  </si>
  <si>
    <t xml:space="preserve"> ДМИ</t>
  </si>
  <si>
    <t>Оценка недвижимости, признание прав и регулирование отношений по муниципальной собственности</t>
  </si>
  <si>
    <t>Мероприятия по землеустройству и землепользованию</t>
  </si>
  <si>
    <t>Оценка имущества неиспользованные БА</t>
  </si>
  <si>
    <t xml:space="preserve"> Межжевание земели неиспользованные БА</t>
  </si>
  <si>
    <t xml:space="preserve"> 2 200 000,0 р. на оплату штрафов  ( по расчету 19*50 000=950 000.); 6 146 279,00 исполнительные листы Агенство  ООО Профактор , ООО АНГМ, Какоян С.Ч. Для ликвидации </t>
  </si>
  <si>
    <t xml:space="preserve">  2. Изменения  расходов  бюджета Тутаевского муниципального района на 2022 год и плановый период 2023-2024гг                                      (редакция 7     ноябрь 2022)</t>
  </si>
  <si>
    <t xml:space="preserve"> -600 000,00 рСодержание МКУ ЖКК в связи с ликвидацией, -400 000,00 ЕДДС квартальные премии</t>
  </si>
  <si>
    <t>Примечание по заявкам и предложениям</t>
  </si>
  <si>
    <t xml:space="preserve"> муниципальные гарантии  МУП ТМР ТТЭ</t>
  </si>
  <si>
    <t>Дефицит        бюджета 6 редакция</t>
  </si>
  <si>
    <t>Дефицит                    бюджета 7 редакция</t>
  </si>
  <si>
    <t>Налог, взимаемый в связи с патентной системой налогообложения</t>
  </si>
  <si>
    <t>182 105 04020 02 0000110</t>
  </si>
  <si>
    <t>952 111 05013 13 0000 120, 950 111 05025 05 0000 120</t>
  </si>
  <si>
    <t>Прочие доходы от использования имущества ( плата за установку рекламных конструкций)</t>
  </si>
  <si>
    <t>950 111 09080 05 0000 120</t>
  </si>
  <si>
    <t>Дивиденды по акциям</t>
  </si>
  <si>
    <t>952 111 01050 05 0000 120</t>
  </si>
  <si>
    <t>952 114 06013 13 0000 430, 952 114 06013 05 0000 430, 952 114 06025 05 0000 430</t>
  </si>
  <si>
    <t>Доходы от реализации имущества</t>
  </si>
  <si>
    <t>952 114 02053 05 0000 410</t>
  </si>
  <si>
    <t>Налог на доходы физических лиц</t>
  </si>
  <si>
    <t>182 101 02 000 01 0000 110</t>
  </si>
  <si>
    <t>налог на добычу общераспространенных полезных ископаемых</t>
  </si>
  <si>
    <t>182 107 01020 01 0000 110</t>
  </si>
  <si>
    <t>950 202 19999 05 1008 150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</si>
  <si>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</si>
  <si>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956 202 29999 05 2038 150</t>
  </si>
  <si>
    <t>Субсидия на повышение оплаты труда работников муниципальных учреждений в сфере культуры</t>
  </si>
  <si>
    <t>954 202 30024 05 3003 150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</si>
  <si>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</si>
  <si>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954 202 30024 05 3036 150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</si>
  <si>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</si>
  <si>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954 202 35404 05 0000 150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</si>
  <si>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</si>
  <si>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компенсация расходов присмотр и уход за детьми</t>
  </si>
  <si>
    <t>Организация питания обучающихся</t>
  </si>
  <si>
    <t>Оплата стоимости проезд лиц, находящимся на диспансерном учете</t>
  </si>
  <si>
    <t>уменьшение количества получателей</t>
  </si>
  <si>
    <t xml:space="preserve"> Содержание ребенка в семье опекуна и приемной семье</t>
  </si>
  <si>
    <t>Поддержка опеки и попечительства</t>
  </si>
  <si>
    <t>Ежемесячная денежная выплатв  отдельным категориям</t>
  </si>
  <si>
    <t>Ежемесячная выплата в связи с рождением 3 ребенка (доставка)</t>
  </si>
  <si>
    <t>Ежемесячная выплата от 3 до 7 лет (доставка)</t>
  </si>
  <si>
    <t xml:space="preserve">Ежемесячная выплата от 3 до 7 лет </t>
  </si>
  <si>
    <t>Социальная помощь на основание социального контракта</t>
  </si>
  <si>
    <t>Бесплатное горячее питание детей</t>
  </si>
  <si>
    <t xml:space="preserve">Частичная оплата ст-ти путевки отдыха детей </t>
  </si>
  <si>
    <t>Гос. поддержка отдельным категориям для проведения ремонта жилых помещений</t>
  </si>
  <si>
    <t>Обеспечение присмотра и ухода за детьми , осваивающими образовательные программы  дошкольники</t>
  </si>
  <si>
    <t xml:space="preserve">1. -329,4 т.р. Экономия при проведении конкурсных процедур  услуги охраны Малаховский дд.;                                  2.  -500,0 тр. Коммунальные услуги;                              </t>
  </si>
  <si>
    <t xml:space="preserve"> Содержание ЗАГС</t>
  </si>
  <si>
    <t xml:space="preserve">Изменения текущей редакции </t>
  </si>
  <si>
    <t>экономия БА</t>
  </si>
  <si>
    <t xml:space="preserve">Поощрение муниципальных управленческих команд </t>
  </si>
  <si>
    <t>дотация Губернатора</t>
  </si>
  <si>
    <t xml:space="preserve">1210493 ЦОУК увеличение МРОТ за счет дотации;     -124992 перераспределены на АТМР; </t>
  </si>
  <si>
    <t>охрана труда</t>
  </si>
  <si>
    <t>Содержание департамента культуры, МКУ ЦОУК</t>
  </si>
  <si>
    <t>ДО,АТМР</t>
  </si>
  <si>
    <t xml:space="preserve"> -155583,0 р. Перераспределение на АТМР</t>
  </si>
  <si>
    <t>3 700 000 необходимая сумма на оплату коммунальных платежей до конца года (за счет дотации); 1 991 975 р. выполнение указов Президента по средней з/пл. (МРОТ); 50 000,0 р.  транспортные расходы театр "Левый берег" в г.Вичуга;135 988,0 р. для вручения сертификатов от Главы на юбилей ДК и Константиновского СКК; 45228 Павловский ДК (перераспределены)</t>
  </si>
  <si>
    <t>25250 питание детей контрактников</t>
  </si>
  <si>
    <t>70000 добавка платные услуги</t>
  </si>
  <si>
    <t>АТМР, ДМИ, ДФ, ДО,ДК</t>
  </si>
  <si>
    <t>Постановление Правительства ЯО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</si>
</sst>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%"/>
    <numFmt numFmtId="165" formatCode="#,##0.00;[Red]#,##0.00"/>
    <numFmt numFmtId="166" formatCode="#,##0.00_ ;\-#,##0.00\ "/>
    <numFmt numFmtId="167" formatCode="#,##0.00_р_.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06">
    <xf numFmtId="0" fontId="0" fillId="0" borderId="0" xfId="0"/>
    <xf numFmtId="16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4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4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4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164" fontId="2" fillId="0" borderId="3" xfId="0" applyNumberFormat="1" applyFont="1" applyBorder="1"/>
    <xf numFmtId="164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4" fontId="6" fillId="0" borderId="1" xfId="0" applyNumberFormat="1" applyFont="1" applyBorder="1"/>
    <xf numFmtId="9" fontId="1" fillId="0" borderId="1" xfId="0" applyNumberFormat="1" applyFont="1" applyBorder="1"/>
    <xf numFmtId="0" fontId="10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0" borderId="1" xfId="1" applyNumberFormat="1" applyFont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vertical="top" wrapText="1"/>
    </xf>
    <xf numFmtId="0" fontId="12" fillId="0" borderId="0" xfId="0" applyFont="1"/>
    <xf numFmtId="0" fontId="14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2" fillId="10" borderId="0" xfId="0" applyFont="1" applyFill="1" applyAlignment="1"/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/>
    <xf numFmtId="49" fontId="6" fillId="0" borderId="0" xfId="0" applyNumberFormat="1" applyFont="1" applyAlignment="1"/>
    <xf numFmtId="4" fontId="3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center" wrapText="1"/>
    </xf>
    <xf numFmtId="4" fontId="10" fillId="6" borderId="1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5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49" fontId="3" fillId="0" borderId="0" xfId="0" applyNumberFormat="1" applyFont="1" applyAlignment="1"/>
    <xf numFmtId="4" fontId="10" fillId="6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14" fontId="3" fillId="7" borderId="1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166" fontId="10" fillId="6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165" fontId="11" fillId="2" borderId="1" xfId="1" applyNumberFormat="1" applyFont="1" applyFill="1" applyBorder="1" applyAlignment="1">
      <alignment vertical="top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top" wrapText="1"/>
    </xf>
    <xf numFmtId="0" fontId="16" fillId="2" borderId="2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165" fontId="3" fillId="2" borderId="1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right"/>
    </xf>
    <xf numFmtId="49" fontId="2" fillId="10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49" fontId="13" fillId="10" borderId="1" xfId="0" applyNumberFormat="1" applyFont="1" applyFill="1" applyBorder="1" applyAlignment="1">
      <alignment horizontal="right" wrapText="1"/>
    </xf>
    <xf numFmtId="3" fontId="13" fillId="10" borderId="1" xfId="0" applyNumberFormat="1" applyFont="1" applyFill="1" applyBorder="1" applyAlignment="1">
      <alignment horizontal="right"/>
    </xf>
    <xf numFmtId="10" fontId="13" fillId="10" borderId="1" xfId="0" applyNumberFormat="1" applyFont="1" applyFill="1" applyBorder="1" applyAlignment="1">
      <alignment horizontal="right"/>
    </xf>
    <xf numFmtId="49" fontId="10" fillId="6" borderId="1" xfId="0" applyNumberFormat="1" applyFont="1" applyFill="1" applyBorder="1" applyAlignment="1">
      <alignment horizontal="right" wrapText="1"/>
    </xf>
    <xf numFmtId="3" fontId="10" fillId="6" borderId="1" xfId="0" applyNumberFormat="1" applyFont="1" applyFill="1" applyBorder="1" applyAlignment="1">
      <alignment horizontal="right"/>
    </xf>
    <xf numFmtId="10" fontId="10" fillId="6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49" fontId="10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right" wrapText="1"/>
    </xf>
    <xf numFmtId="3" fontId="2" fillId="6" borderId="1" xfId="0" applyNumberFormat="1" applyFont="1" applyFill="1" applyBorder="1" applyAlignment="1">
      <alignment horizontal="right"/>
    </xf>
    <xf numFmtId="10" fontId="2" fillId="6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9" fontId="10" fillId="10" borderId="1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 wrapText="1"/>
    </xf>
    <xf numFmtId="49" fontId="10" fillId="7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horizontal="left" wrapText="1"/>
    </xf>
    <xf numFmtId="49" fontId="15" fillId="7" borderId="1" xfId="0" applyNumberFormat="1" applyFont="1" applyFill="1" applyBorder="1" applyAlignment="1">
      <alignment horizontal="right" wrapText="1"/>
    </xf>
    <xf numFmtId="3" fontId="3" fillId="7" borderId="1" xfId="0" applyNumberFormat="1" applyFont="1" applyFill="1" applyBorder="1" applyAlignment="1">
      <alignment horizontal="right"/>
    </xf>
    <xf numFmtId="10" fontId="3" fillId="7" borderId="1" xfId="0" applyNumberFormat="1" applyFont="1" applyFill="1" applyBorder="1" applyAlignment="1">
      <alignment horizontal="right"/>
    </xf>
    <xf numFmtId="0" fontId="11" fillId="10" borderId="1" xfId="0" applyFont="1" applyFill="1" applyBorder="1" applyAlignment="1">
      <alignment horizontal="left" wrapText="1"/>
    </xf>
    <xf numFmtId="49" fontId="11" fillId="10" borderId="1" xfId="0" applyNumberFormat="1" applyFont="1" applyFill="1" applyBorder="1" applyAlignment="1">
      <alignment horizontal="right" wrapText="1"/>
    </xf>
    <xf numFmtId="3" fontId="11" fillId="10" borderId="1" xfId="0" applyNumberFormat="1" applyFont="1" applyFill="1" applyBorder="1" applyAlignment="1">
      <alignment horizontal="right"/>
    </xf>
    <xf numFmtId="10" fontId="11" fillId="1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wrapText="1"/>
    </xf>
    <xf numFmtId="167" fontId="3" fillId="0" borderId="1" xfId="0" applyNumberFormat="1" applyFont="1" applyBorder="1" applyAlignment="1">
      <alignment horizontal="right"/>
    </xf>
    <xf numFmtId="0" fontId="15" fillId="9" borderId="1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horizontal="left" wrapText="1"/>
    </xf>
    <xf numFmtId="49" fontId="11" fillId="7" borderId="1" xfId="0" applyNumberFormat="1" applyFont="1" applyFill="1" applyBorder="1" applyAlignment="1">
      <alignment horizontal="right" wrapText="1"/>
    </xf>
    <xf numFmtId="3" fontId="11" fillId="7" borderId="1" xfId="0" applyNumberFormat="1" applyFont="1" applyFill="1" applyBorder="1" applyAlignment="1">
      <alignment horizontal="right"/>
    </xf>
    <xf numFmtId="10" fontId="11" fillId="7" borderId="1" xfId="0" applyNumberFormat="1" applyFont="1" applyFill="1" applyBorder="1" applyAlignment="1">
      <alignment horizontal="right"/>
    </xf>
    <xf numFmtId="49" fontId="3" fillId="7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/>
    </xf>
    <xf numFmtId="49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top" wrapText="1"/>
    </xf>
    <xf numFmtId="0" fontId="13" fillId="7" borderId="1" xfId="0" applyFont="1" applyFill="1" applyBorder="1" applyAlignment="1">
      <alignment vertical="top" wrapText="1"/>
    </xf>
    <xf numFmtId="4" fontId="13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vertical="top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1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 wrapText="1"/>
    </xf>
    <xf numFmtId="166" fontId="2" fillId="7" borderId="1" xfId="1" applyNumberFormat="1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vertical="top" wrapText="1"/>
    </xf>
    <xf numFmtId="166" fontId="13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22" fillId="2" borderId="27" xfId="0" applyFont="1" applyFill="1" applyBorder="1" applyAlignment="1">
      <alignment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0" borderId="27" xfId="3" applyFont="1" applyBorder="1" applyAlignment="1" applyProtection="1">
      <alignment vertical="top" wrapText="1"/>
      <protection hidden="1"/>
    </xf>
    <xf numFmtId="0" fontId="22" fillId="0" borderId="27" xfId="3" applyFont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26" fillId="6" borderId="1" xfId="0" applyFont="1" applyFill="1" applyBorder="1"/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2" fillId="10" borderId="1" xfId="0" applyFont="1" applyFill="1" applyBorder="1" applyAlignment="1">
      <alignment horizontal="left" wrapText="1"/>
    </xf>
    <xf numFmtId="4" fontId="10" fillId="14" borderId="1" xfId="0" applyNumberFormat="1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2" fontId="3" fillId="0" borderId="1" xfId="0" applyNumberFormat="1" applyFont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0" fontId="19" fillId="7" borderId="1" xfId="0" applyFont="1" applyFill="1" applyBorder="1" applyAlignment="1">
      <alignment horizontal="left" wrapText="1"/>
    </xf>
    <xf numFmtId="49" fontId="19" fillId="7" borderId="1" xfId="0" applyNumberFormat="1" applyFont="1" applyFill="1" applyBorder="1" applyAlignment="1">
      <alignment horizontal="right" wrapText="1"/>
    </xf>
    <xf numFmtId="3" fontId="1" fillId="7" borderId="1" xfId="0" applyNumberFormat="1" applyFont="1" applyFill="1" applyBorder="1" applyAlignment="1">
      <alignment horizontal="right"/>
    </xf>
    <xf numFmtId="4" fontId="1" fillId="7" borderId="1" xfId="0" applyNumberFormat="1" applyFont="1" applyFill="1" applyBorder="1" applyAlignment="1">
      <alignment horizontal="right"/>
    </xf>
    <xf numFmtId="10" fontId="1" fillId="7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/>
    <xf numFmtId="2" fontId="2" fillId="2" borderId="1" xfId="0" applyNumberFormat="1" applyFont="1" applyFill="1" applyBorder="1" applyAlignment="1">
      <alignment horizontal="center"/>
    </xf>
    <xf numFmtId="2" fontId="2" fillId="2" borderId="0" xfId="0" applyNumberFormat="1" applyFont="1" applyFill="1" applyAlignment="1"/>
    <xf numFmtId="2" fontId="13" fillId="2" borderId="1" xfId="0" applyNumberFormat="1" applyFont="1" applyFill="1" applyBorder="1" applyAlignment="1">
      <alignment horizontal="left" wrapText="1"/>
    </xf>
    <xf numFmtId="2" fontId="13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wrapText="1"/>
    </xf>
    <xf numFmtId="3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Alignment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49" fontId="5" fillId="8" borderId="1" xfId="0" applyNumberFormat="1" applyFont="1" applyFill="1" applyBorder="1" applyAlignment="1">
      <alignment horizontal="right" wrapText="1"/>
    </xf>
    <xf numFmtId="3" fontId="5" fillId="6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10" fontId="5" fillId="6" borderId="1" xfId="0" applyNumberFormat="1" applyFont="1" applyFill="1" applyBorder="1" applyAlignment="1">
      <alignment horizontal="right"/>
    </xf>
    <xf numFmtId="4" fontId="5" fillId="14" borderId="1" xfId="0" applyNumberFormat="1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49" fontId="6" fillId="5" borderId="1" xfId="0" applyNumberFormat="1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164" fontId="27" fillId="0" borderId="1" xfId="0" applyNumberFormat="1" applyFont="1" applyBorder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/>
    </xf>
    <xf numFmtId="3" fontId="29" fillId="3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/>
    </xf>
    <xf numFmtId="10" fontId="29" fillId="3" borderId="1" xfId="0" applyNumberFormat="1" applyFont="1" applyFill="1" applyBorder="1" applyAlignment="1">
      <alignment horizontal="right"/>
    </xf>
    <xf numFmtId="49" fontId="29" fillId="2" borderId="1" xfId="0" applyNumberFormat="1" applyFont="1" applyFill="1" applyBorder="1" applyAlignment="1">
      <alignment horizontal="center"/>
    </xf>
    <xf numFmtId="49" fontId="29" fillId="2" borderId="1" xfId="0" applyNumberFormat="1" applyFont="1" applyFill="1" applyBorder="1" applyAlignment="1">
      <alignment horizontal="center" wrapText="1"/>
    </xf>
    <xf numFmtId="4" fontId="29" fillId="2" borderId="1" xfId="0" applyNumberFormat="1" applyFont="1" applyFill="1" applyBorder="1" applyAlignment="1">
      <alignment horizontal="right"/>
    </xf>
    <xf numFmtId="49" fontId="5" fillId="12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12" borderId="0" xfId="0" applyFont="1" applyFill="1" applyAlignment="1"/>
    <xf numFmtId="0" fontId="29" fillId="13" borderId="1" xfId="0" applyFont="1" applyFill="1" applyBorder="1" applyAlignment="1">
      <alignment horizontal="left" wrapText="1"/>
    </xf>
    <xf numFmtId="49" fontId="29" fillId="14" borderId="1" xfId="0" applyNumberFormat="1" applyFont="1" applyFill="1" applyBorder="1" applyAlignment="1">
      <alignment horizontal="right" wrapText="1"/>
    </xf>
    <xf numFmtId="3" fontId="5" fillId="14" borderId="1" xfId="0" applyNumberFormat="1" applyFont="1" applyFill="1" applyBorder="1" applyAlignment="1">
      <alignment horizontal="right"/>
    </xf>
    <xf numFmtId="4" fontId="5" fillId="14" borderId="1" xfId="0" applyNumberFormat="1" applyFont="1" applyFill="1" applyBorder="1" applyAlignment="1">
      <alignment horizontal="right"/>
    </xf>
    <xf numFmtId="10" fontId="5" fillId="14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3" fontId="29" fillId="14" borderId="1" xfId="0" applyNumberFormat="1" applyFont="1" applyFill="1" applyBorder="1" applyAlignment="1">
      <alignment horizontal="right"/>
    </xf>
    <xf numFmtId="4" fontId="29" fillId="14" borderId="1" xfId="0" applyNumberFormat="1" applyFont="1" applyFill="1" applyBorder="1" applyAlignment="1">
      <alignment horizontal="right"/>
    </xf>
    <xf numFmtId="10" fontId="29" fillId="14" borderId="1" xfId="0" applyNumberFormat="1" applyFont="1" applyFill="1" applyBorder="1" applyAlignment="1">
      <alignment horizontal="right"/>
    </xf>
    <xf numFmtId="0" fontId="5" fillId="12" borderId="0" xfId="0" applyFont="1" applyFill="1" applyAlignment="1"/>
    <xf numFmtId="0" fontId="6" fillId="5" borderId="1" xfId="2" applyFont="1" applyFill="1" applyBorder="1" applyAlignment="1">
      <alignment horizontal="left" wrapText="1"/>
    </xf>
    <xf numFmtId="49" fontId="5" fillId="10" borderId="1" xfId="0" applyNumberFormat="1" applyFont="1" applyFill="1" applyBorder="1" applyAlignment="1">
      <alignment horizontal="center"/>
    </xf>
    <xf numFmtId="0" fontId="29" fillId="11" borderId="1" xfId="0" applyFont="1" applyFill="1" applyBorder="1" applyAlignment="1">
      <alignment horizontal="left" wrapText="1"/>
    </xf>
    <xf numFmtId="49" fontId="29" fillId="10" borderId="1" xfId="0" applyNumberFormat="1" applyFont="1" applyFill="1" applyBorder="1" applyAlignment="1">
      <alignment horizontal="right" wrapText="1"/>
    </xf>
    <xf numFmtId="3" fontId="29" fillId="10" borderId="1" xfId="0" applyNumberFormat="1" applyFont="1" applyFill="1" applyBorder="1" applyAlignment="1">
      <alignment horizontal="right"/>
    </xf>
    <xf numFmtId="4" fontId="29" fillId="10" borderId="1" xfId="0" applyNumberFormat="1" applyFont="1" applyFill="1" applyBorder="1" applyAlignment="1">
      <alignment horizontal="right"/>
    </xf>
    <xf numFmtId="10" fontId="29" fillId="10" borderId="1" xfId="0" applyNumberFormat="1" applyFont="1" applyFill="1" applyBorder="1" applyAlignment="1">
      <alignment horizontal="right"/>
    </xf>
    <xf numFmtId="0" fontId="5" fillId="10" borderId="0" xfId="0" applyFont="1" applyFill="1" applyAlignment="1"/>
    <xf numFmtId="4" fontId="6" fillId="14" borderId="1" xfId="0" applyNumberFormat="1" applyFont="1" applyFill="1" applyBorder="1" applyAlignment="1">
      <alignment horizontal="left" wrapText="1"/>
    </xf>
    <xf numFmtId="49" fontId="5" fillId="6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wrapTex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9" fontId="29" fillId="0" borderId="1" xfId="0" applyNumberFormat="1" applyFont="1" applyBorder="1" applyAlignment="1"/>
    <xf numFmtId="0" fontId="29" fillId="0" borderId="1" xfId="0" applyFont="1" applyBorder="1" applyAlignment="1"/>
    <xf numFmtId="0" fontId="29" fillId="0" borderId="1" xfId="0" applyFont="1" applyBorder="1" applyAlignment="1">
      <alignment horizontal="right"/>
    </xf>
    <xf numFmtId="4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0" fontId="29" fillId="0" borderId="0" xfId="0" applyFont="1" applyAlignment="1"/>
    <xf numFmtId="0" fontId="29" fillId="11" borderId="1" xfId="0" applyFont="1" applyFill="1" applyBorder="1" applyAlignment="1">
      <alignment horizontal="center" wrapText="1"/>
    </xf>
    <xf numFmtId="49" fontId="29" fillId="11" borderId="1" xfId="0" applyNumberFormat="1" applyFont="1" applyFill="1" applyBorder="1" applyAlignment="1">
      <alignment horizontal="right" wrapText="1"/>
    </xf>
    <xf numFmtId="0" fontId="5" fillId="10" borderId="1" xfId="0" applyFont="1" applyFill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vertical="distributed" wrapText="1"/>
    </xf>
    <xf numFmtId="49" fontId="30" fillId="0" borderId="1" xfId="0" applyNumberFormat="1" applyFont="1" applyBorder="1" applyAlignment="1">
      <alignment horizontal="center" vertical="top" wrapText="1"/>
    </xf>
    <xf numFmtId="49" fontId="30" fillId="0" borderId="1" xfId="0" applyNumberFormat="1" applyFont="1" applyBorder="1" applyAlignment="1">
      <alignment horizontal="center" vertical="distributed" wrapText="1"/>
    </xf>
    <xf numFmtId="3" fontId="18" fillId="2" borderId="1" xfId="0" applyNumberFormat="1" applyFont="1" applyFill="1" applyBorder="1" applyAlignment="1">
      <alignment vertical="top" wrapText="1"/>
    </xf>
    <xf numFmtId="4" fontId="18" fillId="2" borderId="1" xfId="0" applyNumberFormat="1" applyFont="1" applyFill="1" applyBorder="1" applyAlignment="1">
      <alignment vertical="distributed" wrapText="1"/>
    </xf>
    <xf numFmtId="3" fontId="20" fillId="2" borderId="1" xfId="0" applyNumberFormat="1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vertical="distributed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49" xfId="0" applyFont="1" applyBorder="1" applyAlignment="1">
      <alignment horizontal="center" vertical="center" wrapText="1"/>
    </xf>
    <xf numFmtId="0" fontId="12" fillId="0" borderId="4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29" fillId="0" borderId="27" xfId="0" applyNumberFormat="1" applyFont="1" applyBorder="1" applyAlignment="1">
      <alignment horizontal="right"/>
    </xf>
    <xf numFmtId="4" fontId="29" fillId="0" borderId="41" xfId="0" applyNumberFormat="1" applyFont="1" applyBorder="1" applyAlignment="1">
      <alignment horizontal="right"/>
    </xf>
    <xf numFmtId="4" fontId="29" fillId="0" borderId="42" xfId="0" applyNumberFormat="1" applyFont="1" applyBorder="1" applyAlignment="1">
      <alignment horizontal="right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/>
    </xf>
    <xf numFmtId="4" fontId="29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4" fontId="18" fillId="2" borderId="1" xfId="0" applyNumberFormat="1" applyFont="1" applyFill="1" applyBorder="1" applyAlignment="1">
      <alignment vertical="distributed" wrapText="1"/>
    </xf>
    <xf numFmtId="4" fontId="18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/>
    <cellStyle name="Обычный 2 2" xfId="3"/>
    <cellStyle name="Обычный 2 3" xfId="4"/>
    <cellStyle name="Финансовый" xfId="1" builtinId="3"/>
  </cellStyles>
  <dxfs count="0"/>
  <tableStyles count="0" defaultTableStyle="TableStyleMedium9" defaultPivotStyle="PivotStyleLight16"/>
  <colors>
    <mruColors>
      <color rgb="FFFFF8EF"/>
      <color rgb="FFF8F8F8"/>
      <color rgb="FFFEF9F4"/>
      <color rgb="FFFEF2E8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view="pageBreakPreview" topLeftCell="B1" zoomScaleSheetLayoutView="100" workbookViewId="0">
      <selection activeCell="G65" sqref="G65:G94"/>
    </sheetView>
  </sheetViews>
  <sheetFormatPr defaultRowHeight="15" x14ac:dyDescent="0.25"/>
  <cols>
    <col min="1" max="1" width="6.5703125" hidden="1" customWidth="1"/>
    <col min="2" max="2" width="49.28515625" customWidth="1"/>
    <col min="3" max="3" width="19.85546875" customWidth="1"/>
    <col min="4" max="4" width="17.28515625" customWidth="1"/>
    <col min="5" max="5" width="14.85546875" hidden="1" customWidth="1"/>
    <col min="6" max="6" width="15.42578125" hidden="1" customWidth="1"/>
    <col min="7" max="7" width="20.85546875" customWidth="1"/>
  </cols>
  <sheetData>
    <row r="1" spans="1:7" ht="66" customHeight="1" x14ac:dyDescent="0.25">
      <c r="A1" s="427" t="s">
        <v>392</v>
      </c>
      <c r="B1" s="427"/>
      <c r="C1" s="427"/>
      <c r="D1" s="427"/>
      <c r="E1" s="427"/>
      <c r="F1" s="427"/>
      <c r="G1" s="427"/>
    </row>
    <row r="2" spans="1:7" ht="78" customHeight="1" x14ac:dyDescent="0.25">
      <c r="A2" s="428" t="s">
        <v>309</v>
      </c>
      <c r="B2" s="428"/>
      <c r="C2" s="428"/>
      <c r="D2" s="428"/>
      <c r="E2" s="428"/>
      <c r="F2" s="428"/>
      <c r="G2" s="428"/>
    </row>
    <row r="3" spans="1:7" x14ac:dyDescent="0.25">
      <c r="A3" s="429" t="s">
        <v>245</v>
      </c>
      <c r="B3" s="429"/>
      <c r="C3" s="429"/>
      <c r="D3" s="429"/>
      <c r="E3" s="429"/>
      <c r="F3" s="429"/>
      <c r="G3" s="430"/>
    </row>
    <row r="4" spans="1:7" ht="15" customHeight="1" x14ac:dyDescent="0.25">
      <c r="A4" s="425" t="s">
        <v>0</v>
      </c>
      <c r="B4" s="432" t="s">
        <v>78</v>
      </c>
      <c r="C4" s="225"/>
      <c r="D4" s="222" t="s">
        <v>234</v>
      </c>
      <c r="E4" s="222" t="s">
        <v>246</v>
      </c>
      <c r="F4" s="222" t="s">
        <v>378</v>
      </c>
      <c r="G4" s="425" t="s">
        <v>83</v>
      </c>
    </row>
    <row r="5" spans="1:7" ht="37.5" customHeight="1" x14ac:dyDescent="0.25">
      <c r="A5" s="426"/>
      <c r="B5" s="433"/>
      <c r="C5" s="226"/>
      <c r="D5" s="227" t="s">
        <v>77</v>
      </c>
      <c r="E5" s="227" t="s">
        <v>77</v>
      </c>
      <c r="F5" s="227" t="s">
        <v>77</v>
      </c>
      <c r="G5" s="426"/>
    </row>
    <row r="6" spans="1:7" x14ac:dyDescent="0.25">
      <c r="A6" s="113"/>
      <c r="B6" s="228" t="s">
        <v>79</v>
      </c>
      <c r="C6" s="228"/>
      <c r="D6" s="229">
        <f>D8+D15</f>
        <v>2993000</v>
      </c>
      <c r="E6" s="229">
        <f t="shared" ref="E6:F6" si="0">E8+E15</f>
        <v>0</v>
      </c>
      <c r="F6" s="229">
        <f t="shared" si="0"/>
        <v>0</v>
      </c>
      <c r="G6" s="230"/>
    </row>
    <row r="7" spans="1:7" x14ac:dyDescent="0.25">
      <c r="A7" s="115"/>
      <c r="B7" s="231" t="s">
        <v>80</v>
      </c>
      <c r="C7" s="231"/>
      <c r="D7" s="232"/>
      <c r="E7" s="233"/>
      <c r="F7" s="233"/>
      <c r="G7" s="231"/>
    </row>
    <row r="8" spans="1:7" x14ac:dyDescent="0.25">
      <c r="A8" s="117"/>
      <c r="B8" s="234" t="s">
        <v>194</v>
      </c>
      <c r="C8" s="234"/>
      <c r="D8" s="235">
        <f>D9+D10+D11+D12</f>
        <v>14491000</v>
      </c>
      <c r="E8" s="235">
        <f t="shared" ref="E8:F8" si="1">E10</f>
        <v>0</v>
      </c>
      <c r="F8" s="235">
        <f t="shared" si="1"/>
        <v>0</v>
      </c>
      <c r="G8" s="236"/>
    </row>
    <row r="9" spans="1:7" ht="25.5" x14ac:dyDescent="0.25">
      <c r="A9" s="117"/>
      <c r="B9" s="31" t="s">
        <v>558</v>
      </c>
      <c r="C9" s="31" t="s">
        <v>559</v>
      </c>
      <c r="D9" s="238">
        <v>16200000</v>
      </c>
      <c r="E9" s="238"/>
      <c r="F9" s="238"/>
      <c r="G9" s="422" t="s">
        <v>497</v>
      </c>
    </row>
    <row r="10" spans="1:7" ht="22.5" customHeight="1" x14ac:dyDescent="0.25">
      <c r="A10" s="117"/>
      <c r="B10" s="31" t="s">
        <v>495</v>
      </c>
      <c r="C10" s="237" t="s">
        <v>496</v>
      </c>
      <c r="D10" s="238">
        <v>116000</v>
      </c>
      <c r="E10" s="239"/>
      <c r="F10" s="239"/>
      <c r="G10" s="423"/>
    </row>
    <row r="11" spans="1:7" ht="25.5" x14ac:dyDescent="0.25">
      <c r="A11" s="115"/>
      <c r="B11" s="231" t="s">
        <v>548</v>
      </c>
      <c r="C11" s="240" t="s">
        <v>549</v>
      </c>
      <c r="D11" s="232">
        <v>-2060000</v>
      </c>
      <c r="E11" s="233"/>
      <c r="F11" s="233"/>
      <c r="G11" s="423"/>
    </row>
    <row r="12" spans="1:7" ht="25.5" x14ac:dyDescent="0.25">
      <c r="A12" s="115"/>
      <c r="B12" s="231" t="s">
        <v>560</v>
      </c>
      <c r="C12" s="231" t="s">
        <v>561</v>
      </c>
      <c r="D12" s="232">
        <v>235000</v>
      </c>
      <c r="E12" s="233"/>
      <c r="F12" s="233"/>
      <c r="G12" s="423"/>
    </row>
    <row r="13" spans="1:7" ht="15" hidden="1" customHeight="1" x14ac:dyDescent="0.25">
      <c r="A13" s="115"/>
      <c r="B13" s="231"/>
      <c r="C13" s="231"/>
      <c r="D13" s="232"/>
      <c r="E13" s="233"/>
      <c r="F13" s="233"/>
      <c r="G13" s="423"/>
    </row>
    <row r="14" spans="1:7" ht="15" hidden="1" customHeight="1" x14ac:dyDescent="0.25">
      <c r="A14" s="115"/>
      <c r="B14" s="231"/>
      <c r="C14" s="231"/>
      <c r="D14" s="232"/>
      <c r="E14" s="233"/>
      <c r="F14" s="233"/>
      <c r="G14" s="424"/>
    </row>
    <row r="15" spans="1:7" s="121" customFormat="1" x14ac:dyDescent="0.25">
      <c r="A15" s="148"/>
      <c r="B15" s="234" t="s">
        <v>195</v>
      </c>
      <c r="C15" s="234"/>
      <c r="D15" s="235">
        <f>D16+D17+D18+D20+D21+D22+D23</f>
        <v>-11498000</v>
      </c>
      <c r="E15" s="235">
        <f t="shared" ref="E15:F15" si="2">E17+E18+E19+E21+E22+E23+E24</f>
        <v>0</v>
      </c>
      <c r="F15" s="235">
        <f t="shared" si="2"/>
        <v>0</v>
      </c>
      <c r="G15" s="234"/>
    </row>
    <row r="16" spans="1:7" s="121" customFormat="1" ht="25.5" customHeight="1" x14ac:dyDescent="0.25">
      <c r="A16" s="148"/>
      <c r="B16" s="31" t="s">
        <v>553</v>
      </c>
      <c r="C16" s="31" t="s">
        <v>554</v>
      </c>
      <c r="D16" s="238">
        <v>74000</v>
      </c>
      <c r="E16" s="238"/>
      <c r="F16" s="238"/>
      <c r="G16" s="439" t="s">
        <v>498</v>
      </c>
    </row>
    <row r="17" spans="1:7" ht="42.75" customHeight="1" x14ac:dyDescent="0.25">
      <c r="A17" s="115"/>
      <c r="B17" s="231" t="s">
        <v>314</v>
      </c>
      <c r="C17" s="241" t="s">
        <v>550</v>
      </c>
      <c r="D17" s="232">
        <v>794000</v>
      </c>
      <c r="E17" s="233"/>
      <c r="F17" s="233"/>
      <c r="G17" s="440"/>
    </row>
    <row r="18" spans="1:7" ht="44.25" customHeight="1" x14ac:dyDescent="0.25">
      <c r="A18" s="115"/>
      <c r="B18" s="231" t="s">
        <v>315</v>
      </c>
      <c r="C18" s="240" t="s">
        <v>316</v>
      </c>
      <c r="D18" s="232">
        <v>400000</v>
      </c>
      <c r="E18" s="233"/>
      <c r="F18" s="233"/>
      <c r="G18" s="441"/>
    </row>
    <row r="19" spans="1:7" ht="47.25" hidden="1" customHeight="1" x14ac:dyDescent="0.25">
      <c r="A19" s="115"/>
      <c r="B19" s="231" t="s">
        <v>313</v>
      </c>
      <c r="C19" s="240" t="s">
        <v>317</v>
      </c>
      <c r="D19" s="232"/>
      <c r="E19" s="242"/>
      <c r="F19" s="242"/>
      <c r="G19" s="231"/>
    </row>
    <row r="20" spans="1:7" ht="47.25" customHeight="1" x14ac:dyDescent="0.25">
      <c r="A20" s="115"/>
      <c r="B20" s="231" t="s">
        <v>551</v>
      </c>
      <c r="C20" s="240" t="s">
        <v>552</v>
      </c>
      <c r="D20" s="232">
        <v>39000</v>
      </c>
      <c r="E20" s="242"/>
      <c r="F20" s="242"/>
      <c r="G20" s="231" t="s">
        <v>497</v>
      </c>
    </row>
    <row r="21" spans="1:7" ht="38.25" x14ac:dyDescent="0.25">
      <c r="A21" s="115"/>
      <c r="B21" s="231" t="s">
        <v>308</v>
      </c>
      <c r="C21" s="240" t="s">
        <v>310</v>
      </c>
      <c r="D21" s="232">
        <v>70000</v>
      </c>
      <c r="E21" s="233"/>
      <c r="F21" s="233"/>
      <c r="G21" s="231" t="s">
        <v>499</v>
      </c>
    </row>
    <row r="22" spans="1:7" ht="45.95" customHeight="1" x14ac:dyDescent="0.25">
      <c r="A22" s="115"/>
      <c r="B22" s="231" t="s">
        <v>474</v>
      </c>
      <c r="C22" s="240" t="s">
        <v>555</v>
      </c>
      <c r="D22" s="232">
        <v>-2875000</v>
      </c>
      <c r="E22" s="233"/>
      <c r="F22" s="233"/>
      <c r="G22" s="439" t="s">
        <v>498</v>
      </c>
    </row>
    <row r="23" spans="1:7" ht="15" customHeight="1" x14ac:dyDescent="0.25">
      <c r="A23" s="115"/>
      <c r="B23" s="231" t="s">
        <v>556</v>
      </c>
      <c r="C23" s="243" t="s">
        <v>557</v>
      </c>
      <c r="D23" s="232">
        <v>-10000000</v>
      </c>
      <c r="E23" s="233"/>
      <c r="F23" s="233"/>
      <c r="G23" s="441"/>
    </row>
    <row r="24" spans="1:7" hidden="1" x14ac:dyDescent="0.25">
      <c r="A24" s="115"/>
      <c r="B24" s="115"/>
      <c r="C24" s="147"/>
      <c r="D24" s="116"/>
      <c r="E24" s="145"/>
      <c r="F24" s="145"/>
      <c r="G24" s="115"/>
    </row>
    <row r="25" spans="1:7" x14ac:dyDescent="0.25">
      <c r="A25" s="113"/>
      <c r="B25" s="228" t="s">
        <v>196</v>
      </c>
      <c r="C25" s="228"/>
      <c r="D25" s="229">
        <f>D26</f>
        <v>23153888</v>
      </c>
      <c r="E25" s="229">
        <f>E26+E126</f>
        <v>0</v>
      </c>
      <c r="F25" s="229">
        <f>F26+F126</f>
        <v>0</v>
      </c>
      <c r="G25" s="114"/>
    </row>
    <row r="26" spans="1:7" ht="25.5" x14ac:dyDescent="0.25">
      <c r="A26" s="113"/>
      <c r="B26" s="228" t="s">
        <v>295</v>
      </c>
      <c r="C26" s="228"/>
      <c r="D26" s="229">
        <f>D27+D31+D49+D96</f>
        <v>23153888</v>
      </c>
      <c r="E26" s="144"/>
      <c r="F26" s="144"/>
      <c r="G26" s="114"/>
    </row>
    <row r="27" spans="1:7" ht="31.7" customHeight="1" x14ac:dyDescent="0.25">
      <c r="A27" s="113"/>
      <c r="B27" s="245" t="s">
        <v>204</v>
      </c>
      <c r="C27" s="246"/>
      <c r="D27" s="229">
        <f>D28+D30</f>
        <v>19944136</v>
      </c>
      <c r="E27" s="144"/>
      <c r="F27" s="144"/>
      <c r="G27" s="113"/>
    </row>
    <row r="28" spans="1:7" ht="40.700000000000003" customHeight="1" x14ac:dyDescent="0.25">
      <c r="A28" s="113"/>
      <c r="B28" s="247" t="s">
        <v>476</v>
      </c>
      <c r="C28" s="248" t="s">
        <v>475</v>
      </c>
      <c r="D28" s="249">
        <v>15725100</v>
      </c>
      <c r="E28" s="144"/>
      <c r="F28" s="144"/>
      <c r="G28" s="442" t="s">
        <v>602</v>
      </c>
    </row>
    <row r="29" spans="1:7" ht="42.75" hidden="1" customHeight="1" x14ac:dyDescent="0.25">
      <c r="A29" s="113"/>
      <c r="B29" s="247" t="s">
        <v>395</v>
      </c>
      <c r="C29" s="250" t="s">
        <v>396</v>
      </c>
      <c r="D29" s="251"/>
      <c r="E29" s="150"/>
      <c r="F29" s="150"/>
      <c r="G29" s="443"/>
    </row>
    <row r="30" spans="1:7" ht="48.75" customHeight="1" x14ac:dyDescent="0.25">
      <c r="A30" s="113"/>
      <c r="B30" s="247" t="s">
        <v>563</v>
      </c>
      <c r="C30" s="250" t="s">
        <v>562</v>
      </c>
      <c r="D30" s="251">
        <v>4219036</v>
      </c>
      <c r="E30" s="150"/>
      <c r="F30" s="150"/>
      <c r="G30" s="444"/>
    </row>
    <row r="31" spans="1:7" s="121" customFormat="1" ht="40.5" x14ac:dyDescent="0.25">
      <c r="A31" s="234"/>
      <c r="B31" s="234" t="s">
        <v>81</v>
      </c>
      <c r="C31" s="252"/>
      <c r="D31" s="235">
        <f>D37+D38+D41</f>
        <v>3239182</v>
      </c>
      <c r="E31" s="235">
        <f t="shared" ref="E31:F31" si="3">E32+E33+E38+E40+E42+E43+E48</f>
        <v>0</v>
      </c>
      <c r="F31" s="235">
        <f t="shared" si="3"/>
        <v>0</v>
      </c>
      <c r="G31" s="236"/>
    </row>
    <row r="32" spans="1:7" s="121" customFormat="1" ht="51" hidden="1" x14ac:dyDescent="0.25">
      <c r="A32" s="234"/>
      <c r="B32" s="31" t="s">
        <v>433</v>
      </c>
      <c r="C32" s="253" t="s">
        <v>397</v>
      </c>
      <c r="D32" s="238"/>
      <c r="E32" s="244"/>
      <c r="F32" s="244"/>
      <c r="G32" s="436" t="s">
        <v>285</v>
      </c>
    </row>
    <row r="33" spans="1:7" s="121" customFormat="1" ht="42.75" hidden="1" customHeight="1" x14ac:dyDescent="0.25">
      <c r="A33" s="234"/>
      <c r="B33" s="31" t="s">
        <v>434</v>
      </c>
      <c r="C33" s="253" t="s">
        <v>398</v>
      </c>
      <c r="D33" s="238"/>
      <c r="E33" s="238"/>
      <c r="F33" s="238"/>
      <c r="G33" s="437"/>
    </row>
    <row r="34" spans="1:7" s="121" customFormat="1" ht="42.75" hidden="1" customHeight="1" x14ac:dyDescent="0.25">
      <c r="A34" s="234"/>
      <c r="B34" s="31" t="s">
        <v>494</v>
      </c>
      <c r="C34" s="253" t="s">
        <v>493</v>
      </c>
      <c r="D34" s="238"/>
      <c r="E34" s="238"/>
      <c r="F34" s="238"/>
      <c r="G34" s="437"/>
    </row>
    <row r="35" spans="1:7" s="121" customFormat="1" ht="25.5" hidden="1" x14ac:dyDescent="0.25">
      <c r="A35" s="234"/>
      <c r="B35" s="31" t="s">
        <v>477</v>
      </c>
      <c r="C35" s="253" t="s">
        <v>478</v>
      </c>
      <c r="D35" s="238"/>
      <c r="E35" s="238"/>
      <c r="F35" s="238"/>
      <c r="G35" s="437"/>
    </row>
    <row r="36" spans="1:7" s="121" customFormat="1" ht="38.25" hidden="1" x14ac:dyDescent="0.25">
      <c r="A36" s="234"/>
      <c r="B36" s="31" t="s">
        <v>481</v>
      </c>
      <c r="C36" s="253" t="s">
        <v>482</v>
      </c>
      <c r="D36" s="238"/>
      <c r="E36" s="238"/>
      <c r="F36" s="238"/>
      <c r="G36" s="437"/>
    </row>
    <row r="37" spans="1:7" s="121" customFormat="1" ht="38.25" x14ac:dyDescent="0.25">
      <c r="A37" s="234"/>
      <c r="B37" s="31" t="s">
        <v>479</v>
      </c>
      <c r="C37" s="253" t="s">
        <v>480</v>
      </c>
      <c r="D37" s="238">
        <v>-289</v>
      </c>
      <c r="E37" s="238"/>
      <c r="F37" s="238"/>
      <c r="G37" s="437"/>
    </row>
    <row r="38" spans="1:7" s="121" customFormat="1" ht="36.950000000000003" customHeight="1" x14ac:dyDescent="0.25">
      <c r="A38" s="234"/>
      <c r="B38" s="31" t="s">
        <v>435</v>
      </c>
      <c r="C38" s="253" t="s">
        <v>399</v>
      </c>
      <c r="D38" s="238">
        <v>-260279</v>
      </c>
      <c r="E38" s="238"/>
      <c r="F38" s="238"/>
      <c r="G38" s="437"/>
    </row>
    <row r="39" spans="1:7" s="121" customFormat="1" ht="36.950000000000003" hidden="1" customHeight="1" x14ac:dyDescent="0.25">
      <c r="A39" s="234"/>
      <c r="B39" s="31" t="s">
        <v>501</v>
      </c>
      <c r="C39" s="253" t="s">
        <v>500</v>
      </c>
      <c r="D39" s="238"/>
      <c r="E39" s="238"/>
      <c r="F39" s="238"/>
      <c r="G39" s="437"/>
    </row>
    <row r="40" spans="1:7" s="121" customFormat="1" ht="38.25" hidden="1" x14ac:dyDescent="0.25">
      <c r="A40" s="234"/>
      <c r="B40" s="31" t="s">
        <v>401</v>
      </c>
      <c r="C40" s="253" t="s">
        <v>400</v>
      </c>
      <c r="D40" s="238"/>
      <c r="E40" s="238"/>
      <c r="F40" s="238"/>
      <c r="G40" s="437"/>
    </row>
    <row r="41" spans="1:7" s="121" customFormat="1" ht="25.5" x14ac:dyDescent="0.25">
      <c r="A41" s="234"/>
      <c r="B41" s="31" t="s">
        <v>565</v>
      </c>
      <c r="C41" s="253" t="s">
        <v>564</v>
      </c>
      <c r="D41" s="238">
        <v>3499750</v>
      </c>
      <c r="E41" s="238"/>
      <c r="F41" s="238"/>
      <c r="G41" s="437"/>
    </row>
    <row r="42" spans="1:7" ht="38.25" hidden="1" x14ac:dyDescent="0.25">
      <c r="A42" s="117"/>
      <c r="B42" s="118" t="s">
        <v>436</v>
      </c>
      <c r="C42" s="151" t="s">
        <v>403</v>
      </c>
      <c r="D42" s="146"/>
      <c r="E42" s="152"/>
      <c r="F42" s="152"/>
      <c r="G42" s="437"/>
    </row>
    <row r="43" spans="1:7" ht="25.5" hidden="1" x14ac:dyDescent="0.25">
      <c r="A43" s="117"/>
      <c r="B43" s="118" t="s">
        <v>437</v>
      </c>
      <c r="C43" s="151" t="s">
        <v>402</v>
      </c>
      <c r="D43" s="146"/>
      <c r="E43" s="146"/>
      <c r="F43" s="146"/>
      <c r="G43" s="437"/>
    </row>
    <row r="44" spans="1:7" ht="15" hidden="1" customHeight="1" x14ac:dyDescent="0.25">
      <c r="A44" s="117"/>
      <c r="B44" s="118"/>
      <c r="C44" s="151"/>
      <c r="D44" s="146"/>
      <c r="E44" s="146"/>
      <c r="F44" s="146"/>
      <c r="G44" s="437"/>
    </row>
    <row r="45" spans="1:7" ht="15" hidden="1" customHeight="1" x14ac:dyDescent="0.25">
      <c r="A45" s="115"/>
      <c r="B45" s="115"/>
      <c r="C45" s="149"/>
      <c r="D45" s="116"/>
      <c r="E45" s="153"/>
      <c r="F45" s="119"/>
      <c r="G45" s="437"/>
    </row>
    <row r="46" spans="1:7" ht="15" hidden="1" customHeight="1" x14ac:dyDescent="0.25">
      <c r="A46" s="115"/>
      <c r="B46" s="115"/>
      <c r="C46" s="149"/>
      <c r="D46" s="116"/>
      <c r="E46" s="153"/>
      <c r="F46" s="119"/>
      <c r="G46" s="437"/>
    </row>
    <row r="47" spans="1:7" ht="10.5" hidden="1" customHeight="1" x14ac:dyDescent="0.25">
      <c r="A47" s="115"/>
      <c r="B47" s="115"/>
      <c r="C47" s="149"/>
      <c r="D47" s="116"/>
      <c r="E47" s="153"/>
      <c r="F47" s="119"/>
      <c r="G47" s="437"/>
    </row>
    <row r="48" spans="1:7" ht="38.25" hidden="1" customHeight="1" x14ac:dyDescent="0.25">
      <c r="A48" s="118"/>
      <c r="B48" s="142" t="s">
        <v>373</v>
      </c>
      <c r="C48" s="154" t="s">
        <v>374</v>
      </c>
      <c r="D48" s="146"/>
      <c r="E48" s="155"/>
      <c r="F48" s="155"/>
      <c r="G48" s="438"/>
    </row>
    <row r="49" spans="1:7" s="121" customFormat="1" ht="27" x14ac:dyDescent="0.25">
      <c r="A49" s="234"/>
      <c r="B49" s="234" t="s">
        <v>82</v>
      </c>
      <c r="C49" s="234"/>
      <c r="D49" s="235">
        <f>D51+D52+D56+D57+D58+D59+D60+D61+D62+D63+D64+D65+D66+D67+D72+D73+D76+D77+D83+D85+D87+D88+D89+D90</f>
        <v>7154690</v>
      </c>
      <c r="E49" s="235">
        <f>E57+E58+E59+E61+E62+E63+E64+E68+E70+E71+E75</f>
        <v>0</v>
      </c>
      <c r="F49" s="235">
        <f>F57+F58+F59+F61+F62+F63+F64+F68+F70+F71+F75+F85</f>
        <v>0</v>
      </c>
      <c r="G49" s="236"/>
    </row>
    <row r="50" spans="1:7" s="121" customFormat="1" ht="25.5" hidden="1" x14ac:dyDescent="0.25">
      <c r="A50" s="234"/>
      <c r="B50" s="31" t="s">
        <v>211</v>
      </c>
      <c r="C50" s="237" t="s">
        <v>300</v>
      </c>
      <c r="D50" s="254"/>
      <c r="E50" s="255"/>
      <c r="F50" s="255"/>
      <c r="G50" s="436" t="s">
        <v>285</v>
      </c>
    </row>
    <row r="51" spans="1:7" s="121" customFormat="1" ht="39.75" customHeight="1" x14ac:dyDescent="0.25">
      <c r="A51" s="234"/>
      <c r="B51" s="31" t="s">
        <v>567</v>
      </c>
      <c r="C51" s="237" t="s">
        <v>566</v>
      </c>
      <c r="D51" s="254">
        <v>-65000</v>
      </c>
      <c r="E51" s="255"/>
      <c r="F51" s="255"/>
      <c r="G51" s="437"/>
    </row>
    <row r="52" spans="1:7" s="121" customFormat="1" ht="25.5" x14ac:dyDescent="0.25">
      <c r="A52" s="234"/>
      <c r="B52" s="31" t="s">
        <v>365</v>
      </c>
      <c r="C52" s="237" t="s">
        <v>360</v>
      </c>
      <c r="D52" s="254">
        <v>365000</v>
      </c>
      <c r="E52" s="255"/>
      <c r="F52" s="255"/>
      <c r="G52" s="437"/>
    </row>
    <row r="53" spans="1:7" s="121" customFormat="1" ht="51" hidden="1" x14ac:dyDescent="0.25">
      <c r="A53" s="234"/>
      <c r="B53" s="31" t="s">
        <v>318</v>
      </c>
      <c r="C53" s="237" t="s">
        <v>319</v>
      </c>
      <c r="D53" s="254"/>
      <c r="E53" s="255"/>
      <c r="F53" s="255"/>
      <c r="G53" s="437"/>
    </row>
    <row r="54" spans="1:7" s="121" customFormat="1" ht="51" hidden="1" x14ac:dyDescent="0.25">
      <c r="A54" s="234"/>
      <c r="B54" s="31" t="s">
        <v>484</v>
      </c>
      <c r="C54" s="237" t="s">
        <v>483</v>
      </c>
      <c r="D54" s="238"/>
      <c r="E54" s="255"/>
      <c r="F54" s="255"/>
      <c r="G54" s="437"/>
    </row>
    <row r="55" spans="1:7" s="121" customFormat="1" ht="38.25" hidden="1" x14ac:dyDescent="0.25">
      <c r="A55" s="234"/>
      <c r="B55" s="31" t="s">
        <v>321</v>
      </c>
      <c r="C55" s="237" t="s">
        <v>320</v>
      </c>
      <c r="D55" s="254"/>
      <c r="E55" s="255"/>
      <c r="F55" s="255"/>
      <c r="G55" s="437"/>
    </row>
    <row r="56" spans="1:7" s="121" customFormat="1" ht="51" x14ac:dyDescent="0.25">
      <c r="A56" s="234"/>
      <c r="B56" s="31" t="s">
        <v>322</v>
      </c>
      <c r="C56" s="237" t="s">
        <v>330</v>
      </c>
      <c r="D56" s="254">
        <v>-2093412</v>
      </c>
      <c r="E56" s="255"/>
      <c r="F56" s="255"/>
      <c r="G56" s="437"/>
    </row>
    <row r="57" spans="1:7" s="121" customFormat="1" ht="25.5" x14ac:dyDescent="0.25">
      <c r="A57" s="234"/>
      <c r="B57" s="31" t="s">
        <v>323</v>
      </c>
      <c r="C57" s="237" t="s">
        <v>331</v>
      </c>
      <c r="D57" s="254">
        <v>84601</v>
      </c>
      <c r="E57" s="256"/>
      <c r="F57" s="256"/>
      <c r="G57" s="437"/>
    </row>
    <row r="58" spans="1:7" s="121" customFormat="1" ht="25.5" x14ac:dyDescent="0.25">
      <c r="A58" s="234"/>
      <c r="B58" s="31" t="s">
        <v>324</v>
      </c>
      <c r="C58" s="237" t="s">
        <v>332</v>
      </c>
      <c r="D58" s="254">
        <v>-4554412</v>
      </c>
      <c r="E58" s="256"/>
      <c r="F58" s="256"/>
      <c r="G58" s="437"/>
    </row>
    <row r="59" spans="1:7" s="121" customFormat="1" ht="25.5" x14ac:dyDescent="0.25">
      <c r="A59" s="234"/>
      <c r="B59" s="31" t="s">
        <v>325</v>
      </c>
      <c r="C59" s="237" t="s">
        <v>333</v>
      </c>
      <c r="D59" s="254">
        <v>18052218</v>
      </c>
      <c r="E59" s="256"/>
      <c r="F59" s="256"/>
      <c r="G59" s="437"/>
    </row>
    <row r="60" spans="1:7" s="121" customFormat="1" ht="27.95" customHeight="1" x14ac:dyDescent="0.25">
      <c r="A60" s="234"/>
      <c r="B60" s="31" t="s">
        <v>326</v>
      </c>
      <c r="C60" s="237" t="s">
        <v>334</v>
      </c>
      <c r="D60" s="238">
        <v>-2646305</v>
      </c>
      <c r="E60" s="256"/>
      <c r="F60" s="256"/>
      <c r="G60" s="437"/>
    </row>
    <row r="61" spans="1:7" s="121" customFormat="1" ht="38.25" x14ac:dyDescent="0.25">
      <c r="A61" s="234"/>
      <c r="B61" s="31" t="s">
        <v>327</v>
      </c>
      <c r="C61" s="237" t="s">
        <v>335</v>
      </c>
      <c r="D61" s="254">
        <v>-1419886</v>
      </c>
      <c r="E61" s="256"/>
      <c r="F61" s="256"/>
      <c r="G61" s="437"/>
    </row>
    <row r="62" spans="1:7" s="121" customFormat="1" ht="21.75" customHeight="1" x14ac:dyDescent="0.25">
      <c r="A62" s="234"/>
      <c r="B62" s="31" t="s">
        <v>328</v>
      </c>
      <c r="C62" s="237" t="s">
        <v>336</v>
      </c>
      <c r="D62" s="238">
        <v>-906023</v>
      </c>
      <c r="E62" s="256"/>
      <c r="F62" s="256"/>
      <c r="G62" s="437"/>
    </row>
    <row r="63" spans="1:7" s="121" customFormat="1" ht="63.95" customHeight="1" x14ac:dyDescent="0.25">
      <c r="A63" s="234"/>
      <c r="B63" s="31" t="s">
        <v>329</v>
      </c>
      <c r="C63" s="237" t="s">
        <v>337</v>
      </c>
      <c r="D63" s="238">
        <v>4832209</v>
      </c>
      <c r="E63" s="256"/>
      <c r="F63" s="256"/>
      <c r="G63" s="437"/>
    </row>
    <row r="64" spans="1:7" s="121" customFormat="1" ht="31.7" customHeight="1" x14ac:dyDescent="0.25">
      <c r="A64" s="234"/>
      <c r="B64" s="31" t="s">
        <v>438</v>
      </c>
      <c r="C64" s="237" t="s">
        <v>404</v>
      </c>
      <c r="D64" s="238">
        <v>300000</v>
      </c>
      <c r="E64" s="256"/>
      <c r="F64" s="256"/>
      <c r="G64" s="257"/>
    </row>
    <row r="65" spans="1:7" s="121" customFormat="1" ht="23.25" customHeight="1" x14ac:dyDescent="0.25">
      <c r="A65" s="231"/>
      <c r="B65" s="258" t="s">
        <v>339</v>
      </c>
      <c r="C65" s="259" t="s">
        <v>338</v>
      </c>
      <c r="D65" s="260">
        <v>-300000</v>
      </c>
      <c r="E65" s="261"/>
      <c r="F65" s="261"/>
      <c r="G65" s="431" t="s">
        <v>285</v>
      </c>
    </row>
    <row r="66" spans="1:7" s="121" customFormat="1" ht="51" x14ac:dyDescent="0.25">
      <c r="A66" s="231"/>
      <c r="B66" s="258" t="s">
        <v>288</v>
      </c>
      <c r="C66" s="259" t="s">
        <v>289</v>
      </c>
      <c r="D66" s="260">
        <v>-800000</v>
      </c>
      <c r="E66" s="261"/>
      <c r="F66" s="261"/>
      <c r="G66" s="431"/>
    </row>
    <row r="67" spans="1:7" s="121" customFormat="1" ht="38.25" x14ac:dyDescent="0.25">
      <c r="A67" s="231"/>
      <c r="B67" s="258" t="s">
        <v>357</v>
      </c>
      <c r="C67" s="259" t="s">
        <v>352</v>
      </c>
      <c r="D67" s="260">
        <v>-118754</v>
      </c>
      <c r="E67" s="261"/>
      <c r="F67" s="261"/>
      <c r="G67" s="431"/>
    </row>
    <row r="68" spans="1:7" s="121" customFormat="1" ht="25.5" hidden="1" x14ac:dyDescent="0.25">
      <c r="A68" s="231"/>
      <c r="B68" s="258" t="s">
        <v>439</v>
      </c>
      <c r="C68" s="259" t="s">
        <v>405</v>
      </c>
      <c r="D68" s="260"/>
      <c r="E68" s="261"/>
      <c r="F68" s="261"/>
      <c r="G68" s="431"/>
    </row>
    <row r="69" spans="1:7" s="121" customFormat="1" ht="38.25" hidden="1" x14ac:dyDescent="0.25">
      <c r="A69" s="231"/>
      <c r="B69" s="258" t="s">
        <v>358</v>
      </c>
      <c r="C69" s="259" t="s">
        <v>353</v>
      </c>
      <c r="D69" s="260"/>
      <c r="E69" s="261"/>
      <c r="F69" s="261"/>
      <c r="G69" s="431"/>
    </row>
    <row r="70" spans="1:7" s="121" customFormat="1" ht="25.5" hidden="1" x14ac:dyDescent="0.25">
      <c r="A70" s="231"/>
      <c r="B70" s="258" t="s">
        <v>440</v>
      </c>
      <c r="C70" s="259" t="s">
        <v>406</v>
      </c>
      <c r="D70" s="260"/>
      <c r="E70" s="261"/>
      <c r="F70" s="261"/>
      <c r="G70" s="431"/>
    </row>
    <row r="71" spans="1:7" s="121" customFormat="1" ht="25.5" hidden="1" x14ac:dyDescent="0.25">
      <c r="A71" s="231"/>
      <c r="B71" s="258" t="s">
        <v>441</v>
      </c>
      <c r="C71" s="259" t="s">
        <v>407</v>
      </c>
      <c r="D71" s="260"/>
      <c r="E71" s="261"/>
      <c r="F71" s="261"/>
      <c r="G71" s="431"/>
    </row>
    <row r="72" spans="1:7" s="121" customFormat="1" ht="25.5" x14ac:dyDescent="0.25">
      <c r="A72" s="231"/>
      <c r="B72" s="258" t="s">
        <v>341</v>
      </c>
      <c r="C72" s="259" t="s">
        <v>340</v>
      </c>
      <c r="D72" s="260">
        <v>-24933</v>
      </c>
      <c r="E72" s="261"/>
      <c r="F72" s="261"/>
      <c r="G72" s="431"/>
    </row>
    <row r="73" spans="1:7" s="121" customFormat="1" ht="51" x14ac:dyDescent="0.25">
      <c r="A73" s="231"/>
      <c r="B73" s="258" t="s">
        <v>569</v>
      </c>
      <c r="C73" s="259" t="s">
        <v>568</v>
      </c>
      <c r="D73" s="260">
        <v>10000</v>
      </c>
      <c r="E73" s="261"/>
      <c r="F73" s="261"/>
      <c r="G73" s="431"/>
    </row>
    <row r="74" spans="1:7" s="121" customFormat="1" ht="51" hidden="1" x14ac:dyDescent="0.25">
      <c r="A74" s="231"/>
      <c r="B74" s="258" t="s">
        <v>359</v>
      </c>
      <c r="C74" s="259" t="s">
        <v>354</v>
      </c>
      <c r="D74" s="260"/>
      <c r="E74" s="261"/>
      <c r="F74" s="261"/>
      <c r="G74" s="431"/>
    </row>
    <row r="75" spans="1:7" s="121" customFormat="1" ht="38.25" hidden="1" x14ac:dyDescent="0.25">
      <c r="A75" s="231"/>
      <c r="B75" s="258" t="s">
        <v>442</v>
      </c>
      <c r="C75" s="259" t="s">
        <v>408</v>
      </c>
      <c r="D75" s="260"/>
      <c r="E75" s="262"/>
      <c r="F75" s="262"/>
      <c r="G75" s="431"/>
    </row>
    <row r="76" spans="1:7" s="121" customFormat="1" ht="28.5" customHeight="1" x14ac:dyDescent="0.25">
      <c r="A76" s="231"/>
      <c r="B76" s="258" t="s">
        <v>291</v>
      </c>
      <c r="C76" s="259" t="s">
        <v>290</v>
      </c>
      <c r="D76" s="260">
        <v>190000</v>
      </c>
      <c r="E76" s="261"/>
      <c r="F76" s="261"/>
      <c r="G76" s="431"/>
    </row>
    <row r="77" spans="1:7" s="121" customFormat="1" ht="42.75" customHeight="1" x14ac:dyDescent="0.25">
      <c r="A77" s="231"/>
      <c r="B77" s="258" t="s">
        <v>342</v>
      </c>
      <c r="C77" s="259" t="s">
        <v>247</v>
      </c>
      <c r="D77" s="260">
        <v>-1791252</v>
      </c>
      <c r="E77" s="261"/>
      <c r="F77" s="261"/>
      <c r="G77" s="431"/>
    </row>
    <row r="78" spans="1:7" s="121" customFormat="1" ht="55.5" hidden="1" customHeight="1" x14ac:dyDescent="0.25">
      <c r="A78" s="231"/>
      <c r="B78" s="258" t="s">
        <v>366</v>
      </c>
      <c r="C78" s="259" t="s">
        <v>361</v>
      </c>
      <c r="D78" s="260"/>
      <c r="E78" s="261"/>
      <c r="F78" s="261"/>
      <c r="G78" s="431"/>
    </row>
    <row r="79" spans="1:7" s="121" customFormat="1" ht="72" hidden="1" customHeight="1" x14ac:dyDescent="0.25">
      <c r="A79" s="231"/>
      <c r="B79" s="258" t="s">
        <v>287</v>
      </c>
      <c r="C79" s="259" t="s">
        <v>286</v>
      </c>
      <c r="D79" s="260"/>
      <c r="E79" s="232"/>
      <c r="F79" s="232"/>
      <c r="G79" s="431"/>
    </row>
    <row r="80" spans="1:7" s="121" customFormat="1" ht="43.5" hidden="1" customHeight="1" x14ac:dyDescent="0.25">
      <c r="A80" s="231"/>
      <c r="B80" s="258" t="s">
        <v>367</v>
      </c>
      <c r="C80" s="259" t="s">
        <v>362</v>
      </c>
      <c r="D80" s="260"/>
      <c r="E80" s="232"/>
      <c r="F80" s="232"/>
      <c r="G80" s="431"/>
    </row>
    <row r="81" spans="1:7" s="121" customFormat="1" ht="44.25" hidden="1" customHeight="1" x14ac:dyDescent="0.25">
      <c r="A81" s="231"/>
      <c r="B81" s="258" t="s">
        <v>368</v>
      </c>
      <c r="C81" s="259" t="s">
        <v>363</v>
      </c>
      <c r="D81" s="260"/>
      <c r="E81" s="232"/>
      <c r="F81" s="232"/>
      <c r="G81" s="431"/>
    </row>
    <row r="82" spans="1:7" s="121" customFormat="1" ht="72" hidden="1" customHeight="1" x14ac:dyDescent="0.25">
      <c r="A82" s="231"/>
      <c r="B82" s="258" t="s">
        <v>369</v>
      </c>
      <c r="C82" s="259" t="s">
        <v>364</v>
      </c>
      <c r="D82" s="260"/>
      <c r="E82" s="232"/>
      <c r="F82" s="232"/>
      <c r="G82" s="431"/>
    </row>
    <row r="83" spans="1:7" s="121" customFormat="1" ht="38.25" x14ac:dyDescent="0.25">
      <c r="A83" s="231"/>
      <c r="B83" s="258" t="s">
        <v>301</v>
      </c>
      <c r="C83" s="259" t="s">
        <v>248</v>
      </c>
      <c r="D83" s="260">
        <v>7407400</v>
      </c>
      <c r="E83" s="261"/>
      <c r="F83" s="261"/>
      <c r="G83" s="431"/>
    </row>
    <row r="84" spans="1:7" s="121" customFormat="1" ht="58.7" hidden="1" customHeight="1" x14ac:dyDescent="0.25">
      <c r="A84" s="231"/>
      <c r="B84" s="123" t="s">
        <v>249</v>
      </c>
      <c r="C84" s="263" t="s">
        <v>250</v>
      </c>
      <c r="D84" s="260"/>
      <c r="E84" s="232"/>
      <c r="F84" s="232"/>
      <c r="G84" s="431"/>
    </row>
    <row r="85" spans="1:7" s="121" customFormat="1" ht="65.25" customHeight="1" x14ac:dyDescent="0.25">
      <c r="A85" s="231"/>
      <c r="B85" s="123" t="s">
        <v>443</v>
      </c>
      <c r="C85" s="263" t="s">
        <v>409</v>
      </c>
      <c r="D85" s="260">
        <v>-650887</v>
      </c>
      <c r="E85" s="232"/>
      <c r="F85" s="232"/>
      <c r="G85" s="431"/>
    </row>
    <row r="86" spans="1:7" s="121" customFormat="1" ht="54.95" hidden="1" customHeight="1" x14ac:dyDescent="0.25">
      <c r="A86" s="231"/>
      <c r="B86" s="258" t="s">
        <v>344</v>
      </c>
      <c r="C86" s="259" t="s">
        <v>343</v>
      </c>
      <c r="D86" s="260"/>
      <c r="E86" s="261"/>
      <c r="F86" s="261"/>
      <c r="G86" s="431"/>
    </row>
    <row r="87" spans="1:7" s="121" customFormat="1" ht="54.95" customHeight="1" x14ac:dyDescent="0.25">
      <c r="A87" s="231"/>
      <c r="B87" s="258" t="s">
        <v>571</v>
      </c>
      <c r="C87" s="259" t="s">
        <v>570</v>
      </c>
      <c r="D87" s="260">
        <v>1596448</v>
      </c>
      <c r="E87" s="261"/>
      <c r="F87" s="261"/>
      <c r="G87" s="431"/>
    </row>
    <row r="88" spans="1:7" s="121" customFormat="1" ht="39" customHeight="1" x14ac:dyDescent="0.25">
      <c r="A88" s="231"/>
      <c r="B88" s="258" t="s">
        <v>356</v>
      </c>
      <c r="C88" s="259" t="s">
        <v>355</v>
      </c>
      <c r="D88" s="260">
        <v>44608</v>
      </c>
      <c r="E88" s="261"/>
      <c r="F88" s="261"/>
      <c r="G88" s="431"/>
    </row>
    <row r="89" spans="1:7" s="121" customFormat="1" ht="51" x14ac:dyDescent="0.25">
      <c r="A89" s="231"/>
      <c r="B89" s="258" t="s">
        <v>346</v>
      </c>
      <c r="C89" s="259" t="s">
        <v>345</v>
      </c>
      <c r="D89" s="260">
        <v>-10300000</v>
      </c>
      <c r="E89" s="261"/>
      <c r="F89" s="261"/>
      <c r="G89" s="431"/>
    </row>
    <row r="90" spans="1:7" s="121" customFormat="1" ht="26.25" customHeight="1" x14ac:dyDescent="0.25">
      <c r="A90" s="231"/>
      <c r="B90" s="258" t="s">
        <v>226</v>
      </c>
      <c r="C90" s="259" t="s">
        <v>347</v>
      </c>
      <c r="D90" s="260">
        <v>-56930</v>
      </c>
      <c r="E90" s="232"/>
      <c r="F90" s="232"/>
      <c r="G90" s="431"/>
    </row>
    <row r="91" spans="1:7" s="121" customFormat="1" hidden="1" x14ac:dyDescent="0.25">
      <c r="A91" s="231"/>
      <c r="B91" s="258"/>
      <c r="C91" s="258"/>
      <c r="D91" s="260"/>
      <c r="E91" s="261"/>
      <c r="F91" s="261"/>
      <c r="G91" s="431"/>
    </row>
    <row r="92" spans="1:7" s="121" customFormat="1" hidden="1" x14ac:dyDescent="0.25">
      <c r="A92" s="231"/>
      <c r="B92" s="258"/>
      <c r="C92" s="258"/>
      <c r="D92" s="264"/>
      <c r="E92" s="261"/>
      <c r="F92" s="261"/>
      <c r="G92" s="431"/>
    </row>
    <row r="93" spans="1:7" s="121" customFormat="1" hidden="1" x14ac:dyDescent="0.25">
      <c r="A93" s="231"/>
      <c r="B93" s="258"/>
      <c r="C93" s="258"/>
      <c r="D93" s="264"/>
      <c r="E93" s="261"/>
      <c r="F93" s="261"/>
      <c r="G93" s="431"/>
    </row>
    <row r="94" spans="1:7" s="121" customFormat="1" hidden="1" x14ac:dyDescent="0.25">
      <c r="A94" s="231"/>
      <c r="B94" s="258"/>
      <c r="C94" s="258"/>
      <c r="D94" s="264"/>
      <c r="E94" s="261"/>
      <c r="F94" s="261"/>
      <c r="G94" s="431"/>
    </row>
    <row r="95" spans="1:7" s="121" customFormat="1" hidden="1" x14ac:dyDescent="0.25">
      <c r="A95" s="231"/>
      <c r="B95" s="258"/>
      <c r="C95" s="258"/>
      <c r="D95" s="264"/>
      <c r="E95" s="261"/>
      <c r="F95" s="261"/>
      <c r="G95" s="265"/>
    </row>
    <row r="96" spans="1:7" s="121" customFormat="1" x14ac:dyDescent="0.25">
      <c r="A96" s="266"/>
      <c r="B96" s="266" t="s">
        <v>84</v>
      </c>
      <c r="C96" s="266"/>
      <c r="D96" s="267">
        <f>D97+D124+D125</f>
        <v>-7184120</v>
      </c>
      <c r="E96" s="267">
        <f>E97+E125</f>
        <v>0</v>
      </c>
      <c r="F96" s="267">
        <f>F97+F125</f>
        <v>0</v>
      </c>
      <c r="G96" s="236"/>
    </row>
    <row r="97" spans="1:7" s="121" customFormat="1" ht="39.75" customHeight="1" x14ac:dyDescent="0.25">
      <c r="A97" s="268"/>
      <c r="B97" s="234" t="s">
        <v>190</v>
      </c>
      <c r="C97" s="234"/>
      <c r="D97" s="269">
        <f>D104+D105+D106+D107+D108+D109+D110+D111+D112+D113+D114+D115+D116+D117+D118+D119+D120+D121+D122+D123</f>
        <v>-5929100</v>
      </c>
      <c r="E97" s="269">
        <f>SUM(E98:E123)</f>
        <v>0</v>
      </c>
      <c r="F97" s="269">
        <f>SUM(F98:F123)</f>
        <v>0</v>
      </c>
      <c r="G97" s="236"/>
    </row>
    <row r="98" spans="1:7" ht="38.25" hidden="1" x14ac:dyDescent="0.25">
      <c r="A98" s="120"/>
      <c r="B98" s="157" t="s">
        <v>256</v>
      </c>
      <c r="C98" s="158" t="s">
        <v>252</v>
      </c>
      <c r="D98" s="156"/>
      <c r="E98" s="156"/>
      <c r="F98" s="156"/>
      <c r="G98" s="159"/>
    </row>
    <row r="99" spans="1:7" ht="63.75" hidden="1" x14ac:dyDescent="0.25">
      <c r="A99" s="120"/>
      <c r="B99" s="157" t="s">
        <v>255</v>
      </c>
      <c r="C99" s="158" t="s">
        <v>253</v>
      </c>
      <c r="D99" s="156"/>
      <c r="E99" s="156"/>
      <c r="F99" s="156"/>
      <c r="G99" s="159"/>
    </row>
    <row r="100" spans="1:7" ht="51" hidden="1" x14ac:dyDescent="0.25">
      <c r="A100" s="120"/>
      <c r="B100" s="157" t="s">
        <v>259</v>
      </c>
      <c r="C100" s="158" t="s">
        <v>257</v>
      </c>
      <c r="D100" s="156"/>
      <c r="E100" s="156"/>
      <c r="F100" s="156"/>
      <c r="G100" s="434" t="s">
        <v>465</v>
      </c>
    </row>
    <row r="101" spans="1:7" ht="63.75" hidden="1" x14ac:dyDescent="0.25">
      <c r="A101" s="120"/>
      <c r="B101" s="157" t="s">
        <v>237</v>
      </c>
      <c r="C101" s="158" t="s">
        <v>251</v>
      </c>
      <c r="D101" s="156"/>
      <c r="E101" s="160"/>
      <c r="F101" s="160"/>
      <c r="G101" s="435"/>
    </row>
    <row r="102" spans="1:7" ht="25.5" hidden="1" x14ac:dyDescent="0.25">
      <c r="A102" s="120"/>
      <c r="B102" s="157" t="s">
        <v>260</v>
      </c>
      <c r="C102" s="158" t="s">
        <v>258</v>
      </c>
      <c r="D102" s="156"/>
      <c r="E102" s="160"/>
      <c r="F102" s="160"/>
      <c r="G102" s="435"/>
    </row>
    <row r="103" spans="1:7" ht="51" hidden="1" x14ac:dyDescent="0.25">
      <c r="A103" s="120"/>
      <c r="B103" s="157" t="s">
        <v>235</v>
      </c>
      <c r="C103" s="158" t="s">
        <v>254</v>
      </c>
      <c r="D103" s="156"/>
      <c r="E103" s="160"/>
      <c r="F103" s="160"/>
      <c r="G103" s="435"/>
    </row>
    <row r="104" spans="1:7" ht="25.5" hidden="1" x14ac:dyDescent="0.25">
      <c r="A104" s="120"/>
      <c r="B104" s="157" t="s">
        <v>444</v>
      </c>
      <c r="C104" s="158" t="s">
        <v>410</v>
      </c>
      <c r="D104" s="156"/>
      <c r="E104" s="160"/>
      <c r="F104" s="160"/>
      <c r="G104" s="435"/>
    </row>
    <row r="105" spans="1:7" ht="51" hidden="1" x14ac:dyDescent="0.25">
      <c r="A105" s="120"/>
      <c r="B105" s="157" t="s">
        <v>445</v>
      </c>
      <c r="C105" s="158" t="s">
        <v>411</v>
      </c>
      <c r="D105" s="146"/>
      <c r="E105" s="160"/>
      <c r="F105" s="160"/>
      <c r="G105" s="435"/>
    </row>
    <row r="106" spans="1:7" s="121" customFormat="1" ht="51" x14ac:dyDescent="0.25">
      <c r="A106" s="268"/>
      <c r="B106" s="270" t="s">
        <v>446</v>
      </c>
      <c r="C106" s="271" t="s">
        <v>412</v>
      </c>
      <c r="D106" s="238">
        <v>-2555000</v>
      </c>
      <c r="E106" s="272"/>
      <c r="F106" s="272"/>
      <c r="G106" s="435"/>
    </row>
    <row r="107" spans="1:7" s="121" customFormat="1" ht="25.5" x14ac:dyDescent="0.25">
      <c r="A107" s="268"/>
      <c r="B107" s="270" t="s">
        <v>447</v>
      </c>
      <c r="C107" s="271" t="s">
        <v>413</v>
      </c>
      <c r="D107" s="238">
        <v>-5661303</v>
      </c>
      <c r="E107" s="238"/>
      <c r="F107" s="272"/>
      <c r="G107" s="435"/>
    </row>
    <row r="108" spans="1:7" s="121" customFormat="1" ht="38.25" hidden="1" x14ac:dyDescent="0.25">
      <c r="A108" s="268"/>
      <c r="B108" s="270" t="s">
        <v>448</v>
      </c>
      <c r="C108" s="271" t="s">
        <v>414</v>
      </c>
      <c r="D108" s="238"/>
      <c r="E108" s="272"/>
      <c r="F108" s="272"/>
      <c r="G108" s="435"/>
    </row>
    <row r="109" spans="1:7" s="121" customFormat="1" ht="25.5" hidden="1" x14ac:dyDescent="0.25">
      <c r="A109" s="231"/>
      <c r="B109" s="273" t="s">
        <v>449</v>
      </c>
      <c r="C109" s="274" t="s">
        <v>415</v>
      </c>
      <c r="D109" s="260"/>
      <c r="E109" s="261"/>
      <c r="F109" s="261"/>
      <c r="G109" s="435"/>
    </row>
    <row r="110" spans="1:7" s="121" customFormat="1" ht="27.95" hidden="1" customHeight="1" x14ac:dyDescent="0.25">
      <c r="A110" s="231"/>
      <c r="B110" s="273" t="s">
        <v>450</v>
      </c>
      <c r="C110" s="274" t="s">
        <v>416</v>
      </c>
      <c r="D110" s="260"/>
      <c r="E110" s="238"/>
      <c r="F110" s="261"/>
      <c r="G110" s="435"/>
    </row>
    <row r="111" spans="1:7" s="121" customFormat="1" ht="51" x14ac:dyDescent="0.25">
      <c r="A111" s="231"/>
      <c r="B111" s="273" t="s">
        <v>451</v>
      </c>
      <c r="C111" s="274" t="s">
        <v>417</v>
      </c>
      <c r="D111" s="260">
        <v>-45000</v>
      </c>
      <c r="E111" s="238"/>
      <c r="F111" s="261"/>
      <c r="G111" s="435"/>
    </row>
    <row r="112" spans="1:7" s="121" customFormat="1" ht="38.25" hidden="1" x14ac:dyDescent="0.25">
      <c r="A112" s="231"/>
      <c r="B112" s="273" t="s">
        <v>452</v>
      </c>
      <c r="C112" s="274" t="s">
        <v>418</v>
      </c>
      <c r="D112" s="260"/>
      <c r="E112" s="238"/>
      <c r="F112" s="261"/>
      <c r="G112" s="435"/>
    </row>
    <row r="113" spans="1:13" s="121" customFormat="1" ht="38.25" hidden="1" x14ac:dyDescent="0.25">
      <c r="A113" s="231"/>
      <c r="B113" s="258" t="s">
        <v>453</v>
      </c>
      <c r="C113" s="259" t="s">
        <v>419</v>
      </c>
      <c r="D113" s="260"/>
      <c r="E113" s="261"/>
      <c r="F113" s="261"/>
      <c r="G113" s="435"/>
    </row>
    <row r="114" spans="1:13" s="121" customFormat="1" ht="25.5" x14ac:dyDescent="0.25">
      <c r="A114" s="231"/>
      <c r="B114" s="258" t="s">
        <v>454</v>
      </c>
      <c r="C114" s="259" t="s">
        <v>420</v>
      </c>
      <c r="D114" s="260">
        <v>1045900</v>
      </c>
      <c r="E114" s="261"/>
      <c r="F114" s="261"/>
      <c r="G114" s="435"/>
    </row>
    <row r="115" spans="1:13" s="121" customFormat="1" ht="27" customHeight="1" x14ac:dyDescent="0.25">
      <c r="A115" s="231"/>
      <c r="B115" s="258" t="s">
        <v>455</v>
      </c>
      <c r="C115" s="259" t="s">
        <v>421</v>
      </c>
      <c r="D115" s="260">
        <v>1286303</v>
      </c>
      <c r="E115" s="261"/>
      <c r="F115" s="261"/>
      <c r="G115" s="435"/>
    </row>
    <row r="116" spans="1:13" s="121" customFormat="1" ht="25.5" hidden="1" x14ac:dyDescent="0.25">
      <c r="A116" s="231"/>
      <c r="B116" s="258" t="s">
        <v>456</v>
      </c>
      <c r="C116" s="259" t="s">
        <v>422</v>
      </c>
      <c r="D116" s="260"/>
      <c r="E116" s="261"/>
      <c r="F116" s="261"/>
      <c r="G116" s="435"/>
    </row>
    <row r="117" spans="1:13" s="121" customFormat="1" ht="51" hidden="1" x14ac:dyDescent="0.25">
      <c r="A117" s="231"/>
      <c r="B117" s="258" t="s">
        <v>457</v>
      </c>
      <c r="C117" s="259" t="s">
        <v>423</v>
      </c>
      <c r="D117" s="260"/>
      <c r="E117" s="261"/>
      <c r="F117" s="261"/>
      <c r="G117" s="435"/>
    </row>
    <row r="118" spans="1:13" s="121" customFormat="1" ht="25.5" hidden="1" x14ac:dyDescent="0.25">
      <c r="A118" s="231"/>
      <c r="B118" s="258" t="s">
        <v>458</v>
      </c>
      <c r="C118" s="259" t="s">
        <v>424</v>
      </c>
      <c r="D118" s="275"/>
      <c r="E118" s="261"/>
      <c r="F118" s="261"/>
      <c r="G118" s="435"/>
    </row>
    <row r="119" spans="1:13" s="121" customFormat="1" ht="38.25" hidden="1" x14ac:dyDescent="0.25">
      <c r="A119" s="231"/>
      <c r="B119" s="258" t="s">
        <v>459</v>
      </c>
      <c r="C119" s="259" t="s">
        <v>425</v>
      </c>
      <c r="D119" s="260"/>
      <c r="E119" s="261"/>
      <c r="F119" s="261"/>
      <c r="G119" s="435"/>
    </row>
    <row r="120" spans="1:13" s="121" customFormat="1" ht="31.7" hidden="1" customHeight="1" x14ac:dyDescent="0.25">
      <c r="A120" s="231"/>
      <c r="B120" s="258" t="s">
        <v>460</v>
      </c>
      <c r="C120" s="259" t="s">
        <v>426</v>
      </c>
      <c r="D120" s="260"/>
      <c r="E120" s="261"/>
      <c r="F120" s="261"/>
      <c r="G120" s="435"/>
    </row>
    <row r="121" spans="1:13" s="121" customFormat="1" ht="38.25" hidden="1" x14ac:dyDescent="0.25">
      <c r="A121" s="231"/>
      <c r="B121" s="258" t="s">
        <v>461</v>
      </c>
      <c r="C121" s="259" t="s">
        <v>427</v>
      </c>
      <c r="D121" s="260"/>
      <c r="E121" s="261"/>
      <c r="F121" s="261"/>
      <c r="G121" s="435"/>
    </row>
    <row r="122" spans="1:13" s="121" customFormat="1" ht="57" hidden="1" customHeight="1" x14ac:dyDescent="0.25">
      <c r="A122" s="231"/>
      <c r="B122" s="258" t="s">
        <v>462</v>
      </c>
      <c r="C122" s="259" t="s">
        <v>428</v>
      </c>
      <c r="D122" s="260"/>
      <c r="E122" s="261"/>
      <c r="F122" s="261"/>
      <c r="G122" s="435"/>
    </row>
    <row r="123" spans="1:13" s="121" customFormat="1" ht="38.25" hidden="1" x14ac:dyDescent="0.25">
      <c r="A123" s="231"/>
      <c r="B123" s="258" t="s">
        <v>463</v>
      </c>
      <c r="C123" s="259" t="s">
        <v>429</v>
      </c>
      <c r="D123" s="260"/>
      <c r="E123" s="261"/>
      <c r="F123" s="261">
        <v>0</v>
      </c>
      <c r="G123" s="435"/>
    </row>
    <row r="124" spans="1:13" s="121" customFormat="1" ht="39" hidden="1" customHeight="1" x14ac:dyDescent="0.25">
      <c r="A124" s="231"/>
      <c r="B124" s="276" t="s">
        <v>485</v>
      </c>
      <c r="C124" s="277" t="s">
        <v>486</v>
      </c>
      <c r="D124" s="278"/>
      <c r="E124" s="279"/>
      <c r="F124" s="279"/>
      <c r="G124" s="280" t="s">
        <v>466</v>
      </c>
    </row>
    <row r="125" spans="1:13" s="121" customFormat="1" ht="33" customHeight="1" x14ac:dyDescent="0.25">
      <c r="A125" s="231"/>
      <c r="B125" s="276" t="s">
        <v>430</v>
      </c>
      <c r="C125" s="277" t="s">
        <v>431</v>
      </c>
      <c r="D125" s="278">
        <f>D126+D129</f>
        <v>-1255020</v>
      </c>
      <c r="E125" s="261"/>
      <c r="F125" s="261"/>
      <c r="G125" s="281"/>
    </row>
    <row r="126" spans="1:13" s="121" customFormat="1" ht="63" customHeight="1" x14ac:dyDescent="0.25">
      <c r="A126" s="231"/>
      <c r="B126" s="258" t="s">
        <v>488</v>
      </c>
      <c r="C126" s="282" t="s">
        <v>487</v>
      </c>
      <c r="D126" s="260">
        <v>37000</v>
      </c>
      <c r="E126" s="261"/>
      <c r="F126" s="261"/>
      <c r="G126" s="422" t="s">
        <v>466</v>
      </c>
      <c r="M126" s="283"/>
    </row>
    <row r="127" spans="1:13" s="121" customFormat="1" ht="30.75" hidden="1" customHeight="1" x14ac:dyDescent="0.25">
      <c r="A127" s="231"/>
      <c r="B127" s="258" t="s">
        <v>464</v>
      </c>
      <c r="C127" s="282" t="s">
        <v>432</v>
      </c>
      <c r="D127" s="260"/>
      <c r="E127" s="261"/>
      <c r="F127" s="261"/>
      <c r="G127" s="423"/>
    </row>
    <row r="128" spans="1:13" s="121" customFormat="1" ht="59.25" hidden="1" customHeight="1" x14ac:dyDescent="0.25">
      <c r="A128" s="231"/>
      <c r="B128" s="258" t="s">
        <v>489</v>
      </c>
      <c r="C128" s="282" t="s">
        <v>490</v>
      </c>
      <c r="D128" s="260"/>
      <c r="E128" s="261"/>
      <c r="F128" s="261"/>
      <c r="G128" s="423"/>
    </row>
    <row r="129" spans="1:7" s="121" customFormat="1" ht="51" customHeight="1" x14ac:dyDescent="0.25">
      <c r="A129" s="231"/>
      <c r="B129" s="258" t="s">
        <v>491</v>
      </c>
      <c r="C129" s="282" t="s">
        <v>492</v>
      </c>
      <c r="D129" s="260">
        <v>-1292020</v>
      </c>
      <c r="E129" s="261"/>
      <c r="F129" s="261"/>
      <c r="G129" s="424"/>
    </row>
    <row r="130" spans="1:7" s="121" customFormat="1" x14ac:dyDescent="0.25">
      <c r="A130" s="284"/>
      <c r="B130" s="285" t="s">
        <v>17</v>
      </c>
      <c r="C130" s="285"/>
      <c r="D130" s="286">
        <f>D6+D25</f>
        <v>26146888</v>
      </c>
      <c r="E130" s="286">
        <f t="shared" ref="E130:F130" si="4">E6+E25</f>
        <v>0</v>
      </c>
      <c r="F130" s="286">
        <f t="shared" si="4"/>
        <v>0</v>
      </c>
      <c r="G130" s="285"/>
    </row>
    <row r="131" spans="1:7" x14ac:dyDescent="0.25">
      <c r="B131" s="122"/>
      <c r="C131" s="122"/>
      <c r="D131" s="122"/>
      <c r="E131" s="122"/>
      <c r="F131" s="122"/>
      <c r="G131" s="122"/>
    </row>
  </sheetData>
  <mergeCells count="15">
    <mergeCell ref="G126:G129"/>
    <mergeCell ref="A4:A5"/>
    <mergeCell ref="A1:G1"/>
    <mergeCell ref="A2:G2"/>
    <mergeCell ref="G4:G5"/>
    <mergeCell ref="A3:G3"/>
    <mergeCell ref="G65:G94"/>
    <mergeCell ref="B4:B5"/>
    <mergeCell ref="G100:G123"/>
    <mergeCell ref="G50:G63"/>
    <mergeCell ref="G32:G48"/>
    <mergeCell ref="G16:G18"/>
    <mergeCell ref="G22:G23"/>
    <mergeCell ref="G9:G14"/>
    <mergeCell ref="G28:G30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460" t="s">
        <v>85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1:31" x14ac:dyDescent="0.2">
      <c r="A2" s="462"/>
      <c r="B2" s="463"/>
      <c r="C2" s="473" t="s">
        <v>45</v>
      </c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62" t="s">
        <v>17</v>
      </c>
      <c r="T2" s="487" t="s">
        <v>43</v>
      </c>
      <c r="U2" s="488"/>
      <c r="V2" s="488"/>
      <c r="W2" s="488"/>
      <c r="X2" s="488"/>
      <c r="Y2" s="489"/>
      <c r="Z2" s="487" t="s">
        <v>44</v>
      </c>
      <c r="AA2" s="488"/>
      <c r="AB2" s="488"/>
      <c r="AC2" s="488"/>
      <c r="AD2" s="488"/>
      <c r="AE2" s="489"/>
    </row>
    <row r="3" spans="1:31" ht="13.5" thickBot="1" x14ac:dyDescent="0.25">
      <c r="A3" s="464"/>
      <c r="B3" s="465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451"/>
      <c r="T3" s="490" t="s">
        <v>40</v>
      </c>
      <c r="U3" s="491"/>
      <c r="V3" s="491"/>
      <c r="W3" s="491"/>
      <c r="X3" s="491"/>
      <c r="Y3" s="492"/>
      <c r="Z3" s="493" t="s">
        <v>40</v>
      </c>
      <c r="AA3" s="493"/>
      <c r="AB3" s="493"/>
      <c r="AC3" s="493"/>
      <c r="AD3" s="493"/>
      <c r="AE3" s="493"/>
    </row>
    <row r="4" spans="1:31" x14ac:dyDescent="0.2">
      <c r="A4" s="468" t="s">
        <v>0</v>
      </c>
      <c r="B4" s="466" t="s">
        <v>1</v>
      </c>
      <c r="C4" s="471" t="s">
        <v>18</v>
      </c>
      <c r="D4" s="471"/>
      <c r="E4" s="471"/>
      <c r="F4" s="461" t="s">
        <v>5</v>
      </c>
      <c r="G4" s="461"/>
      <c r="H4" s="461"/>
      <c r="I4" s="461"/>
      <c r="J4" s="461"/>
      <c r="K4" s="461" t="s">
        <v>16</v>
      </c>
      <c r="L4" s="461"/>
      <c r="M4" s="461"/>
      <c r="N4" s="461"/>
      <c r="O4" s="461"/>
      <c r="P4" s="461" t="s">
        <v>15</v>
      </c>
      <c r="Q4" s="461"/>
      <c r="R4" s="461"/>
      <c r="S4" s="472"/>
      <c r="T4" s="494" t="s">
        <v>46</v>
      </c>
      <c r="U4" s="495"/>
      <c r="V4" s="494" t="s">
        <v>41</v>
      </c>
      <c r="W4" s="495"/>
      <c r="X4" s="494" t="s">
        <v>42</v>
      </c>
      <c r="Y4" s="495"/>
      <c r="Z4" s="494" t="s">
        <v>46</v>
      </c>
      <c r="AA4" s="495"/>
      <c r="AB4" s="494" t="s">
        <v>41</v>
      </c>
      <c r="AC4" s="495"/>
      <c r="AD4" s="494" t="s">
        <v>42</v>
      </c>
      <c r="AE4" s="495"/>
    </row>
    <row r="5" spans="1:31" x14ac:dyDescent="0.2">
      <c r="A5" s="469"/>
      <c r="B5" s="466"/>
      <c r="C5" s="439" t="s">
        <v>27</v>
      </c>
      <c r="D5" s="439" t="s">
        <v>28</v>
      </c>
      <c r="E5" s="439" t="s">
        <v>29</v>
      </c>
      <c r="F5" s="439" t="s">
        <v>27</v>
      </c>
      <c r="G5" s="439" t="s">
        <v>28</v>
      </c>
      <c r="H5" s="439" t="s">
        <v>29</v>
      </c>
      <c r="I5" s="454" t="s">
        <v>4</v>
      </c>
      <c r="J5" s="454"/>
      <c r="K5" s="439" t="s">
        <v>27</v>
      </c>
      <c r="L5" s="439" t="s">
        <v>28</v>
      </c>
      <c r="M5" s="439" t="s">
        <v>29</v>
      </c>
      <c r="N5" s="454" t="s">
        <v>4</v>
      </c>
      <c r="O5" s="454"/>
      <c r="P5" s="439" t="s">
        <v>27</v>
      </c>
      <c r="Q5" s="439" t="s">
        <v>28</v>
      </c>
      <c r="R5" s="439" t="s">
        <v>29</v>
      </c>
      <c r="S5" s="472"/>
      <c r="T5" s="475" t="s">
        <v>2</v>
      </c>
      <c r="U5" s="477" t="s">
        <v>3</v>
      </c>
      <c r="V5" s="475" t="s">
        <v>2</v>
      </c>
      <c r="W5" s="477" t="s">
        <v>3</v>
      </c>
      <c r="X5" s="475" t="s">
        <v>2</v>
      </c>
      <c r="Y5" s="477" t="s">
        <v>3</v>
      </c>
      <c r="Z5" s="475" t="s">
        <v>2</v>
      </c>
      <c r="AA5" s="477" t="s">
        <v>3</v>
      </c>
      <c r="AB5" s="475" t="s">
        <v>2</v>
      </c>
      <c r="AC5" s="477" t="s">
        <v>3</v>
      </c>
      <c r="AD5" s="475" t="s">
        <v>2</v>
      </c>
      <c r="AE5" s="477" t="s">
        <v>3</v>
      </c>
    </row>
    <row r="6" spans="1:31" ht="52.5" customHeight="1" thickBot="1" x14ac:dyDescent="0.25">
      <c r="A6" s="470"/>
      <c r="B6" s="467"/>
      <c r="C6" s="446"/>
      <c r="D6" s="446"/>
      <c r="E6" s="446"/>
      <c r="F6" s="446"/>
      <c r="G6" s="446"/>
      <c r="H6" s="446"/>
      <c r="I6" s="28" t="s">
        <v>2</v>
      </c>
      <c r="J6" s="28" t="s">
        <v>3</v>
      </c>
      <c r="K6" s="446"/>
      <c r="L6" s="446"/>
      <c r="M6" s="446"/>
      <c r="N6" s="28" t="s">
        <v>2</v>
      </c>
      <c r="O6" s="28" t="s">
        <v>3</v>
      </c>
      <c r="P6" s="446"/>
      <c r="Q6" s="446"/>
      <c r="R6" s="446"/>
      <c r="S6" s="472"/>
      <c r="T6" s="476"/>
      <c r="U6" s="478"/>
      <c r="V6" s="476"/>
      <c r="W6" s="478"/>
      <c r="X6" s="476"/>
      <c r="Y6" s="478"/>
      <c r="Z6" s="476"/>
      <c r="AA6" s="478"/>
      <c r="AB6" s="476"/>
      <c r="AC6" s="478"/>
      <c r="AD6" s="476"/>
      <c r="AE6" s="478"/>
    </row>
    <row r="7" spans="1:31" ht="13.7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450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480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450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480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450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480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450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480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450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480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450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480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450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480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450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480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450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480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450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480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450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480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450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480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450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480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450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480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450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480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450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480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450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480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450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480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450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480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450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480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450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480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450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480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450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480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450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480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450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480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450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480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450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480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450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480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450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480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450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481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450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482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450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482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450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482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451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484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451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484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451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484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451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484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451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484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486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486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484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484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484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484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484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484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484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484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484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484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484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484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484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452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486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452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486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486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486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486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486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486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486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486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486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483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484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484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484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484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95" hidden="1" customHeight="1" x14ac:dyDescent="0.2">
      <c r="A82" s="479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483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452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484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452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484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452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484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452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484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452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484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452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484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452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484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452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484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452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484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452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484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452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484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452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484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452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484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452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484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452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485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452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483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452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484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452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484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7" customHeight="1" thickBot="1" x14ac:dyDescent="0.25">
      <c r="A102" s="452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485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455" t="s">
        <v>13</v>
      </c>
      <c r="B106" s="456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458"/>
      <c r="B107" s="459"/>
      <c r="C107" s="447"/>
      <c r="D107" s="448"/>
      <c r="E107" s="449"/>
      <c r="F107" s="449"/>
      <c r="G107" s="449"/>
      <c r="H107" s="449"/>
      <c r="I107" s="64"/>
      <c r="J107" s="64"/>
      <c r="K107" s="449"/>
      <c r="L107" s="449"/>
      <c r="M107" s="449"/>
      <c r="N107" s="64"/>
      <c r="O107" s="64"/>
      <c r="P107" s="449"/>
      <c r="Q107" s="449"/>
      <c r="R107" s="449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452" t="s">
        <v>14</v>
      </c>
      <c r="B108" s="453"/>
      <c r="C108" s="457">
        <f>D106+G106</f>
        <v>-53664200</v>
      </c>
      <c r="D108" s="445"/>
      <c r="E108" s="445"/>
      <c r="F108" s="445"/>
      <c r="G108" s="445"/>
      <c r="H108" s="445"/>
      <c r="I108" s="65"/>
      <c r="J108" s="65"/>
      <c r="K108" s="445">
        <f>L106</f>
        <v>-2256832</v>
      </c>
      <c r="L108" s="445"/>
      <c r="M108" s="445"/>
      <c r="N108" s="65"/>
      <c r="O108" s="65"/>
      <c r="P108" s="445">
        <f>Q106</f>
        <v>137248117</v>
      </c>
      <c r="Q108" s="445"/>
      <c r="R108" s="445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9"/>
  <sheetViews>
    <sheetView tabSelected="1" view="pageBreakPreview" topLeftCell="B62" zoomScaleSheetLayoutView="100" workbookViewId="0">
      <selection activeCell="J195" sqref="J195"/>
    </sheetView>
  </sheetViews>
  <sheetFormatPr defaultColWidth="9.140625" defaultRowHeight="12.75" x14ac:dyDescent="0.2"/>
  <cols>
    <col min="1" max="1" width="8.7109375" style="132" hidden="1" customWidth="1"/>
    <col min="2" max="2" width="4" style="131" customWidth="1"/>
    <col min="3" max="3" width="58" style="124" customWidth="1"/>
    <col min="4" max="4" width="8.85546875" style="166" customWidth="1"/>
    <col min="5" max="5" width="14.5703125" style="184" customWidth="1"/>
    <col min="6" max="6" width="13.7109375" style="184" customWidth="1"/>
    <col min="7" max="7" width="12.5703125" style="184" customWidth="1"/>
    <col min="8" max="8" width="13.5703125" style="184" customWidth="1"/>
    <col min="9" max="9" width="14.85546875" style="184" hidden="1" customWidth="1"/>
    <col min="10" max="10" width="14.85546875" style="184" customWidth="1"/>
    <col min="11" max="11" width="14" style="184" customWidth="1"/>
    <col min="12" max="12" width="13.85546875" style="184" customWidth="1"/>
    <col min="13" max="13" width="18.7109375" style="184" customWidth="1"/>
    <col min="14" max="14" width="13.7109375" style="184" customWidth="1"/>
    <col min="15" max="15" width="15.28515625" style="166" hidden="1" customWidth="1"/>
    <col min="16" max="16" width="14.85546875" style="166" hidden="1" customWidth="1"/>
    <col min="17" max="17" width="38.42578125" style="185" hidden="1" customWidth="1"/>
    <col min="18" max="18" width="12" style="124" bestFit="1" customWidth="1"/>
    <col min="19" max="16384" width="9.140625" style="124"/>
  </cols>
  <sheetData>
    <row r="1" spans="1:17" ht="38.85" customHeight="1" x14ac:dyDescent="0.25">
      <c r="A1" s="499" t="s">
        <v>542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</row>
    <row r="2" spans="1:17" x14ac:dyDescent="0.2">
      <c r="A2" s="125"/>
      <c r="B2" s="125"/>
      <c r="C2" s="126"/>
      <c r="D2" s="167"/>
      <c r="E2" s="500"/>
      <c r="F2" s="500"/>
      <c r="G2" s="500"/>
      <c r="H2" s="500"/>
      <c r="I2" s="500"/>
      <c r="J2" s="500"/>
      <c r="K2" s="500"/>
      <c r="L2" s="500"/>
      <c r="M2" s="297"/>
      <c r="N2" s="297"/>
      <c r="O2" s="167"/>
      <c r="P2" s="167"/>
    </row>
    <row r="3" spans="1:17" x14ac:dyDescent="0.2">
      <c r="A3" s="125"/>
      <c r="B3" s="125"/>
      <c r="C3" s="126"/>
      <c r="D3" s="16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167"/>
      <c r="P3" s="167"/>
    </row>
    <row r="4" spans="1:17" s="127" customFormat="1" ht="18.399999999999999" customHeight="1" x14ac:dyDescent="0.2">
      <c r="A4" s="501" t="s">
        <v>93</v>
      </c>
      <c r="B4" s="501" t="s">
        <v>278</v>
      </c>
      <c r="C4" s="461" t="s">
        <v>94</v>
      </c>
      <c r="D4" s="471" t="s">
        <v>146</v>
      </c>
      <c r="E4" s="461" t="s">
        <v>95</v>
      </c>
      <c r="F4" s="461"/>
      <c r="G4" s="461"/>
      <c r="H4" s="461" t="s">
        <v>181</v>
      </c>
      <c r="I4" s="461"/>
      <c r="J4" s="461"/>
      <c r="K4" s="461"/>
      <c r="L4" s="461" t="s">
        <v>96</v>
      </c>
      <c r="M4" s="461"/>
      <c r="N4" s="461"/>
      <c r="O4" s="293" t="s">
        <v>246</v>
      </c>
      <c r="P4" s="293" t="s">
        <v>378</v>
      </c>
      <c r="Q4" s="287"/>
    </row>
    <row r="5" spans="1:17" s="127" customFormat="1" ht="51" x14ac:dyDescent="0.2">
      <c r="A5" s="501"/>
      <c r="B5" s="501"/>
      <c r="C5" s="461"/>
      <c r="D5" s="471"/>
      <c r="E5" s="294" t="s">
        <v>97</v>
      </c>
      <c r="F5" s="294" t="s">
        <v>98</v>
      </c>
      <c r="G5" s="294" t="s">
        <v>99</v>
      </c>
      <c r="H5" s="294" t="s">
        <v>97</v>
      </c>
      <c r="I5" s="294" t="s">
        <v>534</v>
      </c>
      <c r="J5" s="294" t="s">
        <v>589</v>
      </c>
      <c r="K5" s="294" t="s">
        <v>99</v>
      </c>
      <c r="L5" s="294" t="s">
        <v>97</v>
      </c>
      <c r="M5" s="294" t="s">
        <v>98</v>
      </c>
      <c r="N5" s="294" t="s">
        <v>99</v>
      </c>
      <c r="O5" s="294" t="s">
        <v>77</v>
      </c>
      <c r="P5" s="294" t="s">
        <v>77</v>
      </c>
      <c r="Q5" s="287" t="s">
        <v>544</v>
      </c>
    </row>
    <row r="6" spans="1:17" s="127" customFormat="1" x14ac:dyDescent="0.2">
      <c r="A6" s="461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187"/>
      <c r="P6" s="187"/>
      <c r="Q6" s="14"/>
    </row>
    <row r="7" spans="1:17" s="312" customFormat="1" ht="25.5" x14ac:dyDescent="0.2">
      <c r="A7" s="308">
        <v>1</v>
      </c>
      <c r="B7" s="308" t="s">
        <v>261</v>
      </c>
      <c r="C7" s="309" t="s">
        <v>106</v>
      </c>
      <c r="D7" s="310" t="s">
        <v>262</v>
      </c>
      <c r="E7" s="311" t="s">
        <v>30</v>
      </c>
      <c r="F7" s="311">
        <f>F8+F13+F15+F18</f>
        <v>3646876</v>
      </c>
      <c r="G7" s="324" t="s">
        <v>30</v>
      </c>
      <c r="H7" s="311" t="s">
        <v>30</v>
      </c>
      <c r="I7" s="311">
        <f>I8+I13+I15+I18</f>
        <v>8429676</v>
      </c>
      <c r="J7" s="311">
        <f>J8+J13+J15+J18</f>
        <v>6777476</v>
      </c>
      <c r="K7" s="324" t="s">
        <v>30</v>
      </c>
      <c r="L7" s="311" t="s">
        <v>30</v>
      </c>
      <c r="M7" s="311">
        <f>M8+M13+M15+M18</f>
        <v>0</v>
      </c>
      <c r="N7" s="324" t="s">
        <v>30</v>
      </c>
      <c r="O7" s="311">
        <f>O8+O13+O15+O18</f>
        <v>0</v>
      </c>
      <c r="P7" s="311">
        <f>P8+P13+P15+P18</f>
        <v>0</v>
      </c>
      <c r="Q7" s="4"/>
    </row>
    <row r="8" spans="1:17" s="314" customFormat="1" ht="13.5" hidden="1" x14ac:dyDescent="0.25">
      <c r="A8" s="313" t="s">
        <v>141</v>
      </c>
      <c r="B8" s="313"/>
      <c r="C8" s="315" t="s">
        <v>107</v>
      </c>
      <c r="D8" s="316"/>
      <c r="E8" s="325" t="s">
        <v>178</v>
      </c>
      <c r="F8" s="295">
        <f>SUM(F9:F12)</f>
        <v>0</v>
      </c>
      <c r="G8" s="325" t="s">
        <v>30</v>
      </c>
      <c r="H8" s="325" t="s">
        <v>178</v>
      </c>
      <c r="I8" s="295">
        <f>SUM(I9:I12)</f>
        <v>0</v>
      </c>
      <c r="J8" s="295">
        <f>SUM(J9:J12)</f>
        <v>0</v>
      </c>
      <c r="K8" s="325" t="s">
        <v>30</v>
      </c>
      <c r="L8" s="325" t="s">
        <v>178</v>
      </c>
      <c r="M8" s="295">
        <f>SUM(M9:M12)</f>
        <v>0</v>
      </c>
      <c r="N8" s="325" t="s">
        <v>30</v>
      </c>
      <c r="O8" s="325">
        <f t="shared" ref="O8:P8" si="0">SUM(O9:O12)</f>
        <v>0</v>
      </c>
      <c r="P8" s="325">
        <f t="shared" si="0"/>
        <v>0</v>
      </c>
      <c r="Q8" s="317"/>
    </row>
    <row r="9" spans="1:17" s="312" customFormat="1" hidden="1" x14ac:dyDescent="0.2">
      <c r="A9" s="308"/>
      <c r="B9" s="308"/>
      <c r="C9" s="4" t="s">
        <v>299</v>
      </c>
      <c r="D9" s="319" t="s">
        <v>183</v>
      </c>
      <c r="E9" s="161"/>
      <c r="F9" s="161"/>
      <c r="G9" s="322"/>
      <c r="H9" s="161"/>
      <c r="I9" s="161"/>
      <c r="J9" s="161"/>
      <c r="K9" s="322"/>
      <c r="L9" s="320"/>
      <c r="M9" s="161"/>
      <c r="N9" s="321"/>
      <c r="O9" s="161"/>
      <c r="P9" s="161"/>
      <c r="Q9" s="4"/>
    </row>
    <row r="10" spans="1:17" s="312" customFormat="1" hidden="1" x14ac:dyDescent="0.2">
      <c r="A10" s="308"/>
      <c r="B10" s="308"/>
      <c r="C10" s="4" t="s">
        <v>206</v>
      </c>
      <c r="D10" s="319" t="s">
        <v>183</v>
      </c>
      <c r="E10" s="161">
        <v>0</v>
      </c>
      <c r="F10" s="161"/>
      <c r="G10" s="321">
        <v>1</v>
      </c>
      <c r="H10" s="161"/>
      <c r="I10" s="161"/>
      <c r="J10" s="161"/>
      <c r="K10" s="322"/>
      <c r="L10" s="320"/>
      <c r="M10" s="161"/>
      <c r="N10" s="321"/>
      <c r="O10" s="161"/>
      <c r="P10" s="161"/>
      <c r="Q10" s="4"/>
    </row>
    <row r="11" spans="1:17" s="312" customFormat="1" hidden="1" x14ac:dyDescent="0.2">
      <c r="A11" s="308"/>
      <c r="B11" s="308"/>
      <c r="C11" s="4" t="s">
        <v>205</v>
      </c>
      <c r="D11" s="319" t="s">
        <v>183</v>
      </c>
      <c r="E11" s="161"/>
      <c r="F11" s="161"/>
      <c r="G11" s="321"/>
      <c r="H11" s="161"/>
      <c r="I11" s="161"/>
      <c r="J11" s="161"/>
      <c r="K11" s="322"/>
      <c r="L11" s="320"/>
      <c r="M11" s="161"/>
      <c r="N11" s="321"/>
      <c r="O11" s="161"/>
      <c r="P11" s="161"/>
      <c r="Q11" s="4"/>
    </row>
    <row r="12" spans="1:17" s="312" customFormat="1" hidden="1" x14ac:dyDescent="0.2">
      <c r="A12" s="308"/>
      <c r="B12" s="308"/>
      <c r="C12" s="4" t="s">
        <v>225</v>
      </c>
      <c r="D12" s="319" t="s">
        <v>183</v>
      </c>
      <c r="E12" s="320"/>
      <c r="F12" s="161"/>
      <c r="G12" s="321"/>
      <c r="H12" s="320"/>
      <c r="I12" s="161"/>
      <c r="J12" s="161"/>
      <c r="K12" s="321"/>
      <c r="L12" s="320"/>
      <c r="M12" s="161"/>
      <c r="N12" s="321"/>
      <c r="O12" s="161"/>
      <c r="P12" s="161"/>
      <c r="Q12" s="4"/>
    </row>
    <row r="13" spans="1:17" s="314" customFormat="1" ht="54" hidden="1" x14ac:dyDescent="0.25">
      <c r="A13" s="313" t="s">
        <v>142</v>
      </c>
      <c r="B13" s="313"/>
      <c r="C13" s="315" t="s">
        <v>108</v>
      </c>
      <c r="D13" s="316"/>
      <c r="E13" s="325" t="s">
        <v>30</v>
      </c>
      <c r="F13" s="295">
        <f>SUM(F14:F14)</f>
        <v>0</v>
      </c>
      <c r="G13" s="325" t="s">
        <v>30</v>
      </c>
      <c r="H13" s="325" t="s">
        <v>30</v>
      </c>
      <c r="I13" s="295">
        <f>SUM(I14:I14)</f>
        <v>0</v>
      </c>
      <c r="J13" s="295">
        <f>SUM(J14:J14)</f>
        <v>0</v>
      </c>
      <c r="K13" s="325" t="s">
        <v>30</v>
      </c>
      <c r="L13" s="325" t="s">
        <v>30</v>
      </c>
      <c r="M13" s="295">
        <f>SUM(M14:M14)</f>
        <v>0</v>
      </c>
      <c r="N13" s="325" t="s">
        <v>30</v>
      </c>
      <c r="O13" s="325">
        <f>SUM(O14:O14)</f>
        <v>0</v>
      </c>
      <c r="P13" s="325">
        <f>SUM(P14:P14)</f>
        <v>0</v>
      </c>
      <c r="Q13" s="317"/>
    </row>
    <row r="14" spans="1:17" s="312" customFormat="1" hidden="1" x14ac:dyDescent="0.2">
      <c r="A14" s="308"/>
      <c r="B14" s="308"/>
      <c r="C14" s="162" t="s">
        <v>508</v>
      </c>
      <c r="D14" s="319" t="s">
        <v>183</v>
      </c>
      <c r="E14" s="320">
        <v>0</v>
      </c>
      <c r="F14" s="161"/>
      <c r="G14" s="321">
        <v>1</v>
      </c>
      <c r="H14" s="320"/>
      <c r="I14" s="161"/>
      <c r="J14" s="161"/>
      <c r="K14" s="321"/>
      <c r="L14" s="161"/>
      <c r="M14" s="161"/>
      <c r="N14" s="322"/>
      <c r="O14" s="161"/>
      <c r="P14" s="161"/>
      <c r="Q14" s="4"/>
    </row>
    <row r="15" spans="1:17" s="314" customFormat="1" ht="40.5" hidden="1" x14ac:dyDescent="0.25">
      <c r="A15" s="313" t="s">
        <v>143</v>
      </c>
      <c r="B15" s="313"/>
      <c r="C15" s="315" t="s">
        <v>109</v>
      </c>
      <c r="D15" s="316"/>
      <c r="E15" s="325" t="s">
        <v>30</v>
      </c>
      <c r="F15" s="325">
        <f>SUM(F16:F17)</f>
        <v>0</v>
      </c>
      <c r="G15" s="325" t="s">
        <v>30</v>
      </c>
      <c r="H15" s="325" t="s">
        <v>30</v>
      </c>
      <c r="I15" s="295">
        <f>SUM(I16:I17)</f>
        <v>0</v>
      </c>
      <c r="J15" s="295">
        <f>SUM(J16:J17)</f>
        <v>0</v>
      </c>
      <c r="K15" s="325" t="s">
        <v>30</v>
      </c>
      <c r="L15" s="325" t="s">
        <v>30</v>
      </c>
      <c r="M15" s="295">
        <f>SUM(M16:M17)</f>
        <v>0</v>
      </c>
      <c r="N15" s="325" t="s">
        <v>30</v>
      </c>
      <c r="O15" s="325">
        <f t="shared" ref="O15:P15" si="1">SUM(O16:O17)</f>
        <v>0</v>
      </c>
      <c r="P15" s="325">
        <f t="shared" si="1"/>
        <v>0</v>
      </c>
      <c r="Q15" s="317"/>
    </row>
    <row r="16" spans="1:17" s="312" customFormat="1" hidden="1" x14ac:dyDescent="0.2">
      <c r="A16" s="308"/>
      <c r="B16" s="308"/>
      <c r="C16" s="4" t="s">
        <v>186</v>
      </c>
      <c r="D16" s="319" t="s">
        <v>184</v>
      </c>
      <c r="E16" s="320"/>
      <c r="F16" s="161"/>
      <c r="G16" s="321"/>
      <c r="H16" s="320"/>
      <c r="I16" s="161"/>
      <c r="J16" s="161"/>
      <c r="K16" s="322">
        <v>1</v>
      </c>
      <c r="L16" s="321"/>
      <c r="M16" s="161"/>
      <c r="N16" s="321"/>
      <c r="O16" s="161"/>
      <c r="P16" s="161"/>
      <c r="Q16" s="4"/>
    </row>
    <row r="17" spans="1:17" s="312" customFormat="1" hidden="1" x14ac:dyDescent="0.2">
      <c r="A17" s="308"/>
      <c r="B17" s="308"/>
      <c r="C17" s="4"/>
      <c r="D17" s="319"/>
      <c r="E17" s="320"/>
      <c r="F17" s="161"/>
      <c r="G17" s="321"/>
      <c r="H17" s="320"/>
      <c r="I17" s="161"/>
      <c r="J17" s="161"/>
      <c r="K17" s="321"/>
      <c r="L17" s="321"/>
      <c r="M17" s="161"/>
      <c r="N17" s="321"/>
      <c r="O17" s="161"/>
      <c r="P17" s="161"/>
      <c r="Q17" s="4"/>
    </row>
    <row r="18" spans="1:17" s="314" customFormat="1" ht="27" x14ac:dyDescent="0.25">
      <c r="A18" s="313" t="s">
        <v>144</v>
      </c>
      <c r="B18" s="313"/>
      <c r="C18" s="315" t="s">
        <v>110</v>
      </c>
      <c r="D18" s="316"/>
      <c r="E18" s="325" t="s">
        <v>30</v>
      </c>
      <c r="F18" s="295">
        <f>SUM(F19:F22)</f>
        <v>3646876</v>
      </c>
      <c r="G18" s="325" t="s">
        <v>30</v>
      </c>
      <c r="H18" s="325" t="s">
        <v>30</v>
      </c>
      <c r="I18" s="295">
        <f>SUM(I19:I22)</f>
        <v>8429676</v>
      </c>
      <c r="J18" s="295">
        <f>SUM(J19:J22)</f>
        <v>6777476</v>
      </c>
      <c r="K18" s="325" t="s">
        <v>30</v>
      </c>
      <c r="L18" s="325" t="s">
        <v>30</v>
      </c>
      <c r="M18" s="295">
        <f>SUM(M19:M22)</f>
        <v>0</v>
      </c>
      <c r="N18" s="325" t="s">
        <v>30</v>
      </c>
      <c r="O18" s="295">
        <f>SUM(O19:O22)</f>
        <v>0</v>
      </c>
      <c r="P18" s="295">
        <f>SUM(P19:P22)</f>
        <v>0</v>
      </c>
      <c r="Q18" s="317"/>
    </row>
    <row r="19" spans="1:17" s="312" customFormat="1" ht="114.75" x14ac:dyDescent="0.2">
      <c r="A19" s="308"/>
      <c r="B19" s="308"/>
      <c r="C19" s="318" t="s">
        <v>470</v>
      </c>
      <c r="D19" s="319" t="s">
        <v>183</v>
      </c>
      <c r="E19" s="320">
        <v>0</v>
      </c>
      <c r="F19" s="161">
        <v>3499750</v>
      </c>
      <c r="G19" s="321">
        <v>1</v>
      </c>
      <c r="H19" s="161">
        <v>157027872</v>
      </c>
      <c r="I19" s="161">
        <f>3450000+1067000+520000+1214300+50000</f>
        <v>6301300</v>
      </c>
      <c r="J19" s="161">
        <f>5460759+135988+50000+45228</f>
        <v>5691975</v>
      </c>
      <c r="K19" s="322">
        <f t="shared" ref="K19:K22" si="2">I19/H19</f>
        <v>4.0128544822921629E-2</v>
      </c>
      <c r="L19" s="161">
        <v>0</v>
      </c>
      <c r="M19" s="161">
        <v>0</v>
      </c>
      <c r="N19" s="322">
        <v>0</v>
      </c>
      <c r="O19" s="161">
        <v>0</v>
      </c>
      <c r="P19" s="161">
        <v>0</v>
      </c>
      <c r="Q19" s="4" t="s">
        <v>598</v>
      </c>
    </row>
    <row r="20" spans="1:17" s="312" customFormat="1" ht="38.25" x14ac:dyDescent="0.2">
      <c r="A20" s="308"/>
      <c r="B20" s="308"/>
      <c r="C20" s="318" t="s">
        <v>595</v>
      </c>
      <c r="D20" s="319" t="s">
        <v>183</v>
      </c>
      <c r="E20" s="320">
        <v>0</v>
      </c>
      <c r="F20" s="161">
        <v>0</v>
      </c>
      <c r="G20" s="321">
        <v>0</v>
      </c>
      <c r="H20" s="161">
        <v>35746851</v>
      </c>
      <c r="I20" s="161">
        <f>135988-125000+1509423</f>
        <v>1520411</v>
      </c>
      <c r="J20" s="161">
        <f>1210493-124992</f>
        <v>1085501</v>
      </c>
      <c r="K20" s="322">
        <f t="shared" si="2"/>
        <v>4.2532725470000143E-2</v>
      </c>
      <c r="L20" s="323">
        <v>0</v>
      </c>
      <c r="M20" s="161">
        <v>0</v>
      </c>
      <c r="N20" s="322">
        <v>0</v>
      </c>
      <c r="O20" s="161">
        <v>0</v>
      </c>
      <c r="P20" s="161">
        <v>0</v>
      </c>
      <c r="Q20" s="4" t="s">
        <v>593</v>
      </c>
    </row>
    <row r="21" spans="1:17" s="312" customFormat="1" x14ac:dyDescent="0.2">
      <c r="A21" s="308"/>
      <c r="B21" s="308"/>
      <c r="C21" s="318" t="s">
        <v>591</v>
      </c>
      <c r="D21" s="319" t="s">
        <v>183</v>
      </c>
      <c r="E21" s="320">
        <v>0</v>
      </c>
      <c r="F21" s="161">
        <f>52080+78120+16926</f>
        <v>147126</v>
      </c>
      <c r="G21" s="321">
        <v>1</v>
      </c>
      <c r="H21" s="161">
        <v>0</v>
      </c>
      <c r="I21" s="161"/>
      <c r="J21" s="161">
        <v>0</v>
      </c>
      <c r="K21" s="322">
        <v>0</v>
      </c>
      <c r="L21" s="323">
        <v>0</v>
      </c>
      <c r="M21" s="161">
        <v>0</v>
      </c>
      <c r="N21" s="322">
        <v>0</v>
      </c>
      <c r="O21" s="161"/>
      <c r="P21" s="161"/>
      <c r="Q21" s="4" t="s">
        <v>592</v>
      </c>
    </row>
    <row r="22" spans="1:17" s="127" customFormat="1" ht="51" hidden="1" x14ac:dyDescent="0.2">
      <c r="A22" s="223"/>
      <c r="B22" s="224"/>
      <c r="C22" s="193" t="s">
        <v>521</v>
      </c>
      <c r="D22" s="172" t="s">
        <v>183</v>
      </c>
      <c r="E22" s="170">
        <v>0</v>
      </c>
      <c r="F22" s="133">
        <v>0</v>
      </c>
      <c r="G22" s="171">
        <v>0</v>
      </c>
      <c r="H22" s="133">
        <v>0</v>
      </c>
      <c r="I22" s="133">
        <f>551965+56000</f>
        <v>607965</v>
      </c>
      <c r="J22" s="133">
        <v>0</v>
      </c>
      <c r="K22" s="182" t="e">
        <f t="shared" si="2"/>
        <v>#DIV/0!</v>
      </c>
      <c r="L22" s="298">
        <v>0</v>
      </c>
      <c r="M22" s="133">
        <v>0</v>
      </c>
      <c r="N22" s="182">
        <v>0</v>
      </c>
      <c r="O22" s="139">
        <v>0</v>
      </c>
      <c r="P22" s="139">
        <v>0</v>
      </c>
      <c r="Q22" s="14" t="s">
        <v>522</v>
      </c>
    </row>
    <row r="23" spans="1:17" s="127" customFormat="1" ht="25.5" x14ac:dyDescent="0.2">
      <c r="A23" s="165" t="s">
        <v>145</v>
      </c>
      <c r="B23" s="165" t="s">
        <v>145</v>
      </c>
      <c r="C23" s="189" t="s">
        <v>105</v>
      </c>
      <c r="D23" s="190" t="s">
        <v>304</v>
      </c>
      <c r="E23" s="191" t="s">
        <v>30</v>
      </c>
      <c r="F23" s="195">
        <f>F24+F44+F47+F54</f>
        <v>5513386</v>
      </c>
      <c r="G23" s="192" t="s">
        <v>30</v>
      </c>
      <c r="H23" s="191" t="s">
        <v>30</v>
      </c>
      <c r="I23" s="195">
        <f>I24+I44+I47+I54</f>
        <v>5661488</v>
      </c>
      <c r="J23" s="195">
        <f>J24+J44+J47+J54</f>
        <v>6948805</v>
      </c>
      <c r="K23" s="192" t="s">
        <v>30</v>
      </c>
      <c r="L23" s="191" t="s">
        <v>30</v>
      </c>
      <c r="M23" s="195">
        <f>M24+M44+M47+M54</f>
        <v>0</v>
      </c>
      <c r="N23" s="192" t="s">
        <v>30</v>
      </c>
      <c r="O23" s="195">
        <f>O24+O44+O47+O54</f>
        <v>0</v>
      </c>
      <c r="P23" s="195">
        <f>P24+P44+P47+P54</f>
        <v>0</v>
      </c>
      <c r="Q23" s="412"/>
    </row>
    <row r="24" spans="1:17" s="129" customFormat="1" ht="27" x14ac:dyDescent="0.25">
      <c r="A24" s="164" t="s">
        <v>147</v>
      </c>
      <c r="B24" s="164"/>
      <c r="C24" s="197" t="s">
        <v>111</v>
      </c>
      <c r="D24" s="175"/>
      <c r="E24" s="176" t="s">
        <v>30</v>
      </c>
      <c r="F24" s="138">
        <f>SUM(F25:F43)</f>
        <v>5513386</v>
      </c>
      <c r="G24" s="177" t="s">
        <v>30</v>
      </c>
      <c r="H24" s="176" t="s">
        <v>30</v>
      </c>
      <c r="I24" s="138">
        <f>SUM(I25:I43)</f>
        <v>5661488</v>
      </c>
      <c r="J24" s="138">
        <f>SUM(J25:J43)</f>
        <v>5585961</v>
      </c>
      <c r="K24" s="177" t="s">
        <v>30</v>
      </c>
      <c r="L24" s="177" t="s">
        <v>30</v>
      </c>
      <c r="M24" s="138">
        <f>SUM(M25:M43)</f>
        <v>0</v>
      </c>
      <c r="N24" s="177" t="s">
        <v>30</v>
      </c>
      <c r="O24" s="138">
        <f>SUM(O25:O43)</f>
        <v>0</v>
      </c>
      <c r="P24" s="138">
        <f>SUM(P25:P43)</f>
        <v>0</v>
      </c>
      <c r="Q24" s="289"/>
    </row>
    <row r="25" spans="1:17" s="127" customFormat="1" x14ac:dyDescent="0.2">
      <c r="A25" s="409"/>
      <c r="B25" s="409"/>
      <c r="C25" s="193" t="s">
        <v>207</v>
      </c>
      <c r="D25" s="172" t="s">
        <v>184</v>
      </c>
      <c r="E25" s="139">
        <v>408283400</v>
      </c>
      <c r="F25" s="139">
        <f>-289+18052218</f>
        <v>18051929</v>
      </c>
      <c r="G25" s="183">
        <f>F25/E25</f>
        <v>4.4214212480840516E-2</v>
      </c>
      <c r="H25" s="139">
        <v>184536695</v>
      </c>
      <c r="I25" s="139">
        <v>25250</v>
      </c>
      <c r="J25" s="161">
        <f>2178600+1340000-893346+25250</f>
        <v>2650504</v>
      </c>
      <c r="K25" s="174">
        <f>J25/H25</f>
        <v>1.4363018693924262E-2</v>
      </c>
      <c r="L25" s="194">
        <v>0</v>
      </c>
      <c r="M25" s="139">
        <v>0</v>
      </c>
      <c r="N25" s="183">
        <v>0</v>
      </c>
      <c r="O25" s="139"/>
      <c r="P25" s="139"/>
      <c r="Q25" s="14" t="s">
        <v>599</v>
      </c>
    </row>
    <row r="26" spans="1:17" s="127" customFormat="1" x14ac:dyDescent="0.2">
      <c r="A26" s="409"/>
      <c r="B26" s="409"/>
      <c r="C26" s="193" t="s">
        <v>227</v>
      </c>
      <c r="D26" s="172" t="s">
        <v>184</v>
      </c>
      <c r="E26" s="139">
        <v>236317534</v>
      </c>
      <c r="F26" s="139">
        <v>-4554412</v>
      </c>
      <c r="G26" s="183">
        <f t="shared" ref="G26:G43" si="3">F26/E26</f>
        <v>-1.9272425210733621E-2</v>
      </c>
      <c r="H26" s="139">
        <v>95032380.370000005</v>
      </c>
      <c r="I26" s="139">
        <v>70000</v>
      </c>
      <c r="J26" s="161">
        <f>639100+1230000+70000</f>
        <v>1939100</v>
      </c>
      <c r="K26" s="174">
        <f t="shared" ref="K26:K37" si="4">J26/H26</f>
        <v>2.0404624112858049E-2</v>
      </c>
      <c r="L26" s="194">
        <v>0</v>
      </c>
      <c r="M26" s="139">
        <v>0</v>
      </c>
      <c r="N26" s="183">
        <v>0</v>
      </c>
      <c r="O26" s="139"/>
      <c r="P26" s="139"/>
      <c r="Q26" s="14" t="s">
        <v>600</v>
      </c>
    </row>
    <row r="27" spans="1:17" s="127" customFormat="1" x14ac:dyDescent="0.2">
      <c r="A27" s="409"/>
      <c r="B27" s="409"/>
      <c r="C27" s="193" t="s">
        <v>214</v>
      </c>
      <c r="D27" s="172" t="s">
        <v>184</v>
      </c>
      <c r="E27" s="139">
        <v>0</v>
      </c>
      <c r="F27" s="139">
        <v>0</v>
      </c>
      <c r="G27" s="183">
        <v>0</v>
      </c>
      <c r="H27" s="139">
        <v>87199969</v>
      </c>
      <c r="I27" s="139">
        <v>0</v>
      </c>
      <c r="J27" s="161">
        <f>-200000-338060+30000+1500000+160000</f>
        <v>1151940</v>
      </c>
      <c r="K27" s="174">
        <f t="shared" si="4"/>
        <v>1.321032579724885E-2</v>
      </c>
      <c r="L27" s="194">
        <v>0</v>
      </c>
      <c r="M27" s="139">
        <v>0</v>
      </c>
      <c r="N27" s="183">
        <v>0</v>
      </c>
      <c r="O27" s="139"/>
      <c r="P27" s="139"/>
      <c r="Q27" s="14"/>
    </row>
    <row r="28" spans="1:17" s="127" customFormat="1" hidden="1" x14ac:dyDescent="0.2">
      <c r="A28" s="409"/>
      <c r="B28" s="409"/>
      <c r="C28" s="14" t="s">
        <v>179</v>
      </c>
      <c r="D28" s="172" t="s">
        <v>184</v>
      </c>
      <c r="E28" s="139"/>
      <c r="F28" s="139"/>
      <c r="G28" s="183" t="e">
        <f t="shared" si="3"/>
        <v>#DIV/0!</v>
      </c>
      <c r="H28" s="139">
        <v>0</v>
      </c>
      <c r="I28" s="139"/>
      <c r="J28" s="161"/>
      <c r="K28" s="174" t="e">
        <f t="shared" si="4"/>
        <v>#DIV/0!</v>
      </c>
      <c r="L28" s="194">
        <v>0</v>
      </c>
      <c r="M28" s="139">
        <v>0</v>
      </c>
      <c r="N28" s="183">
        <v>0</v>
      </c>
      <c r="O28" s="139"/>
      <c r="P28" s="139"/>
      <c r="Q28" s="14"/>
    </row>
    <row r="29" spans="1:17" s="127" customFormat="1" x14ac:dyDescent="0.2">
      <c r="A29" s="409"/>
      <c r="B29" s="409"/>
      <c r="C29" s="14" t="s">
        <v>520</v>
      </c>
      <c r="D29" s="172" t="s">
        <v>184</v>
      </c>
      <c r="E29" s="139">
        <v>0</v>
      </c>
      <c r="F29" s="139">
        <v>0</v>
      </c>
      <c r="G29" s="183">
        <v>0</v>
      </c>
      <c r="H29" s="174">
        <v>0</v>
      </c>
      <c r="I29" s="139">
        <v>3248831</v>
      </c>
      <c r="J29" s="161">
        <v>0</v>
      </c>
      <c r="K29" s="174">
        <v>0</v>
      </c>
      <c r="L29" s="194">
        <v>0</v>
      </c>
      <c r="M29" s="139">
        <v>0</v>
      </c>
      <c r="N29" s="183">
        <v>0</v>
      </c>
      <c r="O29" s="139"/>
      <c r="P29" s="139"/>
      <c r="Q29" s="14"/>
    </row>
    <row r="30" spans="1:17" s="127" customFormat="1" ht="27.6" customHeight="1" x14ac:dyDescent="0.2">
      <c r="A30" s="409"/>
      <c r="B30" s="409"/>
      <c r="C30" s="14" t="s">
        <v>586</v>
      </c>
      <c r="D30" s="172" t="s">
        <v>184</v>
      </c>
      <c r="E30" s="139">
        <v>7805960</v>
      </c>
      <c r="F30" s="139">
        <v>-1292020</v>
      </c>
      <c r="G30" s="183">
        <f t="shared" si="3"/>
        <v>-0.16551711768956029</v>
      </c>
      <c r="H30" s="139">
        <v>0</v>
      </c>
      <c r="I30" s="139">
        <v>0</v>
      </c>
      <c r="J30" s="161">
        <v>0</v>
      </c>
      <c r="K30" s="174">
        <v>0</v>
      </c>
      <c r="L30" s="194">
        <v>0</v>
      </c>
      <c r="M30" s="139">
        <v>0</v>
      </c>
      <c r="N30" s="183">
        <v>0</v>
      </c>
      <c r="O30" s="139"/>
      <c r="P30" s="139"/>
      <c r="Q30" s="14"/>
    </row>
    <row r="31" spans="1:17" s="127" customFormat="1" ht="38.25" hidden="1" x14ac:dyDescent="0.2">
      <c r="A31" s="409"/>
      <c r="B31" s="409"/>
      <c r="C31" s="14" t="s">
        <v>469</v>
      </c>
      <c r="D31" s="172" t="s">
        <v>184</v>
      </c>
      <c r="E31" s="139"/>
      <c r="F31" s="139"/>
      <c r="G31" s="183" t="e">
        <f t="shared" si="3"/>
        <v>#DIV/0!</v>
      </c>
      <c r="H31" s="139">
        <v>0</v>
      </c>
      <c r="I31" s="139">
        <v>0</v>
      </c>
      <c r="J31" s="139">
        <v>0</v>
      </c>
      <c r="K31" s="174" t="e">
        <f t="shared" si="4"/>
        <v>#DIV/0!</v>
      </c>
      <c r="L31" s="194">
        <v>0</v>
      </c>
      <c r="M31" s="139">
        <v>0</v>
      </c>
      <c r="N31" s="183">
        <v>0</v>
      </c>
      <c r="O31" s="139"/>
      <c r="P31" s="139"/>
      <c r="Q31" s="14"/>
    </row>
    <row r="32" spans="1:17" s="127" customFormat="1" ht="25.5" hidden="1" x14ac:dyDescent="0.2">
      <c r="A32" s="409"/>
      <c r="B32" s="409"/>
      <c r="C32" s="14" t="s">
        <v>311</v>
      </c>
      <c r="D32" s="172" t="s">
        <v>184</v>
      </c>
      <c r="E32" s="139"/>
      <c r="F32" s="139"/>
      <c r="G32" s="183" t="e">
        <f t="shared" si="3"/>
        <v>#DIV/0!</v>
      </c>
      <c r="H32" s="139">
        <v>0</v>
      </c>
      <c r="I32" s="139">
        <v>0</v>
      </c>
      <c r="J32" s="139">
        <v>0</v>
      </c>
      <c r="K32" s="174" t="e">
        <f t="shared" si="4"/>
        <v>#DIV/0!</v>
      </c>
      <c r="L32" s="194">
        <v>0</v>
      </c>
      <c r="M32" s="139">
        <v>0</v>
      </c>
      <c r="N32" s="183">
        <v>0</v>
      </c>
      <c r="O32" s="139"/>
      <c r="P32" s="139"/>
      <c r="Q32" s="14"/>
    </row>
    <row r="33" spans="1:17" s="127" customFormat="1" hidden="1" x14ac:dyDescent="0.2">
      <c r="A33" s="409"/>
      <c r="B33" s="409"/>
      <c r="C33" s="14" t="s">
        <v>293</v>
      </c>
      <c r="D33" s="172" t="s">
        <v>184</v>
      </c>
      <c r="E33" s="139"/>
      <c r="F33" s="139"/>
      <c r="G33" s="183" t="e">
        <f t="shared" si="3"/>
        <v>#DIV/0!</v>
      </c>
      <c r="H33" s="139">
        <v>0</v>
      </c>
      <c r="I33" s="139">
        <v>0</v>
      </c>
      <c r="J33" s="139">
        <v>0</v>
      </c>
      <c r="K33" s="174" t="e">
        <f t="shared" si="4"/>
        <v>#DIV/0!</v>
      </c>
      <c r="L33" s="194">
        <v>0</v>
      </c>
      <c r="M33" s="139">
        <v>0</v>
      </c>
      <c r="N33" s="183">
        <v>0</v>
      </c>
      <c r="O33" s="139"/>
      <c r="P33" s="139"/>
      <c r="Q33" s="14"/>
    </row>
    <row r="34" spans="1:17" s="127" customFormat="1" x14ac:dyDescent="0.2">
      <c r="A34" s="409"/>
      <c r="B34" s="409"/>
      <c r="C34" s="14" t="s">
        <v>583</v>
      </c>
      <c r="D34" s="172" t="s">
        <v>184</v>
      </c>
      <c r="E34" s="139">
        <v>29653021</v>
      </c>
      <c r="F34" s="139">
        <v>-650887</v>
      </c>
      <c r="G34" s="183">
        <f t="shared" si="3"/>
        <v>-2.1950107545534735E-2</v>
      </c>
      <c r="H34" s="139">
        <v>0</v>
      </c>
      <c r="I34" s="139">
        <v>0</v>
      </c>
      <c r="J34" s="139">
        <v>0</v>
      </c>
      <c r="K34" s="174">
        <v>0</v>
      </c>
      <c r="L34" s="194">
        <v>0</v>
      </c>
      <c r="M34" s="139">
        <v>0</v>
      </c>
      <c r="N34" s="183">
        <v>0</v>
      </c>
      <c r="O34" s="139"/>
      <c r="P34" s="139"/>
      <c r="Q34" s="14"/>
    </row>
    <row r="35" spans="1:17" s="127" customFormat="1" x14ac:dyDescent="0.2">
      <c r="A35" s="409"/>
      <c r="B35" s="409"/>
      <c r="C35" s="14" t="s">
        <v>584</v>
      </c>
      <c r="D35" s="172" t="s">
        <v>184</v>
      </c>
      <c r="E35" s="139">
        <v>24933</v>
      </c>
      <c r="F35" s="139">
        <v>-24933</v>
      </c>
      <c r="G35" s="183">
        <f t="shared" si="3"/>
        <v>-1</v>
      </c>
      <c r="H35" s="139">
        <v>0</v>
      </c>
      <c r="I35" s="139">
        <v>0</v>
      </c>
      <c r="J35" s="139">
        <v>0</v>
      </c>
      <c r="K35" s="174">
        <v>0</v>
      </c>
      <c r="L35" s="194">
        <v>0</v>
      </c>
      <c r="M35" s="139">
        <v>0</v>
      </c>
      <c r="N35" s="183">
        <v>0</v>
      </c>
      <c r="O35" s="139"/>
      <c r="P35" s="139"/>
      <c r="Q35" s="14"/>
    </row>
    <row r="36" spans="1:17" s="127" customFormat="1" hidden="1" x14ac:dyDescent="0.2">
      <c r="A36" s="409"/>
      <c r="B36" s="409"/>
      <c r="C36" s="14" t="s">
        <v>372</v>
      </c>
      <c r="D36" s="172" t="s">
        <v>184</v>
      </c>
      <c r="E36" s="139"/>
      <c r="F36" s="139"/>
      <c r="G36" s="183" t="e">
        <f t="shared" si="3"/>
        <v>#DIV/0!</v>
      </c>
      <c r="H36" s="139"/>
      <c r="I36" s="139"/>
      <c r="J36" s="139"/>
      <c r="K36" s="174" t="e">
        <f t="shared" si="4"/>
        <v>#DIV/0!</v>
      </c>
      <c r="L36" s="194">
        <v>0</v>
      </c>
      <c r="M36" s="139">
        <v>0</v>
      </c>
      <c r="N36" s="183">
        <v>0</v>
      </c>
      <c r="O36" s="139"/>
      <c r="P36" s="139"/>
      <c r="Q36" s="14"/>
    </row>
    <row r="37" spans="1:17" s="127" customFormat="1" x14ac:dyDescent="0.2">
      <c r="A37" s="409"/>
      <c r="B37" s="409"/>
      <c r="C37" s="14" t="s">
        <v>197</v>
      </c>
      <c r="D37" s="172" t="s">
        <v>184</v>
      </c>
      <c r="E37" s="139">
        <v>0</v>
      </c>
      <c r="F37" s="139">
        <v>0</v>
      </c>
      <c r="G37" s="183">
        <v>0</v>
      </c>
      <c r="H37" s="139">
        <v>5339610</v>
      </c>
      <c r="I37" s="139">
        <f>-155583+2472990</f>
        <v>2317407</v>
      </c>
      <c r="J37" s="139">
        <v>-155583</v>
      </c>
      <c r="K37" s="174">
        <f t="shared" si="4"/>
        <v>-2.9137521279644019E-2</v>
      </c>
      <c r="L37" s="194">
        <v>0</v>
      </c>
      <c r="M37" s="139">
        <v>0</v>
      </c>
      <c r="N37" s="183">
        <v>0</v>
      </c>
      <c r="O37" s="139"/>
      <c r="P37" s="139"/>
      <c r="Q37" s="14" t="s">
        <v>597</v>
      </c>
    </row>
    <row r="38" spans="1:17" s="127" customFormat="1" x14ac:dyDescent="0.2">
      <c r="A38" s="409"/>
      <c r="B38" s="409"/>
      <c r="C38" s="14" t="s">
        <v>572</v>
      </c>
      <c r="D38" s="172" t="s">
        <v>184</v>
      </c>
      <c r="E38" s="139">
        <v>9205899</v>
      </c>
      <c r="F38" s="161">
        <v>-2093412</v>
      </c>
      <c r="G38" s="183">
        <f t="shared" si="3"/>
        <v>-0.22739897537437681</v>
      </c>
      <c r="H38" s="139">
        <v>0</v>
      </c>
      <c r="I38" s="139">
        <v>0</v>
      </c>
      <c r="J38" s="139">
        <v>0</v>
      </c>
      <c r="K38" s="174">
        <v>0</v>
      </c>
      <c r="L38" s="194">
        <v>0</v>
      </c>
      <c r="M38" s="139">
        <v>0</v>
      </c>
      <c r="N38" s="183">
        <v>0</v>
      </c>
      <c r="O38" s="139"/>
      <c r="P38" s="139"/>
      <c r="Q38" s="14"/>
    </row>
    <row r="39" spans="1:17" s="127" customFormat="1" x14ac:dyDescent="0.2">
      <c r="A39" s="409"/>
      <c r="B39" s="409"/>
      <c r="C39" s="14" t="s">
        <v>573</v>
      </c>
      <c r="D39" s="172" t="s">
        <v>184</v>
      </c>
      <c r="E39" s="139">
        <v>24969339</v>
      </c>
      <c r="F39" s="161">
        <v>-2646305</v>
      </c>
      <c r="G39" s="183">
        <f t="shared" si="3"/>
        <v>-0.10598218078580295</v>
      </c>
      <c r="H39" s="139">
        <v>0</v>
      </c>
      <c r="I39" s="139">
        <v>0</v>
      </c>
      <c r="J39" s="139">
        <v>0</v>
      </c>
      <c r="K39" s="174">
        <v>0</v>
      </c>
      <c r="L39" s="194">
        <v>0</v>
      </c>
      <c r="M39" s="139">
        <v>0</v>
      </c>
      <c r="N39" s="183">
        <v>0</v>
      </c>
      <c r="O39" s="139"/>
      <c r="P39" s="139"/>
      <c r="Q39" s="14"/>
    </row>
    <row r="40" spans="1:17" s="127" customFormat="1" x14ac:dyDescent="0.2">
      <c r="A40" s="409"/>
      <c r="B40" s="409"/>
      <c r="C40" s="14" t="s">
        <v>576</v>
      </c>
      <c r="D40" s="172" t="s">
        <v>184</v>
      </c>
      <c r="E40" s="139">
        <v>27292878</v>
      </c>
      <c r="F40" s="161">
        <v>-1419886</v>
      </c>
      <c r="G40" s="183">
        <f t="shared" si="3"/>
        <v>-5.2024048178429552E-2</v>
      </c>
      <c r="H40" s="139">
        <v>0</v>
      </c>
      <c r="I40" s="139">
        <v>0</v>
      </c>
      <c r="J40" s="139">
        <v>0</v>
      </c>
      <c r="K40" s="174">
        <v>0</v>
      </c>
      <c r="L40" s="194">
        <v>0</v>
      </c>
      <c r="M40" s="139">
        <v>0</v>
      </c>
      <c r="N40" s="183">
        <v>0</v>
      </c>
      <c r="O40" s="139"/>
      <c r="P40" s="139"/>
      <c r="Q40" s="14"/>
    </row>
    <row r="41" spans="1:17" s="127" customFormat="1" x14ac:dyDescent="0.2">
      <c r="A41" s="409"/>
      <c r="B41" s="409"/>
      <c r="C41" s="14" t="s">
        <v>577</v>
      </c>
      <c r="D41" s="172" t="s">
        <v>184</v>
      </c>
      <c r="E41" s="139">
        <v>3542684</v>
      </c>
      <c r="F41" s="161">
        <v>84601</v>
      </c>
      <c r="G41" s="183">
        <f t="shared" si="3"/>
        <v>2.388048157837391E-2</v>
      </c>
      <c r="H41" s="139">
        <v>0</v>
      </c>
      <c r="I41" s="139">
        <v>0</v>
      </c>
      <c r="J41" s="139">
        <v>0</v>
      </c>
      <c r="K41" s="174">
        <v>0</v>
      </c>
      <c r="L41" s="194">
        <v>0</v>
      </c>
      <c r="M41" s="139">
        <v>0</v>
      </c>
      <c r="N41" s="183">
        <v>0</v>
      </c>
      <c r="O41" s="139"/>
      <c r="P41" s="139"/>
      <c r="Q41" s="14"/>
    </row>
    <row r="42" spans="1:17" s="127" customFormat="1" ht="25.5" x14ac:dyDescent="0.2">
      <c r="A42" s="409"/>
      <c r="B42" s="409"/>
      <c r="C42" s="14" t="s">
        <v>591</v>
      </c>
      <c r="D42" s="172" t="s">
        <v>596</v>
      </c>
      <c r="E42" s="139">
        <v>0</v>
      </c>
      <c r="F42" s="161">
        <f>132804+186186</f>
        <v>318990</v>
      </c>
      <c r="G42" s="183">
        <v>1</v>
      </c>
      <c r="H42" s="139">
        <v>0</v>
      </c>
      <c r="I42" s="139"/>
      <c r="J42" s="139">
        <v>0</v>
      </c>
      <c r="K42" s="174">
        <v>0</v>
      </c>
      <c r="L42" s="194">
        <v>0</v>
      </c>
      <c r="M42" s="139">
        <v>0</v>
      </c>
      <c r="N42" s="183">
        <v>0</v>
      </c>
      <c r="O42" s="139"/>
      <c r="P42" s="139"/>
      <c r="Q42" s="14"/>
    </row>
    <row r="43" spans="1:17" s="127" customFormat="1" x14ac:dyDescent="0.2">
      <c r="A43" s="409"/>
      <c r="B43" s="409"/>
      <c r="C43" s="14" t="s">
        <v>225</v>
      </c>
      <c r="D43" s="172" t="s">
        <v>184</v>
      </c>
      <c r="E43" s="139">
        <v>6215751</v>
      </c>
      <c r="F43" s="161">
        <v>-260279</v>
      </c>
      <c r="G43" s="183">
        <f t="shared" si="3"/>
        <v>-4.1874103386702589E-2</v>
      </c>
      <c r="H43" s="139">
        <v>0</v>
      </c>
      <c r="I43" s="139">
        <v>0</v>
      </c>
      <c r="J43" s="139">
        <v>0</v>
      </c>
      <c r="K43" s="174">
        <v>0</v>
      </c>
      <c r="L43" s="194">
        <v>0</v>
      </c>
      <c r="M43" s="139">
        <v>0</v>
      </c>
      <c r="N43" s="183">
        <v>0</v>
      </c>
      <c r="O43" s="139"/>
      <c r="P43" s="139"/>
      <c r="Q43" s="14"/>
    </row>
    <row r="44" spans="1:17" s="128" customFormat="1" ht="38.25" hidden="1" x14ac:dyDescent="0.2">
      <c r="A44" s="198" t="s">
        <v>148</v>
      </c>
      <c r="B44" s="199"/>
      <c r="C44" s="200" t="s">
        <v>112</v>
      </c>
      <c r="D44" s="201"/>
      <c r="E44" s="202" t="s">
        <v>30</v>
      </c>
      <c r="F44" s="168">
        <f>SUM(F45:F46)</f>
        <v>0</v>
      </c>
      <c r="G44" s="203" t="s">
        <v>30</v>
      </c>
      <c r="H44" s="202" t="s">
        <v>30</v>
      </c>
      <c r="I44" s="168">
        <f>SUM(I45:I46)</f>
        <v>0</v>
      </c>
      <c r="J44" s="168">
        <f>SUM(J45:J46)</f>
        <v>0</v>
      </c>
      <c r="K44" s="174" t="e">
        <f t="shared" ref="K44:K46" si="5">I44/H44</f>
        <v>#VALUE!</v>
      </c>
      <c r="L44" s="203" t="s">
        <v>30</v>
      </c>
      <c r="M44" s="168">
        <f>SUM(M45:M46)</f>
        <v>0</v>
      </c>
      <c r="N44" s="203" t="s">
        <v>30</v>
      </c>
      <c r="O44" s="168">
        <f t="shared" ref="O44:P44" si="6">SUM(O45:O46)</f>
        <v>0</v>
      </c>
      <c r="P44" s="168">
        <f t="shared" si="6"/>
        <v>0</v>
      </c>
      <c r="Q44" s="291"/>
    </row>
    <row r="45" spans="1:17" s="128" customFormat="1" hidden="1" x14ac:dyDescent="0.2">
      <c r="A45" s="223"/>
      <c r="B45" s="224"/>
      <c r="C45" s="140"/>
      <c r="D45" s="169"/>
      <c r="E45" s="170"/>
      <c r="F45" s="133"/>
      <c r="G45" s="171"/>
      <c r="H45" s="170"/>
      <c r="I45" s="133"/>
      <c r="J45" s="133"/>
      <c r="K45" s="174" t="e">
        <f t="shared" si="5"/>
        <v>#DIV/0!</v>
      </c>
      <c r="L45" s="171"/>
      <c r="M45" s="133"/>
      <c r="N45" s="171"/>
      <c r="O45" s="133"/>
      <c r="P45" s="133"/>
      <c r="Q45" s="140"/>
    </row>
    <row r="46" spans="1:17" s="128" customFormat="1" hidden="1" x14ac:dyDescent="0.2">
      <c r="A46" s="223"/>
      <c r="B46" s="224"/>
      <c r="C46" s="140"/>
      <c r="D46" s="169"/>
      <c r="E46" s="170"/>
      <c r="F46" s="133"/>
      <c r="G46" s="171"/>
      <c r="H46" s="170"/>
      <c r="I46" s="133"/>
      <c r="J46" s="133"/>
      <c r="K46" s="174" t="e">
        <f t="shared" si="5"/>
        <v>#DIV/0!</v>
      </c>
      <c r="L46" s="171"/>
      <c r="M46" s="133"/>
      <c r="N46" s="171"/>
      <c r="O46" s="133"/>
      <c r="P46" s="133"/>
      <c r="Q46" s="140"/>
    </row>
    <row r="47" spans="1:17" s="129" customFormat="1" ht="27" x14ac:dyDescent="0.25">
      <c r="A47" s="164" t="s">
        <v>149</v>
      </c>
      <c r="B47" s="164"/>
      <c r="C47" s="197" t="s">
        <v>113</v>
      </c>
      <c r="D47" s="175"/>
      <c r="E47" s="176" t="s">
        <v>30</v>
      </c>
      <c r="F47" s="138">
        <f>SUM(F48:F53)</f>
        <v>0</v>
      </c>
      <c r="G47" s="177" t="s">
        <v>30</v>
      </c>
      <c r="H47" s="176" t="s">
        <v>30</v>
      </c>
      <c r="I47" s="138">
        <f>SUM(I48:I53)</f>
        <v>0</v>
      </c>
      <c r="J47" s="138">
        <f>SUM(J48:J53)</f>
        <v>1362844</v>
      </c>
      <c r="K47" s="177" t="s">
        <v>30</v>
      </c>
      <c r="L47" s="177" t="s">
        <v>312</v>
      </c>
      <c r="M47" s="138">
        <f>SUM(M48:M53)</f>
        <v>0</v>
      </c>
      <c r="N47" s="177" t="s">
        <v>30</v>
      </c>
      <c r="O47" s="138">
        <f t="shared" ref="O47:P47" si="7">SUM(O48:O53)</f>
        <v>0</v>
      </c>
      <c r="P47" s="138">
        <f t="shared" si="7"/>
        <v>0</v>
      </c>
      <c r="Q47" s="289"/>
    </row>
    <row r="48" spans="1:17" s="127" customFormat="1" hidden="1" x14ac:dyDescent="0.2">
      <c r="A48" s="409"/>
      <c r="B48" s="409"/>
      <c r="C48" s="14" t="s">
        <v>506</v>
      </c>
      <c r="D48" s="172" t="s">
        <v>187</v>
      </c>
      <c r="E48" s="173">
        <v>0</v>
      </c>
      <c r="F48" s="139"/>
      <c r="G48" s="174">
        <v>1</v>
      </c>
      <c r="H48" s="139"/>
      <c r="I48" s="139"/>
      <c r="J48" s="139"/>
      <c r="K48" s="174">
        <v>1</v>
      </c>
      <c r="L48" s="173"/>
      <c r="M48" s="139"/>
      <c r="N48" s="174"/>
      <c r="O48" s="139"/>
      <c r="P48" s="139"/>
      <c r="Q48" s="14"/>
    </row>
    <row r="49" spans="1:17" s="127" customFormat="1" x14ac:dyDescent="0.2">
      <c r="A49" s="409"/>
      <c r="B49" s="409"/>
      <c r="C49" s="14" t="s">
        <v>370</v>
      </c>
      <c r="D49" s="172" t="s">
        <v>184</v>
      </c>
      <c r="E49" s="173">
        <v>0</v>
      </c>
      <c r="F49" s="139">
        <v>0</v>
      </c>
      <c r="G49" s="174">
        <v>0</v>
      </c>
      <c r="H49" s="139">
        <v>47639536</v>
      </c>
      <c r="I49" s="139"/>
      <c r="J49" s="139">
        <f>1946000-583156</f>
        <v>1362844</v>
      </c>
      <c r="K49" s="174">
        <f>J49/H49</f>
        <v>2.8607415487841865E-2</v>
      </c>
      <c r="L49" s="194">
        <v>0</v>
      </c>
      <c r="M49" s="139">
        <v>0</v>
      </c>
      <c r="N49" s="183">
        <v>0</v>
      </c>
      <c r="O49" s="139"/>
      <c r="P49" s="139"/>
      <c r="Q49" s="14"/>
    </row>
    <row r="50" spans="1:17" s="127" customFormat="1" hidden="1" x14ac:dyDescent="0.2">
      <c r="A50" s="223"/>
      <c r="B50" s="224"/>
      <c r="C50" s="140" t="s">
        <v>205</v>
      </c>
      <c r="D50" s="169" t="s">
        <v>184</v>
      </c>
      <c r="E50" s="170">
        <v>0</v>
      </c>
      <c r="F50" s="133"/>
      <c r="G50" s="171">
        <v>1</v>
      </c>
      <c r="H50" s="133"/>
      <c r="I50" s="133"/>
      <c r="J50" s="133"/>
      <c r="K50" s="171"/>
      <c r="L50" s="170"/>
      <c r="M50" s="133"/>
      <c r="N50" s="171"/>
      <c r="O50" s="133"/>
      <c r="P50" s="133"/>
      <c r="Q50" s="140"/>
    </row>
    <row r="51" spans="1:17" s="127" customFormat="1" hidden="1" x14ac:dyDescent="0.2">
      <c r="A51" s="223"/>
      <c r="B51" s="224"/>
      <c r="C51" s="208" t="s">
        <v>241</v>
      </c>
      <c r="D51" s="169" t="s">
        <v>184</v>
      </c>
      <c r="E51" s="170"/>
      <c r="F51" s="133"/>
      <c r="G51" s="171"/>
      <c r="H51" s="133"/>
      <c r="I51" s="133"/>
      <c r="J51" s="133"/>
      <c r="K51" s="171">
        <v>1</v>
      </c>
      <c r="L51" s="133">
        <v>0</v>
      </c>
      <c r="M51" s="133"/>
      <c r="N51" s="171">
        <v>1</v>
      </c>
      <c r="O51" s="133"/>
      <c r="P51" s="133"/>
      <c r="Q51" s="140"/>
    </row>
    <row r="52" spans="1:17" s="127" customFormat="1" hidden="1" x14ac:dyDescent="0.2">
      <c r="A52" s="223"/>
      <c r="B52" s="224"/>
      <c r="C52" s="140" t="s">
        <v>239</v>
      </c>
      <c r="D52" s="169" t="s">
        <v>184</v>
      </c>
      <c r="E52" s="170">
        <v>0</v>
      </c>
      <c r="F52" s="133"/>
      <c r="G52" s="171">
        <v>1</v>
      </c>
      <c r="H52" s="133"/>
      <c r="I52" s="133"/>
      <c r="J52" s="133"/>
      <c r="K52" s="171">
        <v>1</v>
      </c>
      <c r="L52" s="170"/>
      <c r="M52" s="133"/>
      <c r="N52" s="171"/>
      <c r="O52" s="133"/>
      <c r="P52" s="133"/>
      <c r="Q52" s="140"/>
    </row>
    <row r="53" spans="1:17" s="127" customFormat="1" hidden="1" x14ac:dyDescent="0.2">
      <c r="A53" s="223"/>
      <c r="B53" s="224"/>
      <c r="C53" s="140" t="s">
        <v>240</v>
      </c>
      <c r="D53" s="169" t="s">
        <v>184</v>
      </c>
      <c r="E53" s="170"/>
      <c r="F53" s="133"/>
      <c r="G53" s="171"/>
      <c r="H53" s="133"/>
      <c r="I53" s="133"/>
      <c r="J53" s="133"/>
      <c r="K53" s="171">
        <v>1</v>
      </c>
      <c r="L53" s="170"/>
      <c r="M53" s="133"/>
      <c r="N53" s="171"/>
      <c r="O53" s="133"/>
      <c r="P53" s="133"/>
      <c r="Q53" s="140"/>
    </row>
    <row r="54" spans="1:17" s="127" customFormat="1" ht="27" hidden="1" x14ac:dyDescent="0.25">
      <c r="A54" s="223"/>
      <c r="B54" s="164"/>
      <c r="C54" s="204" t="s">
        <v>113</v>
      </c>
      <c r="D54" s="205"/>
      <c r="E54" s="206" t="s">
        <v>30</v>
      </c>
      <c r="F54" s="134">
        <f>SUM(F55:F58)</f>
        <v>0</v>
      </c>
      <c r="G54" s="207" t="s">
        <v>30</v>
      </c>
      <c r="H54" s="206" t="s">
        <v>30</v>
      </c>
      <c r="I54" s="134">
        <f>SUM(I55:I58)</f>
        <v>0</v>
      </c>
      <c r="J54" s="134">
        <f>SUM(J55:J58)</f>
        <v>0</v>
      </c>
      <c r="K54" s="207" t="s">
        <v>30</v>
      </c>
      <c r="L54" s="207" t="s">
        <v>312</v>
      </c>
      <c r="M54" s="134">
        <f>SUM(M55:M58)</f>
        <v>0</v>
      </c>
      <c r="N54" s="207" t="s">
        <v>30</v>
      </c>
      <c r="O54" s="134">
        <f>SUM(O55:O58)</f>
        <v>0</v>
      </c>
      <c r="P54" s="134">
        <f>SUM(P55:P58)</f>
        <v>0</v>
      </c>
      <c r="Q54" s="292"/>
    </row>
    <row r="55" spans="1:17" s="127" customFormat="1" hidden="1" x14ac:dyDescent="0.2">
      <c r="A55" s="223"/>
      <c r="B55" s="224"/>
      <c r="C55" s="208" t="s">
        <v>241</v>
      </c>
      <c r="D55" s="169" t="s">
        <v>184</v>
      </c>
      <c r="E55" s="170"/>
      <c r="F55" s="133"/>
      <c r="G55" s="171"/>
      <c r="H55" s="133">
        <v>0</v>
      </c>
      <c r="I55" s="133"/>
      <c r="J55" s="133"/>
      <c r="K55" s="171">
        <v>1</v>
      </c>
      <c r="L55" s="133">
        <v>0</v>
      </c>
      <c r="M55" s="133">
        <v>0</v>
      </c>
      <c r="N55" s="171">
        <v>1</v>
      </c>
      <c r="O55" s="133"/>
      <c r="P55" s="133"/>
      <c r="Q55" s="140"/>
    </row>
    <row r="56" spans="1:17" s="127" customFormat="1" hidden="1" x14ac:dyDescent="0.2">
      <c r="A56" s="223"/>
      <c r="B56" s="224"/>
      <c r="C56" s="140"/>
      <c r="D56" s="169"/>
      <c r="E56" s="170"/>
      <c r="F56" s="133"/>
      <c r="G56" s="171"/>
      <c r="H56" s="133"/>
      <c r="I56" s="133"/>
      <c r="J56" s="133"/>
      <c r="K56" s="171"/>
      <c r="L56" s="170"/>
      <c r="M56" s="133"/>
      <c r="N56" s="171"/>
      <c r="O56" s="133"/>
      <c r="P56" s="133"/>
      <c r="Q56" s="140"/>
    </row>
    <row r="57" spans="1:17" s="127" customFormat="1" hidden="1" x14ac:dyDescent="0.2">
      <c r="A57" s="223"/>
      <c r="B57" s="224"/>
      <c r="C57" s="140"/>
      <c r="D57" s="169"/>
      <c r="E57" s="170"/>
      <c r="F57" s="133"/>
      <c r="G57" s="171"/>
      <c r="H57" s="133"/>
      <c r="I57" s="133"/>
      <c r="J57" s="133"/>
      <c r="K57" s="171"/>
      <c r="L57" s="170"/>
      <c r="M57" s="133"/>
      <c r="N57" s="171"/>
      <c r="O57" s="133"/>
      <c r="P57" s="133"/>
      <c r="Q57" s="140"/>
    </row>
    <row r="58" spans="1:17" s="127" customFormat="1" hidden="1" x14ac:dyDescent="0.2">
      <c r="A58" s="223"/>
      <c r="B58" s="224"/>
      <c r="C58" s="140"/>
      <c r="D58" s="169"/>
      <c r="E58" s="170"/>
      <c r="F58" s="133"/>
      <c r="G58" s="171"/>
      <c r="H58" s="133"/>
      <c r="I58" s="133"/>
      <c r="J58" s="133"/>
      <c r="K58" s="171"/>
      <c r="L58" s="170"/>
      <c r="M58" s="133"/>
      <c r="N58" s="171"/>
      <c r="O58" s="133"/>
      <c r="P58" s="133"/>
      <c r="Q58" s="140"/>
    </row>
    <row r="59" spans="1:17" s="127" customFormat="1" ht="25.5" x14ac:dyDescent="0.2">
      <c r="A59" s="165" t="s">
        <v>150</v>
      </c>
      <c r="B59" s="165" t="s">
        <v>150</v>
      </c>
      <c r="C59" s="189" t="s">
        <v>114</v>
      </c>
      <c r="D59" s="190" t="s">
        <v>305</v>
      </c>
      <c r="E59" s="191" t="s">
        <v>30</v>
      </c>
      <c r="F59" s="195">
        <f>F60+F86</f>
        <v>960212</v>
      </c>
      <c r="G59" s="192" t="s">
        <v>30</v>
      </c>
      <c r="H59" s="191" t="s">
        <v>30</v>
      </c>
      <c r="I59" s="195">
        <f>I60+I86</f>
        <v>0</v>
      </c>
      <c r="J59" s="195">
        <f>J60+J86</f>
        <v>-15080</v>
      </c>
      <c r="K59" s="192" t="s">
        <v>30</v>
      </c>
      <c r="L59" s="191" t="s">
        <v>30</v>
      </c>
      <c r="M59" s="195">
        <f>M60+M86</f>
        <v>0</v>
      </c>
      <c r="N59" s="191" t="s">
        <v>30</v>
      </c>
      <c r="O59" s="195">
        <f>O60+O86</f>
        <v>0</v>
      </c>
      <c r="P59" s="195">
        <f>P60+P86</f>
        <v>0</v>
      </c>
      <c r="Q59" s="14"/>
    </row>
    <row r="60" spans="1:17" s="129" customFormat="1" ht="27" x14ac:dyDescent="0.25">
      <c r="A60" s="164" t="s">
        <v>151</v>
      </c>
      <c r="B60" s="164"/>
      <c r="C60" s="197" t="s">
        <v>115</v>
      </c>
      <c r="D60" s="175"/>
      <c r="E60" s="176" t="s">
        <v>30</v>
      </c>
      <c r="F60" s="138">
        <f>SUM(F61:F85)</f>
        <v>960212</v>
      </c>
      <c r="G60" s="177" t="s">
        <v>30</v>
      </c>
      <c r="H60" s="176" t="s">
        <v>30</v>
      </c>
      <c r="I60" s="138">
        <f>SUM(I61:I85)</f>
        <v>0</v>
      </c>
      <c r="J60" s="138">
        <f>SUM(J61:J85)</f>
        <v>0</v>
      </c>
      <c r="K60" s="177" t="s">
        <v>30</v>
      </c>
      <c r="L60" s="177" t="s">
        <v>30</v>
      </c>
      <c r="M60" s="138">
        <f>SUM(M61:M85)</f>
        <v>0</v>
      </c>
      <c r="N60" s="177" t="s">
        <v>30</v>
      </c>
      <c r="O60" s="138">
        <f t="shared" ref="O60:P60" si="8">SUM(O61:O85)</f>
        <v>0</v>
      </c>
      <c r="P60" s="138">
        <f t="shared" si="8"/>
        <v>0</v>
      </c>
      <c r="Q60" s="289"/>
    </row>
    <row r="61" spans="1:17" s="127" customFormat="1" hidden="1" x14ac:dyDescent="0.2">
      <c r="A61" s="296"/>
      <c r="B61" s="296"/>
      <c r="C61" s="14" t="s">
        <v>283</v>
      </c>
      <c r="D61" s="172" t="s">
        <v>189</v>
      </c>
      <c r="E61" s="173"/>
      <c r="F61" s="139"/>
      <c r="G61" s="183"/>
      <c r="H61" s="139"/>
      <c r="I61" s="139"/>
      <c r="J61" s="139"/>
      <c r="K61" s="183"/>
      <c r="L61" s="302">
        <v>0</v>
      </c>
      <c r="M61" s="139"/>
      <c r="N61" s="183">
        <v>1</v>
      </c>
      <c r="O61" s="139"/>
      <c r="P61" s="139"/>
      <c r="Q61" s="14"/>
    </row>
    <row r="62" spans="1:17" s="127" customFormat="1" x14ac:dyDescent="0.2">
      <c r="A62" s="296"/>
      <c r="B62" s="296"/>
      <c r="C62" s="14" t="s">
        <v>574</v>
      </c>
      <c r="D62" s="172" t="s">
        <v>189</v>
      </c>
      <c r="E62" s="139">
        <v>78435</v>
      </c>
      <c r="F62" s="139">
        <v>-65000</v>
      </c>
      <c r="G62" s="183">
        <f>F62/E62</f>
        <v>-0.82871167208516605</v>
      </c>
      <c r="H62" s="139">
        <v>0</v>
      </c>
      <c r="I62" s="139">
        <v>0</v>
      </c>
      <c r="J62" s="139">
        <v>0</v>
      </c>
      <c r="K62" s="174">
        <v>0</v>
      </c>
      <c r="L62" s="194">
        <v>0</v>
      </c>
      <c r="M62" s="139">
        <v>0</v>
      </c>
      <c r="N62" s="183">
        <v>0</v>
      </c>
      <c r="O62" s="139"/>
      <c r="P62" s="139"/>
      <c r="Q62" s="14" t="s">
        <v>575</v>
      </c>
    </row>
    <row r="63" spans="1:17" s="127" customFormat="1" ht="25.5" x14ac:dyDescent="0.2">
      <c r="A63" s="296"/>
      <c r="B63" s="296"/>
      <c r="C63" s="14" t="s">
        <v>236</v>
      </c>
      <c r="D63" s="172" t="s">
        <v>189</v>
      </c>
      <c r="E63" s="139">
        <v>1761596</v>
      </c>
      <c r="F63" s="139">
        <v>44608</v>
      </c>
      <c r="G63" s="183">
        <f>F63/E63</f>
        <v>2.5322491649617734E-2</v>
      </c>
      <c r="H63" s="139">
        <v>0</v>
      </c>
      <c r="I63" s="139">
        <v>0</v>
      </c>
      <c r="J63" s="139">
        <v>0</v>
      </c>
      <c r="K63" s="174">
        <v>0</v>
      </c>
      <c r="L63" s="194">
        <v>0</v>
      </c>
      <c r="M63" s="139">
        <v>0</v>
      </c>
      <c r="N63" s="183">
        <v>0</v>
      </c>
      <c r="O63" s="139"/>
      <c r="P63" s="139"/>
      <c r="Q63" s="14"/>
    </row>
    <row r="64" spans="1:17" s="127" customFormat="1" hidden="1" x14ac:dyDescent="0.2">
      <c r="A64" s="296"/>
      <c r="B64" s="296"/>
      <c r="C64" s="14" t="s">
        <v>284</v>
      </c>
      <c r="D64" s="172" t="s">
        <v>189</v>
      </c>
      <c r="E64" s="139"/>
      <c r="F64" s="139"/>
      <c r="G64" s="183" t="e">
        <f t="shared" ref="G64:G84" si="9">F64/E64</f>
        <v>#DIV/0!</v>
      </c>
      <c r="H64" s="139">
        <v>0</v>
      </c>
      <c r="I64" s="139">
        <v>0</v>
      </c>
      <c r="J64" s="139">
        <v>0</v>
      </c>
      <c r="K64" s="174">
        <v>0</v>
      </c>
      <c r="L64" s="194">
        <v>0</v>
      </c>
      <c r="M64" s="139">
        <v>0</v>
      </c>
      <c r="N64" s="183">
        <v>0</v>
      </c>
      <c r="O64" s="139"/>
      <c r="P64" s="139"/>
      <c r="Q64" s="14"/>
    </row>
    <row r="65" spans="1:17" s="127" customFormat="1" x14ac:dyDescent="0.2">
      <c r="A65" s="296"/>
      <c r="B65" s="296"/>
      <c r="C65" s="14" t="s">
        <v>201</v>
      </c>
      <c r="D65" s="172" t="s">
        <v>202</v>
      </c>
      <c r="E65" s="173">
        <v>50979068</v>
      </c>
      <c r="F65" s="139">
        <v>-10300000</v>
      </c>
      <c r="G65" s="183">
        <f t="shared" si="9"/>
        <v>-0.20204370939068561</v>
      </c>
      <c r="H65" s="139">
        <v>0</v>
      </c>
      <c r="I65" s="139">
        <v>0</v>
      </c>
      <c r="J65" s="139">
        <v>0</v>
      </c>
      <c r="K65" s="174">
        <v>0</v>
      </c>
      <c r="L65" s="194">
        <v>0</v>
      </c>
      <c r="M65" s="139">
        <v>0</v>
      </c>
      <c r="N65" s="183">
        <v>0</v>
      </c>
      <c r="O65" s="139"/>
      <c r="P65" s="139"/>
      <c r="Q65" s="14" t="s">
        <v>575</v>
      </c>
    </row>
    <row r="66" spans="1:17" s="127" customFormat="1" hidden="1" x14ac:dyDescent="0.2">
      <c r="A66" s="296"/>
      <c r="B66" s="296"/>
      <c r="C66" s="14" t="s">
        <v>215</v>
      </c>
      <c r="D66" s="172" t="s">
        <v>189</v>
      </c>
      <c r="E66" s="173"/>
      <c r="F66" s="139"/>
      <c r="G66" s="183" t="e">
        <f t="shared" si="9"/>
        <v>#DIV/0!</v>
      </c>
      <c r="H66" s="139">
        <v>0</v>
      </c>
      <c r="I66" s="139">
        <v>0</v>
      </c>
      <c r="J66" s="139">
        <v>0</v>
      </c>
      <c r="K66" s="174">
        <v>0</v>
      </c>
      <c r="L66" s="194">
        <v>0</v>
      </c>
      <c r="M66" s="139">
        <v>0</v>
      </c>
      <c r="N66" s="183">
        <v>0</v>
      </c>
      <c r="O66" s="139"/>
      <c r="P66" s="139"/>
      <c r="Q66" s="14"/>
    </row>
    <row r="67" spans="1:17" s="127" customFormat="1" x14ac:dyDescent="0.2">
      <c r="A67" s="296"/>
      <c r="B67" s="296"/>
      <c r="C67" s="14" t="s">
        <v>581</v>
      </c>
      <c r="D67" s="172" t="s">
        <v>189</v>
      </c>
      <c r="E67" s="173">
        <v>127071678</v>
      </c>
      <c r="F67" s="139">
        <v>7407400</v>
      </c>
      <c r="G67" s="183">
        <f t="shared" si="9"/>
        <v>5.829308400255799E-2</v>
      </c>
      <c r="H67" s="139">
        <v>0</v>
      </c>
      <c r="I67" s="139">
        <v>0</v>
      </c>
      <c r="J67" s="139">
        <v>0</v>
      </c>
      <c r="K67" s="174">
        <v>0</v>
      </c>
      <c r="L67" s="194">
        <v>0</v>
      </c>
      <c r="M67" s="139">
        <v>0</v>
      </c>
      <c r="N67" s="183">
        <v>0</v>
      </c>
      <c r="O67" s="139"/>
      <c r="P67" s="139"/>
      <c r="Q67" s="14"/>
    </row>
    <row r="68" spans="1:17" s="127" customFormat="1" x14ac:dyDescent="0.2">
      <c r="A68" s="296"/>
      <c r="B68" s="296"/>
      <c r="C68" s="14" t="s">
        <v>580</v>
      </c>
      <c r="D68" s="172" t="s">
        <v>189</v>
      </c>
      <c r="E68" s="173">
        <v>1625852</v>
      </c>
      <c r="F68" s="139">
        <v>190000</v>
      </c>
      <c r="G68" s="183">
        <f t="shared" si="9"/>
        <v>0.11686180537957945</v>
      </c>
      <c r="H68" s="139">
        <v>0</v>
      </c>
      <c r="I68" s="139">
        <v>0</v>
      </c>
      <c r="J68" s="139">
        <v>0</v>
      </c>
      <c r="K68" s="174">
        <v>0</v>
      </c>
      <c r="L68" s="194">
        <v>0</v>
      </c>
      <c r="M68" s="139">
        <v>0</v>
      </c>
      <c r="N68" s="183">
        <v>0</v>
      </c>
      <c r="O68" s="139"/>
      <c r="P68" s="139"/>
      <c r="Q68" s="14"/>
    </row>
    <row r="69" spans="1:17" s="127" customFormat="1" x14ac:dyDescent="0.2">
      <c r="A69" s="296"/>
      <c r="B69" s="296"/>
      <c r="C69" s="14" t="s">
        <v>579</v>
      </c>
      <c r="D69" s="172" t="s">
        <v>189</v>
      </c>
      <c r="E69" s="173">
        <v>620000</v>
      </c>
      <c r="F69" s="139">
        <v>10000</v>
      </c>
      <c r="G69" s="183">
        <f t="shared" si="9"/>
        <v>1.6129032258064516E-2</v>
      </c>
      <c r="H69" s="139">
        <v>0</v>
      </c>
      <c r="I69" s="139">
        <v>0</v>
      </c>
      <c r="J69" s="139">
        <v>0</v>
      </c>
      <c r="K69" s="174">
        <v>0</v>
      </c>
      <c r="L69" s="194">
        <v>0</v>
      </c>
      <c r="M69" s="139">
        <v>0</v>
      </c>
      <c r="N69" s="183">
        <v>0</v>
      </c>
      <c r="O69" s="139"/>
      <c r="P69" s="139"/>
      <c r="Q69" s="14"/>
    </row>
    <row r="70" spans="1:17" s="127" customFormat="1" ht="25.5" x14ac:dyDescent="0.2">
      <c r="A70" s="296"/>
      <c r="B70" s="296"/>
      <c r="C70" s="14" t="s">
        <v>585</v>
      </c>
      <c r="D70" s="172" t="s">
        <v>189</v>
      </c>
      <c r="E70" s="173">
        <v>333000</v>
      </c>
      <c r="F70" s="139">
        <v>37000</v>
      </c>
      <c r="G70" s="183">
        <f t="shared" si="9"/>
        <v>0.1111111111111111</v>
      </c>
      <c r="H70" s="139">
        <v>0</v>
      </c>
      <c r="I70" s="139">
        <v>0</v>
      </c>
      <c r="J70" s="139">
        <v>0</v>
      </c>
      <c r="K70" s="174">
        <v>0</v>
      </c>
      <c r="L70" s="194">
        <v>0</v>
      </c>
      <c r="M70" s="139">
        <v>0</v>
      </c>
      <c r="N70" s="183">
        <v>0</v>
      </c>
      <c r="O70" s="139"/>
      <c r="P70" s="139"/>
      <c r="Q70" s="14"/>
    </row>
    <row r="71" spans="1:17" s="127" customFormat="1" x14ac:dyDescent="0.2">
      <c r="A71" s="296"/>
      <c r="B71" s="296"/>
      <c r="C71" s="14" t="s">
        <v>582</v>
      </c>
      <c r="D71" s="172" t="s">
        <v>189</v>
      </c>
      <c r="E71" s="173">
        <v>14100513</v>
      </c>
      <c r="F71" s="139">
        <v>1596448</v>
      </c>
      <c r="G71" s="183">
        <f t="shared" si="9"/>
        <v>0.11321914316167078</v>
      </c>
      <c r="H71" s="139">
        <v>0</v>
      </c>
      <c r="I71" s="139">
        <v>0</v>
      </c>
      <c r="J71" s="139">
        <v>0</v>
      </c>
      <c r="K71" s="174">
        <v>0</v>
      </c>
      <c r="L71" s="194">
        <v>0</v>
      </c>
      <c r="M71" s="139">
        <v>0</v>
      </c>
      <c r="N71" s="183">
        <v>0</v>
      </c>
      <c r="O71" s="139"/>
      <c r="P71" s="139"/>
      <c r="Q71" s="14"/>
    </row>
    <row r="72" spans="1:17" s="127" customFormat="1" ht="25.5" x14ac:dyDescent="0.2">
      <c r="A72" s="296"/>
      <c r="B72" s="296"/>
      <c r="C72" s="14" t="s">
        <v>216</v>
      </c>
      <c r="D72" s="172" t="s">
        <v>189</v>
      </c>
      <c r="E72" s="173">
        <v>84397443</v>
      </c>
      <c r="F72" s="139">
        <v>4832209</v>
      </c>
      <c r="G72" s="183">
        <f t="shared" si="9"/>
        <v>5.7255395758850185E-2</v>
      </c>
      <c r="H72" s="139">
        <v>0</v>
      </c>
      <c r="I72" s="139">
        <v>0</v>
      </c>
      <c r="J72" s="139">
        <v>0</v>
      </c>
      <c r="K72" s="174">
        <v>0</v>
      </c>
      <c r="L72" s="194">
        <v>0</v>
      </c>
      <c r="M72" s="139">
        <v>0</v>
      </c>
      <c r="N72" s="183">
        <v>0</v>
      </c>
      <c r="O72" s="139"/>
      <c r="P72" s="139"/>
      <c r="Q72" s="14"/>
    </row>
    <row r="73" spans="1:17" s="127" customFormat="1" hidden="1" x14ac:dyDescent="0.2">
      <c r="A73" s="296"/>
      <c r="B73" s="296"/>
      <c r="C73" s="14" t="s">
        <v>217</v>
      </c>
      <c r="D73" s="172" t="s">
        <v>189</v>
      </c>
      <c r="E73" s="173"/>
      <c r="F73" s="139"/>
      <c r="G73" s="183" t="e">
        <f t="shared" si="9"/>
        <v>#DIV/0!</v>
      </c>
      <c r="H73" s="139">
        <v>0</v>
      </c>
      <c r="I73" s="139">
        <v>0</v>
      </c>
      <c r="J73" s="139">
        <v>0</v>
      </c>
      <c r="K73" s="174">
        <v>0</v>
      </c>
      <c r="L73" s="194">
        <v>0</v>
      </c>
      <c r="M73" s="139">
        <v>0</v>
      </c>
      <c r="N73" s="183">
        <v>0</v>
      </c>
      <c r="O73" s="139"/>
      <c r="P73" s="139"/>
      <c r="Q73" s="14"/>
    </row>
    <row r="74" spans="1:17" s="127" customFormat="1" ht="25.5" x14ac:dyDescent="0.2">
      <c r="A74" s="296"/>
      <c r="B74" s="296"/>
      <c r="C74" s="14" t="s">
        <v>218</v>
      </c>
      <c r="D74" s="172" t="s">
        <v>189</v>
      </c>
      <c r="E74" s="173">
        <v>3798600</v>
      </c>
      <c r="F74" s="139">
        <v>300000</v>
      </c>
      <c r="G74" s="183">
        <f t="shared" si="9"/>
        <v>7.8976465013425992E-2</v>
      </c>
      <c r="H74" s="139">
        <v>0</v>
      </c>
      <c r="I74" s="139">
        <v>0</v>
      </c>
      <c r="J74" s="139">
        <v>0</v>
      </c>
      <c r="K74" s="174">
        <v>0</v>
      </c>
      <c r="L74" s="194">
        <v>0</v>
      </c>
      <c r="M74" s="139">
        <v>0</v>
      </c>
      <c r="N74" s="183">
        <v>0</v>
      </c>
      <c r="O74" s="139"/>
      <c r="P74" s="139"/>
      <c r="Q74" s="14"/>
    </row>
    <row r="75" spans="1:17" s="127" customFormat="1" x14ac:dyDescent="0.2">
      <c r="A75" s="296"/>
      <c r="B75" s="296"/>
      <c r="C75" s="14" t="s">
        <v>219</v>
      </c>
      <c r="D75" s="172" t="s">
        <v>189</v>
      </c>
      <c r="E75" s="173">
        <v>20062823</v>
      </c>
      <c r="F75" s="139">
        <v>-906023</v>
      </c>
      <c r="G75" s="183">
        <f t="shared" si="9"/>
        <v>-4.5159297871490964E-2</v>
      </c>
      <c r="H75" s="139">
        <v>0</v>
      </c>
      <c r="I75" s="139">
        <v>0</v>
      </c>
      <c r="J75" s="139">
        <v>0</v>
      </c>
      <c r="K75" s="174">
        <v>0</v>
      </c>
      <c r="L75" s="194">
        <v>0</v>
      </c>
      <c r="M75" s="139">
        <v>0</v>
      </c>
      <c r="N75" s="183">
        <v>0</v>
      </c>
      <c r="O75" s="139"/>
      <c r="P75" s="139"/>
      <c r="Q75" s="14" t="s">
        <v>575</v>
      </c>
    </row>
    <row r="76" spans="1:17" s="127" customFormat="1" x14ac:dyDescent="0.2">
      <c r="A76" s="296"/>
      <c r="B76" s="296"/>
      <c r="C76" s="14" t="s">
        <v>220</v>
      </c>
      <c r="D76" s="172" t="s">
        <v>189</v>
      </c>
      <c r="E76" s="173">
        <v>20440000</v>
      </c>
      <c r="F76" s="139">
        <v>-300000</v>
      </c>
      <c r="G76" s="183">
        <f t="shared" si="9"/>
        <v>-1.4677103718199608E-2</v>
      </c>
      <c r="H76" s="139">
        <v>0</v>
      </c>
      <c r="I76" s="139">
        <v>0</v>
      </c>
      <c r="J76" s="139">
        <v>0</v>
      </c>
      <c r="K76" s="174">
        <v>0</v>
      </c>
      <c r="L76" s="194">
        <v>0</v>
      </c>
      <c r="M76" s="139">
        <v>0</v>
      </c>
      <c r="N76" s="183">
        <v>0</v>
      </c>
      <c r="O76" s="139"/>
      <c r="P76" s="139"/>
      <c r="Q76" s="14"/>
    </row>
    <row r="77" spans="1:17" s="127" customFormat="1" ht="25.5" hidden="1" x14ac:dyDescent="0.2">
      <c r="A77" s="296"/>
      <c r="B77" s="296"/>
      <c r="C77" s="14" t="s">
        <v>221</v>
      </c>
      <c r="D77" s="172" t="s">
        <v>203</v>
      </c>
      <c r="E77" s="173"/>
      <c r="F77" s="139"/>
      <c r="G77" s="183" t="e">
        <f t="shared" si="9"/>
        <v>#DIV/0!</v>
      </c>
      <c r="H77" s="139">
        <v>0</v>
      </c>
      <c r="I77" s="139">
        <v>0</v>
      </c>
      <c r="J77" s="139">
        <v>0</v>
      </c>
      <c r="K77" s="174">
        <v>0</v>
      </c>
      <c r="L77" s="194">
        <v>0</v>
      </c>
      <c r="M77" s="139">
        <v>0</v>
      </c>
      <c r="N77" s="183">
        <v>0</v>
      </c>
      <c r="O77" s="139"/>
      <c r="P77" s="139"/>
      <c r="Q77" s="14"/>
    </row>
    <row r="78" spans="1:17" s="127" customFormat="1" x14ac:dyDescent="0.2">
      <c r="A78" s="296"/>
      <c r="B78" s="296"/>
      <c r="C78" s="14" t="s">
        <v>371</v>
      </c>
      <c r="D78" s="172" t="s">
        <v>203</v>
      </c>
      <c r="E78" s="173">
        <v>2478334</v>
      </c>
      <c r="F78" s="139">
        <v>365000</v>
      </c>
      <c r="G78" s="183">
        <f t="shared" si="9"/>
        <v>0.14727635580999171</v>
      </c>
      <c r="H78" s="139">
        <v>0</v>
      </c>
      <c r="I78" s="139">
        <v>0</v>
      </c>
      <c r="J78" s="139">
        <v>0</v>
      </c>
      <c r="K78" s="174">
        <v>0</v>
      </c>
      <c r="L78" s="194">
        <v>0</v>
      </c>
      <c r="M78" s="139">
        <v>0</v>
      </c>
      <c r="N78" s="183">
        <v>0</v>
      </c>
      <c r="O78" s="139"/>
      <c r="P78" s="139"/>
      <c r="Q78" s="14"/>
    </row>
    <row r="79" spans="1:17" s="127" customFormat="1" ht="38.25" hidden="1" x14ac:dyDescent="0.2">
      <c r="A79" s="296"/>
      <c r="B79" s="296"/>
      <c r="C79" s="14" t="s">
        <v>243</v>
      </c>
      <c r="D79" s="172" t="s">
        <v>203</v>
      </c>
      <c r="E79" s="173"/>
      <c r="F79" s="139"/>
      <c r="G79" s="183" t="e">
        <f t="shared" si="9"/>
        <v>#DIV/0!</v>
      </c>
      <c r="H79" s="139">
        <v>0</v>
      </c>
      <c r="I79" s="139">
        <v>0</v>
      </c>
      <c r="J79" s="139">
        <v>0</v>
      </c>
      <c r="K79" s="174">
        <v>0</v>
      </c>
      <c r="L79" s="194">
        <v>0</v>
      </c>
      <c r="M79" s="139">
        <v>0</v>
      </c>
      <c r="N79" s="183">
        <v>0</v>
      </c>
      <c r="O79" s="139"/>
      <c r="P79" s="139"/>
      <c r="Q79" s="14"/>
    </row>
    <row r="80" spans="1:17" s="127" customFormat="1" ht="25.5" hidden="1" x14ac:dyDescent="0.2">
      <c r="A80" s="296"/>
      <c r="B80" s="296"/>
      <c r="C80" s="14" t="s">
        <v>222</v>
      </c>
      <c r="D80" s="172" t="s">
        <v>202</v>
      </c>
      <c r="E80" s="173"/>
      <c r="F80" s="139"/>
      <c r="G80" s="183" t="e">
        <f t="shared" si="9"/>
        <v>#DIV/0!</v>
      </c>
      <c r="H80" s="139">
        <v>0</v>
      </c>
      <c r="I80" s="139">
        <v>0</v>
      </c>
      <c r="J80" s="139">
        <v>0</v>
      </c>
      <c r="K80" s="174">
        <v>0</v>
      </c>
      <c r="L80" s="194">
        <v>0</v>
      </c>
      <c r="M80" s="139">
        <v>0</v>
      </c>
      <c r="N80" s="183">
        <v>0</v>
      </c>
      <c r="O80" s="139"/>
      <c r="P80" s="139"/>
      <c r="Q80" s="14"/>
    </row>
    <row r="81" spans="1:17" s="127" customFormat="1" ht="25.5" x14ac:dyDescent="0.2">
      <c r="A81" s="296"/>
      <c r="B81" s="296"/>
      <c r="C81" s="14" t="s">
        <v>223</v>
      </c>
      <c r="D81" s="172" t="s">
        <v>202</v>
      </c>
      <c r="E81" s="173">
        <v>47017152</v>
      </c>
      <c r="F81" s="139">
        <v>-1791252</v>
      </c>
      <c r="G81" s="183">
        <f t="shared" si="9"/>
        <v>-3.8097841400516988E-2</v>
      </c>
      <c r="H81" s="139">
        <v>0</v>
      </c>
      <c r="I81" s="139">
        <v>0</v>
      </c>
      <c r="J81" s="139">
        <v>0</v>
      </c>
      <c r="K81" s="174">
        <v>0</v>
      </c>
      <c r="L81" s="194">
        <v>0</v>
      </c>
      <c r="M81" s="139">
        <v>0</v>
      </c>
      <c r="N81" s="183">
        <v>0</v>
      </c>
      <c r="O81" s="139"/>
      <c r="P81" s="139"/>
      <c r="Q81" s="14" t="s">
        <v>575</v>
      </c>
    </row>
    <row r="82" spans="1:17" s="127" customFormat="1" x14ac:dyDescent="0.2">
      <c r="A82" s="296"/>
      <c r="B82" s="296"/>
      <c r="C82" s="14" t="s">
        <v>591</v>
      </c>
      <c r="D82" s="172" t="s">
        <v>202</v>
      </c>
      <c r="E82" s="173">
        <v>0</v>
      </c>
      <c r="F82" s="139">
        <v>339822</v>
      </c>
      <c r="G82" s="183">
        <v>1</v>
      </c>
      <c r="H82" s="139">
        <v>0</v>
      </c>
      <c r="I82" s="139">
        <v>0</v>
      </c>
      <c r="J82" s="139">
        <v>0</v>
      </c>
      <c r="K82" s="174">
        <v>0</v>
      </c>
      <c r="L82" s="194">
        <v>0</v>
      </c>
      <c r="M82" s="139">
        <v>0</v>
      </c>
      <c r="N82" s="183">
        <v>0</v>
      </c>
      <c r="O82" s="139"/>
      <c r="P82" s="139"/>
      <c r="Q82" s="14" t="s">
        <v>592</v>
      </c>
    </row>
    <row r="83" spans="1:17" s="127" customFormat="1" ht="25.5" hidden="1" x14ac:dyDescent="0.2">
      <c r="A83" s="296"/>
      <c r="B83" s="296"/>
      <c r="C83" s="14" t="s">
        <v>224</v>
      </c>
      <c r="D83" s="172" t="s">
        <v>202</v>
      </c>
      <c r="E83" s="173"/>
      <c r="F83" s="139"/>
      <c r="G83" s="183" t="e">
        <f t="shared" si="9"/>
        <v>#DIV/0!</v>
      </c>
      <c r="H83" s="139">
        <v>0</v>
      </c>
      <c r="I83" s="139">
        <v>0</v>
      </c>
      <c r="J83" s="139">
        <v>0</v>
      </c>
      <c r="K83" s="174">
        <v>0</v>
      </c>
      <c r="L83" s="194">
        <v>0</v>
      </c>
      <c r="M83" s="139">
        <v>0</v>
      </c>
      <c r="N83" s="183">
        <v>0</v>
      </c>
      <c r="O83" s="139"/>
      <c r="P83" s="139"/>
      <c r="Q83" s="14"/>
    </row>
    <row r="84" spans="1:17" s="127" customFormat="1" x14ac:dyDescent="0.2">
      <c r="A84" s="296"/>
      <c r="B84" s="296"/>
      <c r="C84" s="14" t="s">
        <v>578</v>
      </c>
      <c r="D84" s="172" t="s">
        <v>202</v>
      </c>
      <c r="E84" s="173">
        <v>38053000</v>
      </c>
      <c r="F84" s="139">
        <v>-800000</v>
      </c>
      <c r="G84" s="183">
        <f t="shared" si="9"/>
        <v>-2.1023309594512915E-2</v>
      </c>
      <c r="H84" s="139">
        <v>0</v>
      </c>
      <c r="I84" s="139">
        <v>0</v>
      </c>
      <c r="J84" s="139">
        <v>0</v>
      </c>
      <c r="K84" s="174">
        <v>0</v>
      </c>
      <c r="L84" s="194">
        <v>0</v>
      </c>
      <c r="M84" s="139">
        <v>0</v>
      </c>
      <c r="N84" s="183">
        <v>0</v>
      </c>
      <c r="O84" s="139"/>
      <c r="P84" s="139"/>
      <c r="Q84" s="14"/>
    </row>
    <row r="85" spans="1:17" s="128" customFormat="1" hidden="1" x14ac:dyDescent="0.2">
      <c r="A85" s="223"/>
      <c r="B85" s="224"/>
      <c r="C85" s="140" t="s">
        <v>282</v>
      </c>
      <c r="D85" s="169"/>
      <c r="E85" s="170"/>
      <c r="F85" s="133"/>
      <c r="G85" s="182"/>
      <c r="H85" s="170"/>
      <c r="I85" s="133"/>
      <c r="J85" s="133"/>
      <c r="K85" s="182" t="e">
        <f t="shared" ref="K85" si="10">I85/H85</f>
        <v>#DIV/0!</v>
      </c>
      <c r="L85" s="210"/>
      <c r="M85" s="133"/>
      <c r="N85" s="182"/>
      <c r="O85" s="133"/>
      <c r="P85" s="133"/>
      <c r="Q85" s="140"/>
    </row>
    <row r="86" spans="1:17" s="127" customFormat="1" ht="25.5" x14ac:dyDescent="0.2">
      <c r="A86" s="199" t="s">
        <v>152</v>
      </c>
      <c r="B86" s="199"/>
      <c r="C86" s="303" t="s">
        <v>116</v>
      </c>
      <c r="D86" s="304"/>
      <c r="E86" s="305" t="s">
        <v>30</v>
      </c>
      <c r="F86" s="306">
        <f>SUM(F87:F88)</f>
        <v>0</v>
      </c>
      <c r="G86" s="307" t="s">
        <v>30</v>
      </c>
      <c r="H86" s="305" t="s">
        <v>30</v>
      </c>
      <c r="I86" s="306">
        <f>SUM(I87:I88)</f>
        <v>0</v>
      </c>
      <c r="J86" s="306">
        <f>SUM(J87:J88)</f>
        <v>-15080</v>
      </c>
      <c r="K86" s="307" t="s">
        <v>30</v>
      </c>
      <c r="L86" s="307" t="s">
        <v>30</v>
      </c>
      <c r="M86" s="306">
        <f>SUM(M87:M88)</f>
        <v>0</v>
      </c>
      <c r="N86" s="307" t="s">
        <v>30</v>
      </c>
      <c r="O86" s="306">
        <f t="shared" ref="O86:P86" si="11">SUM(O87:O88)</f>
        <v>0</v>
      </c>
      <c r="P86" s="306">
        <f t="shared" si="11"/>
        <v>0</v>
      </c>
      <c r="Q86" s="14"/>
    </row>
    <row r="87" spans="1:17" s="127" customFormat="1" x14ac:dyDescent="0.2">
      <c r="A87" s="296"/>
      <c r="B87" s="296"/>
      <c r="C87" s="14" t="s">
        <v>594</v>
      </c>
      <c r="D87" s="172" t="s">
        <v>183</v>
      </c>
      <c r="E87" s="173">
        <v>0</v>
      </c>
      <c r="F87" s="139">
        <v>0</v>
      </c>
      <c r="G87" s="174">
        <v>0</v>
      </c>
      <c r="H87" s="139">
        <v>541000</v>
      </c>
      <c r="I87" s="139"/>
      <c r="J87" s="139">
        <f>-4600+9326-4726-15080</f>
        <v>-15080</v>
      </c>
      <c r="K87" s="183">
        <f>I87/H87</f>
        <v>0</v>
      </c>
      <c r="L87" s="173">
        <v>0</v>
      </c>
      <c r="M87" s="139">
        <v>0</v>
      </c>
      <c r="N87" s="174">
        <v>0</v>
      </c>
      <c r="O87" s="139"/>
      <c r="P87" s="139"/>
      <c r="Q87" s="14"/>
    </row>
    <row r="88" spans="1:17" s="127" customFormat="1" hidden="1" x14ac:dyDescent="0.2">
      <c r="A88" s="296"/>
      <c r="B88" s="296"/>
      <c r="C88" s="14"/>
      <c r="D88" s="172"/>
      <c r="E88" s="173"/>
      <c r="F88" s="139"/>
      <c r="G88" s="174"/>
      <c r="H88" s="173"/>
      <c r="I88" s="139"/>
      <c r="J88" s="139"/>
      <c r="K88" s="174"/>
      <c r="L88" s="173"/>
      <c r="M88" s="139"/>
      <c r="N88" s="174"/>
      <c r="O88" s="139"/>
      <c r="P88" s="139"/>
      <c r="Q88" s="14"/>
    </row>
    <row r="89" spans="1:17" s="128" customFormat="1" hidden="1" x14ac:dyDescent="0.2">
      <c r="A89" s="188" t="s">
        <v>153</v>
      </c>
      <c r="B89" s="165" t="s">
        <v>153</v>
      </c>
      <c r="C89" s="209" t="s">
        <v>117</v>
      </c>
      <c r="D89" s="178" t="s">
        <v>263</v>
      </c>
      <c r="E89" s="179" t="s">
        <v>30</v>
      </c>
      <c r="F89" s="137">
        <f>F90+F91</f>
        <v>0</v>
      </c>
      <c r="G89" s="180" t="s">
        <v>30</v>
      </c>
      <c r="H89" s="179" t="s">
        <v>30</v>
      </c>
      <c r="I89" s="137">
        <f>I90+I91</f>
        <v>0</v>
      </c>
      <c r="J89" s="137">
        <f>J90+J91</f>
        <v>0</v>
      </c>
      <c r="K89" s="180" t="s">
        <v>30</v>
      </c>
      <c r="L89" s="179" t="s">
        <v>30</v>
      </c>
      <c r="M89" s="137">
        <f t="shared" ref="M89:P89" si="12">M90+M91</f>
        <v>0</v>
      </c>
      <c r="N89" s="179" t="s">
        <v>30</v>
      </c>
      <c r="O89" s="137">
        <f t="shared" si="12"/>
        <v>0</v>
      </c>
      <c r="P89" s="137">
        <f t="shared" si="12"/>
        <v>0</v>
      </c>
      <c r="Q89" s="140"/>
    </row>
    <row r="90" spans="1:17" s="128" customFormat="1" ht="25.5" hidden="1" x14ac:dyDescent="0.2">
      <c r="A90" s="223"/>
      <c r="B90" s="224"/>
      <c r="C90" s="142" t="s">
        <v>208</v>
      </c>
      <c r="D90" s="169" t="s">
        <v>189</v>
      </c>
      <c r="E90" s="170"/>
      <c r="F90" s="133"/>
      <c r="G90" s="171"/>
      <c r="H90" s="170">
        <v>8500</v>
      </c>
      <c r="I90" s="133"/>
      <c r="J90" s="133"/>
      <c r="K90" s="171">
        <f>I90/H90</f>
        <v>0</v>
      </c>
      <c r="L90" s="170"/>
      <c r="M90" s="133"/>
      <c r="N90" s="171"/>
      <c r="O90" s="133"/>
      <c r="P90" s="133"/>
      <c r="Q90" s="140"/>
    </row>
    <row r="91" spans="1:17" s="128" customFormat="1" hidden="1" x14ac:dyDescent="0.2">
      <c r="A91" s="223"/>
      <c r="B91" s="224"/>
      <c r="C91" s="142"/>
      <c r="D91" s="169"/>
      <c r="E91" s="170"/>
      <c r="F91" s="133"/>
      <c r="G91" s="171"/>
      <c r="H91" s="170"/>
      <c r="I91" s="133"/>
      <c r="J91" s="133"/>
      <c r="K91" s="171"/>
      <c r="L91" s="170"/>
      <c r="M91" s="133"/>
      <c r="N91" s="171"/>
      <c r="O91" s="133"/>
      <c r="P91" s="133"/>
      <c r="Q91" s="140"/>
    </row>
    <row r="92" spans="1:17" s="128" customFormat="1" hidden="1" x14ac:dyDescent="0.2">
      <c r="A92" s="223"/>
      <c r="B92" s="224"/>
      <c r="C92" s="142"/>
      <c r="D92" s="169"/>
      <c r="E92" s="170"/>
      <c r="F92" s="133"/>
      <c r="G92" s="171"/>
      <c r="H92" s="170"/>
      <c r="I92" s="133"/>
      <c r="J92" s="133"/>
      <c r="K92" s="171"/>
      <c r="L92" s="170"/>
      <c r="M92" s="133"/>
      <c r="N92" s="171"/>
      <c r="O92" s="133"/>
      <c r="P92" s="133"/>
      <c r="Q92" s="140"/>
    </row>
    <row r="93" spans="1:17" s="128" customFormat="1" hidden="1" x14ac:dyDescent="0.2">
      <c r="A93" s="223"/>
      <c r="B93" s="224"/>
      <c r="C93" s="142"/>
      <c r="D93" s="169"/>
      <c r="E93" s="170"/>
      <c r="F93" s="133"/>
      <c r="G93" s="171"/>
      <c r="H93" s="170"/>
      <c r="I93" s="133"/>
      <c r="J93" s="133"/>
      <c r="K93" s="171"/>
      <c r="L93" s="170"/>
      <c r="M93" s="133"/>
      <c r="N93" s="171"/>
      <c r="O93" s="133"/>
      <c r="P93" s="133"/>
      <c r="Q93" s="140"/>
    </row>
    <row r="94" spans="1:17" s="128" customFormat="1" hidden="1" x14ac:dyDescent="0.2">
      <c r="A94" s="223"/>
      <c r="B94" s="224"/>
      <c r="C94" s="142"/>
      <c r="D94" s="169"/>
      <c r="E94" s="170"/>
      <c r="F94" s="133"/>
      <c r="G94" s="171"/>
      <c r="H94" s="170"/>
      <c r="I94" s="133"/>
      <c r="J94" s="133"/>
      <c r="K94" s="171"/>
      <c r="L94" s="170"/>
      <c r="M94" s="133"/>
      <c r="N94" s="171"/>
      <c r="O94" s="133"/>
      <c r="P94" s="133"/>
      <c r="Q94" s="140"/>
    </row>
    <row r="95" spans="1:17" s="128" customFormat="1" hidden="1" x14ac:dyDescent="0.2">
      <c r="A95" s="223"/>
      <c r="B95" s="224"/>
      <c r="C95" s="142"/>
      <c r="D95" s="169"/>
      <c r="E95" s="170"/>
      <c r="F95" s="133"/>
      <c r="G95" s="171"/>
      <c r="H95" s="170"/>
      <c r="I95" s="133"/>
      <c r="J95" s="133"/>
      <c r="K95" s="171"/>
      <c r="L95" s="170"/>
      <c r="M95" s="133"/>
      <c r="N95" s="171"/>
      <c r="O95" s="133"/>
      <c r="P95" s="133"/>
      <c r="Q95" s="140"/>
    </row>
    <row r="96" spans="1:17" s="128" customFormat="1" hidden="1" x14ac:dyDescent="0.2">
      <c r="A96" s="223"/>
      <c r="B96" s="224"/>
      <c r="C96" s="142"/>
      <c r="D96" s="169"/>
      <c r="E96" s="170"/>
      <c r="F96" s="133"/>
      <c r="G96" s="171"/>
      <c r="H96" s="170"/>
      <c r="I96" s="133"/>
      <c r="J96" s="133"/>
      <c r="K96" s="171"/>
      <c r="L96" s="170"/>
      <c r="M96" s="133"/>
      <c r="N96" s="171"/>
      <c r="O96" s="133"/>
      <c r="P96" s="133"/>
      <c r="Q96" s="140"/>
    </row>
    <row r="97" spans="1:17" s="372" customFormat="1" ht="38.25" x14ac:dyDescent="0.2">
      <c r="A97" s="370" t="s">
        <v>154</v>
      </c>
      <c r="B97" s="340" t="s">
        <v>154</v>
      </c>
      <c r="C97" s="352" t="s">
        <v>118</v>
      </c>
      <c r="D97" s="342" t="s">
        <v>264</v>
      </c>
      <c r="E97" s="343" t="s">
        <v>30</v>
      </c>
      <c r="F97" s="344">
        <f>F98+F100+F102+F105</f>
        <v>0</v>
      </c>
      <c r="G97" s="345" t="s">
        <v>30</v>
      </c>
      <c r="H97" s="343" t="s">
        <v>30</v>
      </c>
      <c r="I97" s="344">
        <f>I98+I100+I102+I105</f>
        <v>-91536</v>
      </c>
      <c r="J97" s="344">
        <f>J98+J100+J102+J105</f>
        <v>-91536</v>
      </c>
      <c r="K97" s="345" t="s">
        <v>30</v>
      </c>
      <c r="L97" s="343" t="s">
        <v>30</v>
      </c>
      <c r="M97" s="344">
        <f>M98+M100+M102+M105</f>
        <v>0</v>
      </c>
      <c r="N97" s="343" t="s">
        <v>30</v>
      </c>
      <c r="O97" s="344">
        <f>O98+O100+O102+O105</f>
        <v>0</v>
      </c>
      <c r="P97" s="344">
        <f>P98+P100+P102+P105</f>
        <v>0</v>
      </c>
      <c r="Q97" s="371"/>
    </row>
    <row r="98" spans="1:17" s="372" customFormat="1" ht="40.5" hidden="1" x14ac:dyDescent="0.25">
      <c r="A98" s="370" t="s">
        <v>155</v>
      </c>
      <c r="B98" s="326"/>
      <c r="C98" s="373" t="s">
        <v>119</v>
      </c>
      <c r="D98" s="374"/>
      <c r="E98" s="375" t="s">
        <v>30</v>
      </c>
      <c r="F98" s="376">
        <f>SUM(F99:F99)</f>
        <v>0</v>
      </c>
      <c r="G98" s="377" t="s">
        <v>30</v>
      </c>
      <c r="H98" s="375" t="s">
        <v>30</v>
      </c>
      <c r="I98" s="376">
        <f>SUM(I99:I99)</f>
        <v>0</v>
      </c>
      <c r="J98" s="376">
        <f>SUM(J99:J99)</f>
        <v>0</v>
      </c>
      <c r="K98" s="377" t="s">
        <v>30</v>
      </c>
      <c r="L98" s="377" t="s">
        <v>30</v>
      </c>
      <c r="M98" s="376">
        <f>SUM(M99:M99)</f>
        <v>0</v>
      </c>
      <c r="N98" s="377" t="s">
        <v>30</v>
      </c>
      <c r="O98" s="376">
        <f>SUM(O99:O99)</f>
        <v>0</v>
      </c>
      <c r="P98" s="376">
        <f>SUM(P99:P99)</f>
        <v>0</v>
      </c>
      <c r="Q98" s="346"/>
    </row>
    <row r="99" spans="1:17" s="372" customFormat="1" ht="25.5" hidden="1" x14ac:dyDescent="0.2">
      <c r="A99" s="370"/>
      <c r="B99" s="326"/>
      <c r="C99" s="353" t="s">
        <v>509</v>
      </c>
      <c r="D99" s="328"/>
      <c r="E99" s="378"/>
      <c r="F99" s="329"/>
      <c r="G99" s="379"/>
      <c r="H99" s="378"/>
      <c r="I99" s="329"/>
      <c r="J99" s="329"/>
      <c r="K99" s="379">
        <v>0</v>
      </c>
      <c r="L99" s="379"/>
      <c r="M99" s="329"/>
      <c r="N99" s="379"/>
      <c r="O99" s="329"/>
      <c r="P99" s="329"/>
      <c r="Q99" s="331"/>
    </row>
    <row r="100" spans="1:17" s="383" customFormat="1" ht="40.5" hidden="1" x14ac:dyDescent="0.25">
      <c r="A100" s="370" t="s">
        <v>156</v>
      </c>
      <c r="B100" s="326"/>
      <c r="C100" s="373" t="s">
        <v>120</v>
      </c>
      <c r="D100" s="374"/>
      <c r="E100" s="380" t="s">
        <v>30</v>
      </c>
      <c r="F100" s="381">
        <f>SUM(F101:F101)</f>
        <v>0</v>
      </c>
      <c r="G100" s="382" t="s">
        <v>30</v>
      </c>
      <c r="H100" s="380" t="s">
        <v>30</v>
      </c>
      <c r="I100" s="381">
        <f>SUM(I101:I101)</f>
        <v>0</v>
      </c>
      <c r="J100" s="381">
        <f>SUM(J101:J101)</f>
        <v>0</v>
      </c>
      <c r="K100" s="382" t="s">
        <v>30</v>
      </c>
      <c r="L100" s="382" t="s">
        <v>30</v>
      </c>
      <c r="M100" s="381">
        <f>SUM(M101:M101)</f>
        <v>0</v>
      </c>
      <c r="N100" s="382" t="s">
        <v>30</v>
      </c>
      <c r="O100" s="381">
        <f>SUM(O101:O101)</f>
        <v>0</v>
      </c>
      <c r="P100" s="381">
        <f>SUM(P101:P101)</f>
        <v>0</v>
      </c>
      <c r="Q100" s="346"/>
    </row>
    <row r="101" spans="1:17" ht="25.5" hidden="1" x14ac:dyDescent="0.2">
      <c r="A101" s="333"/>
      <c r="B101" s="333"/>
      <c r="C101" s="384" t="s">
        <v>302</v>
      </c>
      <c r="D101" s="335" t="s">
        <v>187</v>
      </c>
      <c r="E101" s="349"/>
      <c r="F101" s="336"/>
      <c r="G101" s="350"/>
      <c r="H101" s="349"/>
      <c r="I101" s="336"/>
      <c r="J101" s="336"/>
      <c r="K101" s="337" t="e">
        <f>I101/H101</f>
        <v>#DIV/0!</v>
      </c>
      <c r="L101" s="349"/>
      <c r="M101" s="336"/>
      <c r="N101" s="350"/>
      <c r="O101" s="336"/>
      <c r="P101" s="336"/>
      <c r="Q101" s="338"/>
    </row>
    <row r="102" spans="1:17" s="391" customFormat="1" ht="40.5" hidden="1" x14ac:dyDescent="0.25">
      <c r="A102" s="385" t="s">
        <v>157</v>
      </c>
      <c r="B102" s="385"/>
      <c r="C102" s="386" t="s">
        <v>121</v>
      </c>
      <c r="D102" s="387"/>
      <c r="E102" s="388" t="s">
        <v>30</v>
      </c>
      <c r="F102" s="389">
        <f>SUM(F103:F104)</f>
        <v>0</v>
      </c>
      <c r="G102" s="390" t="s">
        <v>30</v>
      </c>
      <c r="H102" s="388" t="s">
        <v>30</v>
      </c>
      <c r="I102" s="389">
        <f>SUM(I103:I104)</f>
        <v>0</v>
      </c>
      <c r="J102" s="389">
        <f>SUM(J103:J104)</f>
        <v>0</v>
      </c>
      <c r="K102" s="390" t="s">
        <v>30</v>
      </c>
      <c r="L102" s="390" t="s">
        <v>30</v>
      </c>
      <c r="M102" s="389">
        <f>SUM(M104:M104)</f>
        <v>0</v>
      </c>
      <c r="N102" s="390" t="s">
        <v>30</v>
      </c>
      <c r="O102" s="388">
        <f>SUM(O104:O104)</f>
        <v>0</v>
      </c>
      <c r="P102" s="388">
        <f>SUM(P104:P104)</f>
        <v>0</v>
      </c>
      <c r="Q102" s="346"/>
    </row>
    <row r="103" spans="1:17" s="391" customFormat="1" hidden="1" x14ac:dyDescent="0.2">
      <c r="A103" s="385"/>
      <c r="B103" s="385"/>
      <c r="C103" s="384" t="s">
        <v>375</v>
      </c>
      <c r="D103" s="335" t="s">
        <v>187</v>
      </c>
      <c r="E103" s="349"/>
      <c r="F103" s="336"/>
      <c r="G103" s="350"/>
      <c r="H103" s="336">
        <v>0</v>
      </c>
      <c r="I103" s="336"/>
      <c r="J103" s="336"/>
      <c r="K103" s="337">
        <v>1</v>
      </c>
      <c r="L103" s="336"/>
      <c r="M103" s="336"/>
      <c r="N103" s="350"/>
      <c r="O103" s="336"/>
      <c r="P103" s="336"/>
      <c r="Q103" s="392"/>
    </row>
    <row r="104" spans="1:17" s="391" customFormat="1" ht="25.5" hidden="1" x14ac:dyDescent="0.2">
      <c r="A104" s="385"/>
      <c r="B104" s="385"/>
      <c r="C104" s="384" t="s">
        <v>376</v>
      </c>
      <c r="D104" s="335" t="s">
        <v>187</v>
      </c>
      <c r="E104" s="349"/>
      <c r="F104" s="336"/>
      <c r="G104" s="350"/>
      <c r="H104" s="336"/>
      <c r="I104" s="336"/>
      <c r="J104" s="336"/>
      <c r="K104" s="337"/>
      <c r="L104" s="336"/>
      <c r="M104" s="336"/>
      <c r="N104" s="337" t="e">
        <f>M104/L104</f>
        <v>#DIV/0!</v>
      </c>
      <c r="O104" s="336"/>
      <c r="P104" s="336"/>
      <c r="Q104" s="338"/>
    </row>
    <row r="105" spans="1:17" s="391" customFormat="1" ht="40.5" x14ac:dyDescent="0.25">
      <c r="A105" s="385" t="s">
        <v>158</v>
      </c>
      <c r="B105" s="385"/>
      <c r="C105" s="386" t="s">
        <v>122</v>
      </c>
      <c r="D105" s="387"/>
      <c r="E105" s="388" t="s">
        <v>30</v>
      </c>
      <c r="F105" s="389">
        <f>SUM(F106:F106)</f>
        <v>0</v>
      </c>
      <c r="G105" s="390" t="s">
        <v>30</v>
      </c>
      <c r="H105" s="388" t="s">
        <v>30</v>
      </c>
      <c r="I105" s="389">
        <f>SUM(I106:I107)</f>
        <v>-91536</v>
      </c>
      <c r="J105" s="389">
        <f>SUM(J106:J107)</f>
        <v>-91536</v>
      </c>
      <c r="K105" s="390" t="s">
        <v>30</v>
      </c>
      <c r="L105" s="390" t="s">
        <v>30</v>
      </c>
      <c r="M105" s="389">
        <f>SUM(M106:M106)</f>
        <v>0</v>
      </c>
      <c r="N105" s="390" t="s">
        <v>30</v>
      </c>
      <c r="O105" s="389">
        <f>SUM(O106:O106)</f>
        <v>0</v>
      </c>
      <c r="P105" s="389">
        <f>SUM(P106:P106)</f>
        <v>0</v>
      </c>
      <c r="Q105" s="346"/>
    </row>
    <row r="106" spans="1:17" x14ac:dyDescent="0.2">
      <c r="A106" s="333"/>
      <c r="B106" s="333"/>
      <c r="C106" s="353" t="s">
        <v>307</v>
      </c>
      <c r="D106" s="335" t="s">
        <v>187</v>
      </c>
      <c r="E106" s="349">
        <v>0</v>
      </c>
      <c r="F106" s="336">
        <v>0</v>
      </c>
      <c r="G106" s="350">
        <v>0</v>
      </c>
      <c r="H106" s="336">
        <v>10080000</v>
      </c>
      <c r="I106" s="336">
        <v>-80000</v>
      </c>
      <c r="J106" s="336">
        <v>-80000</v>
      </c>
      <c r="K106" s="337">
        <f>I106/H106</f>
        <v>-7.9365079365079361E-3</v>
      </c>
      <c r="L106" s="349">
        <v>0</v>
      </c>
      <c r="M106" s="336">
        <v>0</v>
      </c>
      <c r="N106" s="350">
        <v>0</v>
      </c>
      <c r="O106" s="336"/>
      <c r="P106" s="336"/>
      <c r="Q106" s="338" t="s">
        <v>516</v>
      </c>
    </row>
    <row r="107" spans="1:17" x14ac:dyDescent="0.2">
      <c r="A107" s="333"/>
      <c r="B107" s="333"/>
      <c r="C107" s="353" t="s">
        <v>517</v>
      </c>
      <c r="D107" s="335"/>
      <c r="E107" s="349">
        <v>0</v>
      </c>
      <c r="F107" s="336">
        <v>0</v>
      </c>
      <c r="G107" s="350">
        <v>0</v>
      </c>
      <c r="H107" s="336">
        <v>213000</v>
      </c>
      <c r="I107" s="336">
        <v>-11536</v>
      </c>
      <c r="J107" s="336">
        <v>-11536</v>
      </c>
      <c r="K107" s="337">
        <f>I107/H107</f>
        <v>-5.4159624413145542E-2</v>
      </c>
      <c r="L107" s="349">
        <v>0</v>
      </c>
      <c r="M107" s="336">
        <v>0</v>
      </c>
      <c r="N107" s="350">
        <v>0</v>
      </c>
      <c r="O107" s="336"/>
      <c r="P107" s="336"/>
      <c r="Q107" s="338" t="s">
        <v>511</v>
      </c>
    </row>
    <row r="108" spans="1:17" s="127" customFormat="1" ht="25.5" hidden="1" x14ac:dyDescent="0.2">
      <c r="A108" s="223"/>
      <c r="B108" s="165" t="s">
        <v>273</v>
      </c>
      <c r="C108" s="136" t="s">
        <v>467</v>
      </c>
      <c r="D108" s="178" t="s">
        <v>468</v>
      </c>
      <c r="E108" s="179" t="s">
        <v>30</v>
      </c>
      <c r="F108" s="137">
        <f>F109</f>
        <v>0</v>
      </c>
      <c r="G108" s="180" t="s">
        <v>30</v>
      </c>
      <c r="H108" s="179" t="s">
        <v>30</v>
      </c>
      <c r="I108" s="137">
        <f>I109</f>
        <v>0</v>
      </c>
      <c r="J108" s="137">
        <f>J109</f>
        <v>0</v>
      </c>
      <c r="K108" s="180" t="s">
        <v>30</v>
      </c>
      <c r="L108" s="179" t="s">
        <v>30</v>
      </c>
      <c r="M108" s="137">
        <f>M109</f>
        <v>0</v>
      </c>
      <c r="N108" s="180" t="s">
        <v>30</v>
      </c>
      <c r="O108" s="137">
        <f>O109</f>
        <v>0</v>
      </c>
      <c r="P108" s="137">
        <f>P109</f>
        <v>0</v>
      </c>
      <c r="Q108" s="140"/>
    </row>
    <row r="109" spans="1:17" s="127" customFormat="1" hidden="1" x14ac:dyDescent="0.2">
      <c r="A109" s="223"/>
      <c r="B109" s="224"/>
      <c r="C109" s="135"/>
      <c r="D109" s="169"/>
      <c r="E109" s="170">
        <v>0</v>
      </c>
      <c r="F109" s="133"/>
      <c r="G109" s="171">
        <v>1</v>
      </c>
      <c r="H109" s="133"/>
      <c r="I109" s="133"/>
      <c r="J109" s="133"/>
      <c r="K109" s="182"/>
      <c r="L109" s="170"/>
      <c r="M109" s="133"/>
      <c r="N109" s="171"/>
      <c r="O109" s="133"/>
      <c r="P109" s="133"/>
      <c r="Q109" s="140"/>
    </row>
    <row r="110" spans="1:17" s="127" customFormat="1" ht="38.25" hidden="1" x14ac:dyDescent="0.2">
      <c r="A110" s="188" t="s">
        <v>159</v>
      </c>
      <c r="B110" s="165" t="s">
        <v>273</v>
      </c>
      <c r="C110" s="136" t="s">
        <v>123</v>
      </c>
      <c r="D110" s="178" t="s">
        <v>265</v>
      </c>
      <c r="E110" s="179" t="s">
        <v>30</v>
      </c>
      <c r="F110" s="137">
        <f>F111+F113+F115+F118</f>
        <v>0</v>
      </c>
      <c r="G110" s="180" t="s">
        <v>30</v>
      </c>
      <c r="H110" s="179" t="s">
        <v>30</v>
      </c>
      <c r="I110" s="137">
        <f>I111+I113+I115+I118</f>
        <v>0</v>
      </c>
      <c r="J110" s="137">
        <f>J111+J113+J115+J118</f>
        <v>0</v>
      </c>
      <c r="K110" s="180" t="s">
        <v>30</v>
      </c>
      <c r="L110" s="179" t="s">
        <v>30</v>
      </c>
      <c r="M110" s="137">
        <f>M111+M113+M115+M118</f>
        <v>0</v>
      </c>
      <c r="N110" s="180" t="s">
        <v>30</v>
      </c>
      <c r="O110" s="137">
        <f>O111+O113+O115</f>
        <v>0</v>
      </c>
      <c r="P110" s="137">
        <f>P111+P113+P115</f>
        <v>0</v>
      </c>
      <c r="Q110" s="140"/>
    </row>
    <row r="111" spans="1:17" s="127" customFormat="1" ht="38.25" hidden="1" x14ac:dyDescent="0.2">
      <c r="A111" s="198" t="s">
        <v>160</v>
      </c>
      <c r="B111" s="199"/>
      <c r="C111" s="211" t="s">
        <v>124</v>
      </c>
      <c r="D111" s="201"/>
      <c r="E111" s="202" t="s">
        <v>30</v>
      </c>
      <c r="F111" s="168">
        <f>SUM(F112:F112)</f>
        <v>0</v>
      </c>
      <c r="G111" s="203" t="s">
        <v>30</v>
      </c>
      <c r="H111" s="202" t="s">
        <v>30</v>
      </c>
      <c r="I111" s="168">
        <f>SUM(I112:I112)</f>
        <v>0</v>
      </c>
      <c r="J111" s="168">
        <f>SUM(J112:J112)</f>
        <v>0</v>
      </c>
      <c r="K111" s="203" t="s">
        <v>30</v>
      </c>
      <c r="L111" s="203" t="s">
        <v>30</v>
      </c>
      <c r="M111" s="168">
        <f>SUM(M112:M112)</f>
        <v>0</v>
      </c>
      <c r="N111" s="203" t="s">
        <v>30</v>
      </c>
      <c r="O111" s="168">
        <f>SUM(O112:O112)</f>
        <v>0</v>
      </c>
      <c r="P111" s="168">
        <f>SUM(P112:P112)</f>
        <v>0</v>
      </c>
      <c r="Q111" s="290"/>
    </row>
    <row r="112" spans="1:17" s="127" customFormat="1" hidden="1" x14ac:dyDescent="0.2">
      <c r="A112" s="223"/>
      <c r="B112" s="224"/>
      <c r="C112" s="141"/>
      <c r="D112" s="169"/>
      <c r="E112" s="170"/>
      <c r="F112" s="133"/>
      <c r="G112" s="171"/>
      <c r="H112" s="170"/>
      <c r="I112" s="133"/>
      <c r="J112" s="133"/>
      <c r="K112" s="171"/>
      <c r="L112" s="171"/>
      <c r="M112" s="133"/>
      <c r="N112" s="171"/>
      <c r="O112" s="133"/>
      <c r="P112" s="133"/>
      <c r="Q112" s="140"/>
    </row>
    <row r="113" spans="1:17" s="129" customFormat="1" ht="27" hidden="1" x14ac:dyDescent="0.25">
      <c r="A113" s="196" t="s">
        <v>161</v>
      </c>
      <c r="B113" s="164"/>
      <c r="C113" s="212" t="s">
        <v>125</v>
      </c>
      <c r="D113" s="213"/>
      <c r="E113" s="214" t="s">
        <v>30</v>
      </c>
      <c r="F113" s="181">
        <f>SUM(F114:F114)</f>
        <v>0</v>
      </c>
      <c r="G113" s="215" t="s">
        <v>30</v>
      </c>
      <c r="H113" s="214" t="s">
        <v>30</v>
      </c>
      <c r="I113" s="181">
        <f>SUM(I114:I114)</f>
        <v>0</v>
      </c>
      <c r="J113" s="181">
        <f>SUM(J114:J114)</f>
        <v>0</v>
      </c>
      <c r="K113" s="215" t="s">
        <v>30</v>
      </c>
      <c r="L113" s="215" t="s">
        <v>30</v>
      </c>
      <c r="M113" s="181">
        <f>SUM(M114:M114)</f>
        <v>0</v>
      </c>
      <c r="N113" s="215" t="s">
        <v>30</v>
      </c>
      <c r="O113" s="134">
        <f>SUM(O114:O114)</f>
        <v>0</v>
      </c>
      <c r="P113" s="134">
        <f>SUM(P114:P114)</f>
        <v>0</v>
      </c>
      <c r="Q113" s="290"/>
    </row>
    <row r="114" spans="1:17" s="127" customFormat="1" hidden="1" x14ac:dyDescent="0.2">
      <c r="A114" s="223"/>
      <c r="B114" s="224"/>
      <c r="C114" s="135" t="s">
        <v>200</v>
      </c>
      <c r="D114" s="169" t="s">
        <v>187</v>
      </c>
      <c r="E114" s="170">
        <v>0</v>
      </c>
      <c r="F114" s="133">
        <v>0</v>
      </c>
      <c r="G114" s="171">
        <v>0</v>
      </c>
      <c r="H114" s="170">
        <v>0</v>
      </c>
      <c r="I114" s="133">
        <v>0</v>
      </c>
      <c r="J114" s="133">
        <v>0</v>
      </c>
      <c r="K114" s="171">
        <v>0</v>
      </c>
      <c r="L114" s="133">
        <v>0</v>
      </c>
      <c r="M114" s="133"/>
      <c r="N114" s="171">
        <v>1</v>
      </c>
      <c r="O114" s="133">
        <v>0</v>
      </c>
      <c r="P114" s="133">
        <v>0</v>
      </c>
      <c r="Q114" s="140"/>
    </row>
    <row r="115" spans="1:17" s="127" customFormat="1" ht="40.5" hidden="1" x14ac:dyDescent="0.25">
      <c r="A115" s="198" t="s">
        <v>162</v>
      </c>
      <c r="B115" s="199"/>
      <c r="C115" s="212" t="s">
        <v>126</v>
      </c>
      <c r="D115" s="216"/>
      <c r="E115" s="202" t="s">
        <v>30</v>
      </c>
      <c r="F115" s="168">
        <f>SUM(F116:F117)</f>
        <v>0</v>
      </c>
      <c r="G115" s="203" t="s">
        <v>30</v>
      </c>
      <c r="H115" s="202" t="s">
        <v>30</v>
      </c>
      <c r="I115" s="168">
        <f>SUM(I116:I117)</f>
        <v>0</v>
      </c>
      <c r="J115" s="168">
        <f>SUM(J116:J117)</f>
        <v>0</v>
      </c>
      <c r="K115" s="203" t="s">
        <v>30</v>
      </c>
      <c r="L115" s="203" t="s">
        <v>30</v>
      </c>
      <c r="M115" s="168">
        <f>SUM(M116:M117)</f>
        <v>0</v>
      </c>
      <c r="N115" s="203" t="s">
        <v>30</v>
      </c>
      <c r="O115" s="168">
        <f t="shared" ref="O115:P115" si="13">SUM(O116:O117)</f>
        <v>0</v>
      </c>
      <c r="P115" s="168">
        <f t="shared" si="13"/>
        <v>0</v>
      </c>
      <c r="Q115" s="290"/>
    </row>
    <row r="116" spans="1:17" s="127" customFormat="1" hidden="1" x14ac:dyDescent="0.2">
      <c r="A116" s="223"/>
      <c r="B116" s="224"/>
      <c r="C116" s="135"/>
      <c r="D116" s="169" t="s">
        <v>187</v>
      </c>
      <c r="E116" s="170"/>
      <c r="F116" s="133"/>
      <c r="G116" s="171"/>
      <c r="H116" s="170">
        <v>0</v>
      </c>
      <c r="I116" s="133">
        <v>0</v>
      </c>
      <c r="J116" s="133">
        <v>0</v>
      </c>
      <c r="K116" s="171" t="e">
        <f>I116/H116</f>
        <v>#DIV/0!</v>
      </c>
      <c r="L116" s="170"/>
      <c r="M116" s="133"/>
      <c r="N116" s="171"/>
      <c r="O116" s="133"/>
      <c r="P116" s="133"/>
      <c r="Q116" s="140"/>
    </row>
    <row r="117" spans="1:17" s="127" customFormat="1" hidden="1" x14ac:dyDescent="0.2">
      <c r="A117" s="223"/>
      <c r="B117" s="224"/>
      <c r="C117" s="135"/>
      <c r="D117" s="169" t="s">
        <v>187</v>
      </c>
      <c r="E117" s="170"/>
      <c r="F117" s="133"/>
      <c r="G117" s="171"/>
      <c r="H117" s="170">
        <v>0</v>
      </c>
      <c r="I117" s="133">
        <v>0</v>
      </c>
      <c r="J117" s="133">
        <v>0</v>
      </c>
      <c r="K117" s="171" t="e">
        <f>I117/H117</f>
        <v>#DIV/0!</v>
      </c>
      <c r="L117" s="170"/>
      <c r="M117" s="133"/>
      <c r="N117" s="171"/>
      <c r="O117" s="133"/>
      <c r="P117" s="133"/>
      <c r="Q117" s="140"/>
    </row>
    <row r="118" spans="1:17" s="127" customFormat="1" ht="40.5" hidden="1" x14ac:dyDescent="0.25">
      <c r="A118" s="223"/>
      <c r="B118" s="224"/>
      <c r="C118" s="212" t="s">
        <v>233</v>
      </c>
      <c r="D118" s="213"/>
      <c r="E118" s="214" t="s">
        <v>30</v>
      </c>
      <c r="F118" s="181">
        <f>SUM(F119:F119)</f>
        <v>0</v>
      </c>
      <c r="G118" s="215" t="s">
        <v>30</v>
      </c>
      <c r="H118" s="214" t="s">
        <v>30</v>
      </c>
      <c r="I118" s="181">
        <f>SUM(I119:I119)</f>
        <v>0</v>
      </c>
      <c r="J118" s="181">
        <f>SUM(J119:J119)</f>
        <v>0</v>
      </c>
      <c r="K118" s="215" t="s">
        <v>30</v>
      </c>
      <c r="L118" s="215" t="s">
        <v>30</v>
      </c>
      <c r="M118" s="181">
        <f>SUM(M119:M119)</f>
        <v>0</v>
      </c>
      <c r="N118" s="215" t="s">
        <v>30</v>
      </c>
      <c r="O118" s="133"/>
      <c r="P118" s="133"/>
      <c r="Q118" s="140"/>
    </row>
    <row r="119" spans="1:17" s="127" customFormat="1" ht="25.5" hidden="1" x14ac:dyDescent="0.2">
      <c r="A119" s="223"/>
      <c r="B119" s="224"/>
      <c r="C119" s="135" t="s">
        <v>238</v>
      </c>
      <c r="D119" s="169" t="s">
        <v>187</v>
      </c>
      <c r="E119" s="170">
        <v>0</v>
      </c>
      <c r="F119" s="133"/>
      <c r="G119" s="171"/>
      <c r="H119" s="170">
        <v>0</v>
      </c>
      <c r="I119" s="133">
        <v>0</v>
      </c>
      <c r="J119" s="133">
        <v>0</v>
      </c>
      <c r="K119" s="171">
        <v>0</v>
      </c>
      <c r="L119" s="133">
        <v>0</v>
      </c>
      <c r="M119" s="133"/>
      <c r="N119" s="171">
        <v>1</v>
      </c>
      <c r="O119" s="133"/>
      <c r="P119" s="133"/>
      <c r="Q119" s="140"/>
    </row>
    <row r="120" spans="1:17" s="127" customFormat="1" ht="38.25" hidden="1" x14ac:dyDescent="0.2">
      <c r="A120" s="223"/>
      <c r="B120" s="165" t="s">
        <v>274</v>
      </c>
      <c r="C120" s="209" t="s">
        <v>377</v>
      </c>
      <c r="D120" s="178" t="s">
        <v>266</v>
      </c>
      <c r="E120" s="179" t="s">
        <v>30</v>
      </c>
      <c r="F120" s="137">
        <f>F121+F122</f>
        <v>0</v>
      </c>
      <c r="G120" s="180" t="s">
        <v>30</v>
      </c>
      <c r="H120" s="179" t="s">
        <v>30</v>
      </c>
      <c r="I120" s="137">
        <f>I121+I122</f>
        <v>0</v>
      </c>
      <c r="J120" s="137">
        <f>J121+J122</f>
        <v>0</v>
      </c>
      <c r="K120" s="180" t="s">
        <v>30</v>
      </c>
      <c r="L120" s="179" t="s">
        <v>30</v>
      </c>
      <c r="M120" s="137">
        <f t="shared" ref="M120" si="14">M121+M122</f>
        <v>0</v>
      </c>
      <c r="N120" s="179" t="s">
        <v>30</v>
      </c>
      <c r="O120" s="137">
        <f t="shared" ref="O120:P120" si="15">O121+O122</f>
        <v>0</v>
      </c>
      <c r="P120" s="137">
        <f t="shared" si="15"/>
        <v>0</v>
      </c>
      <c r="Q120" s="140"/>
    </row>
    <row r="121" spans="1:17" s="127" customFormat="1" ht="25.5" hidden="1" x14ac:dyDescent="0.2">
      <c r="A121" s="223"/>
      <c r="B121" s="224"/>
      <c r="C121" s="142" t="s">
        <v>191</v>
      </c>
      <c r="D121" s="169" t="s">
        <v>213</v>
      </c>
      <c r="E121" s="170"/>
      <c r="F121" s="133"/>
      <c r="G121" s="171"/>
      <c r="H121" s="217"/>
      <c r="I121" s="133"/>
      <c r="J121" s="133"/>
      <c r="K121" s="182" t="e">
        <f>I121/H121</f>
        <v>#DIV/0!</v>
      </c>
      <c r="L121" s="170"/>
      <c r="M121" s="133"/>
      <c r="N121" s="171"/>
      <c r="O121" s="133"/>
      <c r="P121" s="133"/>
      <c r="Q121" s="140"/>
    </row>
    <row r="122" spans="1:17" s="127" customFormat="1" hidden="1" x14ac:dyDescent="0.2">
      <c r="A122" s="223"/>
      <c r="B122" s="224"/>
      <c r="C122" s="142"/>
      <c r="D122" s="169"/>
      <c r="E122" s="170"/>
      <c r="F122" s="133"/>
      <c r="G122" s="171"/>
      <c r="H122" s="170"/>
      <c r="I122" s="133"/>
      <c r="J122" s="133"/>
      <c r="K122" s="171"/>
      <c r="L122" s="170"/>
      <c r="M122" s="133"/>
      <c r="N122" s="171"/>
      <c r="O122" s="133"/>
      <c r="P122" s="133"/>
      <c r="Q122" s="140"/>
    </row>
    <row r="123" spans="1:17" ht="38.25" x14ac:dyDescent="0.2">
      <c r="A123" s="340" t="s">
        <v>163</v>
      </c>
      <c r="B123" s="340" t="s">
        <v>275</v>
      </c>
      <c r="C123" s="341" t="s">
        <v>128</v>
      </c>
      <c r="D123" s="393" t="s">
        <v>163</v>
      </c>
      <c r="E123" s="343" t="s">
        <v>30</v>
      </c>
      <c r="F123" s="344">
        <f>F124+F125</f>
        <v>0</v>
      </c>
      <c r="G123" s="345" t="s">
        <v>30</v>
      </c>
      <c r="H123" s="343" t="s">
        <v>30</v>
      </c>
      <c r="I123" s="344">
        <f>I124+I125</f>
        <v>-41350</v>
      </c>
      <c r="J123" s="344">
        <f>J124+J125</f>
        <v>-249523</v>
      </c>
      <c r="K123" s="345" t="s">
        <v>30</v>
      </c>
      <c r="L123" s="343" t="s">
        <v>30</v>
      </c>
      <c r="M123" s="344">
        <f t="shared" ref="M123" si="16">M124+M125</f>
        <v>0</v>
      </c>
      <c r="N123" s="343" t="s">
        <v>30</v>
      </c>
      <c r="O123" s="344">
        <f t="shared" ref="O123:P123" si="17">O124+O125</f>
        <v>0</v>
      </c>
      <c r="P123" s="344">
        <f t="shared" si="17"/>
        <v>0</v>
      </c>
      <c r="Q123" s="338"/>
    </row>
    <row r="124" spans="1:17" ht="25.5" x14ac:dyDescent="0.2">
      <c r="A124" s="333"/>
      <c r="B124" s="333"/>
      <c r="C124" s="394" t="s">
        <v>280</v>
      </c>
      <c r="D124" s="335" t="s">
        <v>213</v>
      </c>
      <c r="E124" s="349">
        <v>0</v>
      </c>
      <c r="F124" s="336">
        <v>0</v>
      </c>
      <c r="G124" s="350">
        <v>0</v>
      </c>
      <c r="H124" s="336">
        <v>846640</v>
      </c>
      <c r="I124" s="336">
        <v>0</v>
      </c>
      <c r="J124" s="336">
        <f>-30000-141610-36564-21000-49000+70000</f>
        <v>-208174</v>
      </c>
      <c r="K124" s="337">
        <f>I124/H124</f>
        <v>0</v>
      </c>
      <c r="L124" s="349">
        <v>0</v>
      </c>
      <c r="M124" s="336">
        <v>0</v>
      </c>
      <c r="N124" s="350">
        <v>0</v>
      </c>
      <c r="O124" s="336"/>
      <c r="P124" s="336"/>
      <c r="Q124" s="338" t="s">
        <v>533</v>
      </c>
    </row>
    <row r="125" spans="1:17" ht="25.5" x14ac:dyDescent="0.2">
      <c r="A125" s="333"/>
      <c r="B125" s="333"/>
      <c r="C125" s="394" t="s">
        <v>292</v>
      </c>
      <c r="D125" s="335" t="s">
        <v>213</v>
      </c>
      <c r="E125" s="349">
        <v>0</v>
      </c>
      <c r="F125" s="336">
        <v>0</v>
      </c>
      <c r="G125" s="350">
        <v>0</v>
      </c>
      <c r="H125" s="336">
        <v>160000</v>
      </c>
      <c r="I125" s="336">
        <v>-41350</v>
      </c>
      <c r="J125" s="336">
        <v>-41349</v>
      </c>
      <c r="K125" s="337">
        <f>I125/H125</f>
        <v>-0.25843749999999999</v>
      </c>
      <c r="L125" s="349">
        <v>0</v>
      </c>
      <c r="M125" s="336">
        <v>0</v>
      </c>
      <c r="N125" s="350">
        <v>0</v>
      </c>
      <c r="O125" s="336"/>
      <c r="P125" s="336"/>
      <c r="Q125" s="338" t="s">
        <v>514</v>
      </c>
    </row>
    <row r="126" spans="1:17" ht="38.25" x14ac:dyDescent="0.2">
      <c r="A126" s="340" t="s">
        <v>164</v>
      </c>
      <c r="B126" s="340" t="s">
        <v>159</v>
      </c>
      <c r="C126" s="341" t="s">
        <v>129</v>
      </c>
      <c r="D126" s="393" t="s">
        <v>164</v>
      </c>
      <c r="E126" s="343" t="s">
        <v>30</v>
      </c>
      <c r="F126" s="344">
        <f>F127+F128</f>
        <v>0</v>
      </c>
      <c r="G126" s="345" t="s">
        <v>30</v>
      </c>
      <c r="H126" s="343" t="s">
        <v>30</v>
      </c>
      <c r="I126" s="344">
        <f>I127+I128</f>
        <v>-83602</v>
      </c>
      <c r="J126" s="195">
        <f>J127+J128</f>
        <v>-43102</v>
      </c>
      <c r="K126" s="345" t="s">
        <v>30</v>
      </c>
      <c r="L126" s="343" t="s">
        <v>30</v>
      </c>
      <c r="M126" s="344">
        <f t="shared" ref="M126" si="18">M127+M128</f>
        <v>0</v>
      </c>
      <c r="N126" s="343" t="s">
        <v>30</v>
      </c>
      <c r="O126" s="344">
        <f t="shared" ref="O126:P126" si="19">O127+O128</f>
        <v>0</v>
      </c>
      <c r="P126" s="344">
        <f t="shared" si="19"/>
        <v>0</v>
      </c>
      <c r="Q126" s="346"/>
    </row>
    <row r="127" spans="1:17" x14ac:dyDescent="0.2">
      <c r="A127" s="333"/>
      <c r="B127" s="333"/>
      <c r="C127" s="338" t="s">
        <v>294</v>
      </c>
      <c r="D127" s="335" t="s">
        <v>187</v>
      </c>
      <c r="E127" s="349">
        <v>0</v>
      </c>
      <c r="F127" s="336">
        <v>0</v>
      </c>
      <c r="G127" s="350">
        <v>0</v>
      </c>
      <c r="H127" s="339">
        <v>791000</v>
      </c>
      <c r="I127" s="336">
        <v>-16035</v>
      </c>
      <c r="J127" s="336">
        <v>-16035</v>
      </c>
      <c r="K127" s="337">
        <f>I127/H127</f>
        <v>-2.0271807838179518E-2</v>
      </c>
      <c r="L127" s="349">
        <v>0</v>
      </c>
      <c r="M127" s="336">
        <v>0</v>
      </c>
      <c r="N127" s="350">
        <v>0</v>
      </c>
      <c r="O127" s="336"/>
      <c r="P127" s="336"/>
      <c r="Q127" s="338" t="s">
        <v>514</v>
      </c>
    </row>
    <row r="128" spans="1:17" x14ac:dyDescent="0.2">
      <c r="A128" s="333"/>
      <c r="B128" s="333"/>
      <c r="C128" s="394" t="s">
        <v>349</v>
      </c>
      <c r="D128" s="335" t="s">
        <v>187</v>
      </c>
      <c r="E128" s="349">
        <v>0</v>
      </c>
      <c r="F128" s="336">
        <v>0</v>
      </c>
      <c r="G128" s="350">
        <v>0</v>
      </c>
      <c r="H128" s="349">
        <v>169000</v>
      </c>
      <c r="I128" s="336">
        <v>-67567</v>
      </c>
      <c r="J128" s="336">
        <f>-67567+40500</f>
        <v>-27067</v>
      </c>
      <c r="K128" s="337">
        <f>I128/H128</f>
        <v>-0.39980473372781067</v>
      </c>
      <c r="L128" s="349">
        <v>0</v>
      </c>
      <c r="M128" s="336">
        <v>0</v>
      </c>
      <c r="N128" s="350">
        <v>0</v>
      </c>
      <c r="O128" s="336"/>
      <c r="P128" s="336"/>
      <c r="Q128" s="338" t="s">
        <v>514</v>
      </c>
    </row>
    <row r="129" spans="1:17" ht="51" hidden="1" x14ac:dyDescent="0.2">
      <c r="A129" s="340" t="s">
        <v>165</v>
      </c>
      <c r="B129" s="340" t="s">
        <v>266</v>
      </c>
      <c r="C129" s="341" t="s">
        <v>130</v>
      </c>
      <c r="D129" s="393" t="s">
        <v>165</v>
      </c>
      <c r="E129" s="343" t="s">
        <v>30</v>
      </c>
      <c r="F129" s="344">
        <f>F130+F131</f>
        <v>0</v>
      </c>
      <c r="G129" s="345" t="s">
        <v>30</v>
      </c>
      <c r="H129" s="343" t="s">
        <v>30</v>
      </c>
      <c r="I129" s="344">
        <f>I130+I131</f>
        <v>0</v>
      </c>
      <c r="J129" s="344">
        <f>J130+J131</f>
        <v>0</v>
      </c>
      <c r="K129" s="345" t="s">
        <v>30</v>
      </c>
      <c r="L129" s="343" t="s">
        <v>30</v>
      </c>
      <c r="M129" s="344">
        <f t="shared" ref="M129" si="20">M130+M131</f>
        <v>0</v>
      </c>
      <c r="N129" s="343" t="s">
        <v>30</v>
      </c>
      <c r="O129" s="344">
        <f t="shared" ref="O129:P129" si="21">O130+O131</f>
        <v>0</v>
      </c>
      <c r="P129" s="344">
        <f t="shared" si="21"/>
        <v>0</v>
      </c>
      <c r="Q129" s="338"/>
    </row>
    <row r="130" spans="1:17" hidden="1" x14ac:dyDescent="0.2">
      <c r="A130" s="333"/>
      <c r="B130" s="333"/>
      <c r="C130" s="394" t="s">
        <v>185</v>
      </c>
      <c r="D130" s="335" t="s">
        <v>187</v>
      </c>
      <c r="E130" s="349">
        <v>0</v>
      </c>
      <c r="F130" s="336"/>
      <c r="G130" s="350">
        <v>1</v>
      </c>
      <c r="H130" s="349"/>
      <c r="I130" s="336"/>
      <c r="J130" s="336"/>
      <c r="K130" s="350"/>
      <c r="L130" s="336"/>
      <c r="M130" s="336"/>
      <c r="N130" s="337"/>
      <c r="O130" s="336"/>
      <c r="P130" s="336"/>
      <c r="Q130" s="338"/>
    </row>
    <row r="131" spans="1:17" hidden="1" x14ac:dyDescent="0.2">
      <c r="A131" s="333"/>
      <c r="B131" s="333"/>
      <c r="C131" s="394"/>
      <c r="D131" s="335"/>
      <c r="E131" s="349"/>
      <c r="F131" s="336"/>
      <c r="G131" s="350"/>
      <c r="H131" s="349"/>
      <c r="I131" s="336"/>
      <c r="J131" s="336"/>
      <c r="K131" s="350"/>
      <c r="L131" s="349"/>
      <c r="M131" s="336"/>
      <c r="N131" s="350"/>
      <c r="O131" s="336"/>
      <c r="P131" s="336"/>
      <c r="Q131" s="338"/>
    </row>
    <row r="132" spans="1:17" ht="38.25" hidden="1" x14ac:dyDescent="0.2">
      <c r="A132" s="340" t="s">
        <v>166</v>
      </c>
      <c r="B132" s="340" t="s">
        <v>163</v>
      </c>
      <c r="C132" s="341" t="s">
        <v>131</v>
      </c>
      <c r="D132" s="393" t="s">
        <v>166</v>
      </c>
      <c r="E132" s="343" t="s">
        <v>30</v>
      </c>
      <c r="F132" s="344">
        <f>F133+F134</f>
        <v>0</v>
      </c>
      <c r="G132" s="345" t="s">
        <v>30</v>
      </c>
      <c r="H132" s="343" t="s">
        <v>30</v>
      </c>
      <c r="I132" s="344">
        <f>I133+I134</f>
        <v>0</v>
      </c>
      <c r="J132" s="344">
        <f>J133+J134</f>
        <v>0</v>
      </c>
      <c r="K132" s="345" t="s">
        <v>30</v>
      </c>
      <c r="L132" s="343" t="s">
        <v>30</v>
      </c>
      <c r="M132" s="344">
        <f t="shared" ref="M132" si="22">M133+M134</f>
        <v>0</v>
      </c>
      <c r="N132" s="343" t="s">
        <v>30</v>
      </c>
      <c r="O132" s="344">
        <f t="shared" ref="O132:P132" si="23">O133+O134</f>
        <v>0</v>
      </c>
      <c r="P132" s="344">
        <f t="shared" si="23"/>
        <v>0</v>
      </c>
      <c r="Q132" s="346"/>
    </row>
    <row r="133" spans="1:17" hidden="1" x14ac:dyDescent="0.2">
      <c r="A133" s="333"/>
      <c r="B133" s="333"/>
      <c r="C133" s="394" t="s">
        <v>212</v>
      </c>
      <c r="D133" s="335" t="s">
        <v>187</v>
      </c>
      <c r="E133" s="349"/>
      <c r="F133" s="336"/>
      <c r="G133" s="350"/>
      <c r="H133" s="349">
        <v>0</v>
      </c>
      <c r="I133" s="336"/>
      <c r="J133" s="336"/>
      <c r="K133" s="350">
        <v>1</v>
      </c>
      <c r="L133" s="336">
        <v>0</v>
      </c>
      <c r="M133" s="336"/>
      <c r="N133" s="337">
        <v>1</v>
      </c>
      <c r="O133" s="336"/>
      <c r="P133" s="336"/>
      <c r="Q133" s="338"/>
    </row>
    <row r="134" spans="1:17" hidden="1" x14ac:dyDescent="0.2">
      <c r="A134" s="333"/>
      <c r="B134" s="333"/>
      <c r="C134" s="394"/>
      <c r="D134" s="335"/>
      <c r="E134" s="349"/>
      <c r="F134" s="336"/>
      <c r="G134" s="350"/>
      <c r="H134" s="349"/>
      <c r="I134" s="336"/>
      <c r="J134" s="336"/>
      <c r="K134" s="350"/>
      <c r="L134" s="349"/>
      <c r="M134" s="336"/>
      <c r="N134" s="350"/>
      <c r="O134" s="336"/>
      <c r="P134" s="336"/>
      <c r="Q134" s="338"/>
    </row>
    <row r="135" spans="1:17" ht="38.25" hidden="1" x14ac:dyDescent="0.2">
      <c r="A135" s="340" t="s">
        <v>167</v>
      </c>
      <c r="B135" s="340" t="s">
        <v>164</v>
      </c>
      <c r="C135" s="352" t="s">
        <v>132</v>
      </c>
      <c r="D135" s="393" t="s">
        <v>167</v>
      </c>
      <c r="E135" s="343" t="s">
        <v>30</v>
      </c>
      <c r="F135" s="344">
        <f>SUM(F136:F137)</f>
        <v>0</v>
      </c>
      <c r="G135" s="345" t="s">
        <v>30</v>
      </c>
      <c r="H135" s="343" t="s">
        <v>30</v>
      </c>
      <c r="I135" s="344">
        <f>SUM(I136:I137)</f>
        <v>0</v>
      </c>
      <c r="J135" s="344">
        <f>SUM(J136:J137)</f>
        <v>0</v>
      </c>
      <c r="K135" s="345" t="s">
        <v>30</v>
      </c>
      <c r="L135" s="343" t="s">
        <v>30</v>
      </c>
      <c r="M135" s="344">
        <f>SUM(M136:M137)</f>
        <v>0</v>
      </c>
      <c r="N135" s="343" t="s">
        <v>30</v>
      </c>
      <c r="O135" s="344">
        <f t="shared" ref="O135:P135" si="24">SUM(O136:O137)</f>
        <v>0</v>
      </c>
      <c r="P135" s="344">
        <f t="shared" si="24"/>
        <v>0</v>
      </c>
      <c r="Q135" s="346"/>
    </row>
    <row r="136" spans="1:17" hidden="1" x14ac:dyDescent="0.2">
      <c r="A136" s="333"/>
      <c r="B136" s="333"/>
      <c r="C136" s="384" t="s">
        <v>298</v>
      </c>
      <c r="D136" s="335" t="s">
        <v>187</v>
      </c>
      <c r="E136" s="349"/>
      <c r="F136" s="336"/>
      <c r="G136" s="350"/>
      <c r="H136" s="349"/>
      <c r="I136" s="336"/>
      <c r="J136" s="336"/>
      <c r="K136" s="350"/>
      <c r="L136" s="336">
        <v>0</v>
      </c>
      <c r="M136" s="336"/>
      <c r="N136" s="337">
        <v>1</v>
      </c>
      <c r="O136" s="336"/>
      <c r="P136" s="336"/>
      <c r="Q136" s="338"/>
    </row>
    <row r="137" spans="1:17" hidden="1" x14ac:dyDescent="0.2">
      <c r="A137" s="333"/>
      <c r="B137" s="333"/>
      <c r="C137" s="384" t="s">
        <v>379</v>
      </c>
      <c r="D137" s="335" t="s">
        <v>187</v>
      </c>
      <c r="E137" s="349"/>
      <c r="F137" s="336"/>
      <c r="G137" s="350"/>
      <c r="H137" s="349"/>
      <c r="I137" s="336"/>
      <c r="J137" s="336"/>
      <c r="K137" s="350"/>
      <c r="L137" s="336">
        <v>0</v>
      </c>
      <c r="M137" s="336"/>
      <c r="N137" s="337"/>
      <c r="O137" s="336"/>
      <c r="P137" s="336"/>
      <c r="Q137" s="338"/>
    </row>
    <row r="138" spans="1:17" ht="38.25" x14ac:dyDescent="0.2">
      <c r="A138" s="340" t="s">
        <v>168</v>
      </c>
      <c r="B138" s="340" t="s">
        <v>165</v>
      </c>
      <c r="C138" s="352" t="s">
        <v>133</v>
      </c>
      <c r="D138" s="342" t="s">
        <v>168</v>
      </c>
      <c r="E138" s="343" t="s">
        <v>30</v>
      </c>
      <c r="F138" s="344">
        <f>F139+F141+F145+F147</f>
        <v>0</v>
      </c>
      <c r="G138" s="345" t="s">
        <v>30</v>
      </c>
      <c r="H138" s="343" t="s">
        <v>30</v>
      </c>
      <c r="I138" s="344">
        <f>I139+I141+I145+I147</f>
        <v>0</v>
      </c>
      <c r="J138" s="344">
        <f>J139+J141+J145+J147</f>
        <v>0</v>
      </c>
      <c r="K138" s="345" t="s">
        <v>30</v>
      </c>
      <c r="L138" s="343" t="s">
        <v>30</v>
      </c>
      <c r="M138" s="344">
        <f>M139+M141+M145+M147</f>
        <v>2670900</v>
      </c>
      <c r="N138" s="343" t="s">
        <v>30</v>
      </c>
      <c r="O138" s="344">
        <f t="shared" ref="O138:P138" si="25">O139+O141+O145+O147</f>
        <v>0</v>
      </c>
      <c r="P138" s="344">
        <f t="shared" si="25"/>
        <v>0</v>
      </c>
      <c r="Q138" s="338"/>
    </row>
    <row r="139" spans="1:17" s="391" customFormat="1" ht="40.5" hidden="1" x14ac:dyDescent="0.25">
      <c r="A139" s="385" t="s">
        <v>169</v>
      </c>
      <c r="B139" s="385"/>
      <c r="C139" s="405" t="s">
        <v>134</v>
      </c>
      <c r="D139" s="406"/>
      <c r="E139" s="388" t="s">
        <v>30</v>
      </c>
      <c r="F139" s="389">
        <f>SUM(F140:F140)</f>
        <v>0</v>
      </c>
      <c r="G139" s="390" t="s">
        <v>30</v>
      </c>
      <c r="H139" s="388" t="s">
        <v>30</v>
      </c>
      <c r="I139" s="389">
        <f>SUM(I140:I140)</f>
        <v>0</v>
      </c>
      <c r="J139" s="389">
        <f>SUM(J140:J140)</f>
        <v>0</v>
      </c>
      <c r="K139" s="390" t="s">
        <v>30</v>
      </c>
      <c r="L139" s="390" t="s">
        <v>30</v>
      </c>
      <c r="M139" s="389">
        <f>SUM(M140:M140)</f>
        <v>0</v>
      </c>
      <c r="N139" s="390" t="s">
        <v>30</v>
      </c>
      <c r="O139" s="389">
        <f>SUM(O140:O140)</f>
        <v>0</v>
      </c>
      <c r="P139" s="389">
        <f>SUM(P140:P140)</f>
        <v>0</v>
      </c>
      <c r="Q139" s="407"/>
    </row>
    <row r="140" spans="1:17" ht="18" hidden="1" customHeight="1" x14ac:dyDescent="0.2">
      <c r="A140" s="333"/>
      <c r="B140" s="333"/>
      <c r="C140" s="358" t="s">
        <v>232</v>
      </c>
      <c r="D140" s="335" t="s">
        <v>187</v>
      </c>
      <c r="E140" s="349"/>
      <c r="F140" s="336"/>
      <c r="G140" s="350"/>
      <c r="H140" s="349"/>
      <c r="I140" s="336"/>
      <c r="J140" s="336"/>
      <c r="K140" s="350"/>
      <c r="L140" s="336">
        <v>0</v>
      </c>
      <c r="M140" s="336"/>
      <c r="N140" s="337">
        <v>1</v>
      </c>
      <c r="O140" s="336"/>
      <c r="P140" s="336"/>
      <c r="Q140" s="338"/>
    </row>
    <row r="141" spans="1:17" s="391" customFormat="1" ht="27" x14ac:dyDescent="0.25">
      <c r="A141" s="385" t="s">
        <v>170</v>
      </c>
      <c r="B141" s="385"/>
      <c r="C141" s="405" t="s">
        <v>135</v>
      </c>
      <c r="D141" s="406"/>
      <c r="E141" s="388" t="s">
        <v>30</v>
      </c>
      <c r="F141" s="389">
        <f>SUM(F142:F144)</f>
        <v>0</v>
      </c>
      <c r="G141" s="390" t="s">
        <v>30</v>
      </c>
      <c r="H141" s="388" t="s">
        <v>30</v>
      </c>
      <c r="I141" s="389">
        <f>SUM(I142:I144)</f>
        <v>0</v>
      </c>
      <c r="J141" s="389">
        <f>SUM(J142:J144)</f>
        <v>0</v>
      </c>
      <c r="K141" s="390" t="s">
        <v>30</v>
      </c>
      <c r="L141" s="390" t="s">
        <v>30</v>
      </c>
      <c r="M141" s="389">
        <f>SUM(M142:M144)</f>
        <v>2670900</v>
      </c>
      <c r="N141" s="390" t="s">
        <v>30</v>
      </c>
      <c r="O141" s="389">
        <f t="shared" ref="O141:P141" si="26">SUM(O142:O144)</f>
        <v>0</v>
      </c>
      <c r="P141" s="389">
        <f t="shared" si="26"/>
        <v>0</v>
      </c>
      <c r="Q141" s="346"/>
    </row>
    <row r="142" spans="1:17" x14ac:dyDescent="0.2">
      <c r="A142" s="333"/>
      <c r="B142" s="333"/>
      <c r="C142" s="358" t="s">
        <v>210</v>
      </c>
      <c r="D142" s="335" t="s">
        <v>187</v>
      </c>
      <c r="E142" s="349">
        <v>0</v>
      </c>
      <c r="F142" s="336">
        <v>0</v>
      </c>
      <c r="G142" s="350">
        <v>0</v>
      </c>
      <c r="H142" s="349">
        <v>0</v>
      </c>
      <c r="I142" s="336">
        <v>0</v>
      </c>
      <c r="J142" s="336">
        <v>0</v>
      </c>
      <c r="K142" s="350">
        <v>0</v>
      </c>
      <c r="L142" s="336">
        <v>25942700</v>
      </c>
      <c r="M142" s="329">
        <v>2670900</v>
      </c>
      <c r="N142" s="337">
        <f>M142/L142</f>
        <v>0.10295381745153742</v>
      </c>
      <c r="O142" s="336">
        <v>0</v>
      </c>
      <c r="P142" s="339"/>
      <c r="Q142" s="408"/>
    </row>
    <row r="143" spans="1:17" ht="25.5" hidden="1" x14ac:dyDescent="0.2">
      <c r="A143" s="333"/>
      <c r="B143" s="333"/>
      <c r="C143" s="358" t="s">
        <v>504</v>
      </c>
      <c r="D143" s="335" t="s">
        <v>187</v>
      </c>
      <c r="E143" s="349"/>
      <c r="F143" s="336"/>
      <c r="G143" s="350"/>
      <c r="H143" s="349"/>
      <c r="I143" s="336"/>
      <c r="J143" s="336"/>
      <c r="K143" s="350"/>
      <c r="L143" s="336"/>
      <c r="M143" s="329"/>
      <c r="N143" s="337" t="e">
        <f>M143/L143</f>
        <v>#DIV/0!</v>
      </c>
      <c r="O143" s="336"/>
      <c r="P143" s="339"/>
      <c r="Q143" s="408"/>
    </row>
    <row r="144" spans="1:17" hidden="1" x14ac:dyDescent="0.2">
      <c r="A144" s="333"/>
      <c r="B144" s="333"/>
      <c r="C144" s="358"/>
      <c r="D144" s="335" t="s">
        <v>187</v>
      </c>
      <c r="E144" s="349"/>
      <c r="F144" s="336"/>
      <c r="G144" s="350"/>
      <c r="H144" s="349"/>
      <c r="I144" s="336"/>
      <c r="J144" s="336"/>
      <c r="K144" s="350"/>
      <c r="L144" s="336"/>
      <c r="M144" s="329"/>
      <c r="N144" s="337">
        <v>1</v>
      </c>
      <c r="O144" s="336"/>
      <c r="P144" s="339"/>
      <c r="Q144" s="408"/>
    </row>
    <row r="145" spans="1:17" ht="54" hidden="1" x14ac:dyDescent="0.25">
      <c r="A145" s="333"/>
      <c r="B145" s="333"/>
      <c r="C145" s="405" t="s">
        <v>230</v>
      </c>
      <c r="D145" s="406"/>
      <c r="E145" s="388" t="s">
        <v>30</v>
      </c>
      <c r="F145" s="389">
        <f>SUM(F146:F146)</f>
        <v>0</v>
      </c>
      <c r="G145" s="390" t="s">
        <v>30</v>
      </c>
      <c r="H145" s="388" t="s">
        <v>30</v>
      </c>
      <c r="I145" s="389">
        <f>SUM(I146:I146)</f>
        <v>0</v>
      </c>
      <c r="J145" s="389">
        <f>SUM(J146:J146)</f>
        <v>0</v>
      </c>
      <c r="K145" s="390" t="s">
        <v>30</v>
      </c>
      <c r="L145" s="390" t="s">
        <v>30</v>
      </c>
      <c r="M145" s="389">
        <f>SUM(M146:M146)</f>
        <v>0</v>
      </c>
      <c r="N145" s="390" t="s">
        <v>30</v>
      </c>
      <c r="O145" s="389">
        <f t="shared" ref="O145:P145" si="27">SUM(O146:O146)</f>
        <v>0</v>
      </c>
      <c r="P145" s="389">
        <f t="shared" si="27"/>
        <v>0</v>
      </c>
      <c r="Q145" s="408"/>
    </row>
    <row r="146" spans="1:17" hidden="1" x14ac:dyDescent="0.2">
      <c r="A146" s="333"/>
      <c r="B146" s="333"/>
      <c r="C146" s="358" t="s">
        <v>62</v>
      </c>
      <c r="D146" s="335" t="s">
        <v>187</v>
      </c>
      <c r="E146" s="349"/>
      <c r="F146" s="336"/>
      <c r="G146" s="350"/>
      <c r="H146" s="349"/>
      <c r="I146" s="336"/>
      <c r="J146" s="336"/>
      <c r="K146" s="350"/>
      <c r="L146" s="336">
        <v>0</v>
      </c>
      <c r="M146" s="336"/>
      <c r="N146" s="337">
        <v>1</v>
      </c>
      <c r="O146" s="336"/>
      <c r="P146" s="336"/>
      <c r="Q146" s="408"/>
    </row>
    <row r="147" spans="1:17" ht="40.5" hidden="1" x14ac:dyDescent="0.25">
      <c r="A147" s="333"/>
      <c r="B147" s="333"/>
      <c r="C147" s="405" t="s">
        <v>231</v>
      </c>
      <c r="D147" s="406"/>
      <c r="E147" s="388" t="s">
        <v>30</v>
      </c>
      <c r="F147" s="389">
        <f>SUM(F148:F148)</f>
        <v>0</v>
      </c>
      <c r="G147" s="390" t="s">
        <v>30</v>
      </c>
      <c r="H147" s="388" t="s">
        <v>30</v>
      </c>
      <c r="I147" s="389">
        <f>SUM(I148:I148)</f>
        <v>0</v>
      </c>
      <c r="J147" s="389">
        <f>SUM(J148:J148)</f>
        <v>0</v>
      </c>
      <c r="K147" s="390" t="s">
        <v>30</v>
      </c>
      <c r="L147" s="390" t="s">
        <v>30</v>
      </c>
      <c r="M147" s="389">
        <f>SUM(M148:M148)</f>
        <v>0</v>
      </c>
      <c r="N147" s="390" t="s">
        <v>30</v>
      </c>
      <c r="O147" s="389">
        <f t="shared" ref="O147:P147" si="28">SUM(O148:O148)</f>
        <v>0</v>
      </c>
      <c r="P147" s="389">
        <f t="shared" si="28"/>
        <v>0</v>
      </c>
      <c r="Q147" s="408"/>
    </row>
    <row r="148" spans="1:17" hidden="1" x14ac:dyDescent="0.2">
      <c r="A148" s="333"/>
      <c r="B148" s="333"/>
      <c r="C148" s="358" t="s">
        <v>471</v>
      </c>
      <c r="D148" s="335" t="s">
        <v>187</v>
      </c>
      <c r="E148" s="349"/>
      <c r="F148" s="336"/>
      <c r="G148" s="350"/>
      <c r="H148" s="349"/>
      <c r="I148" s="336"/>
      <c r="J148" s="336"/>
      <c r="K148" s="350"/>
      <c r="L148" s="339">
        <v>0</v>
      </c>
      <c r="M148" s="336"/>
      <c r="N148" s="337">
        <v>1</v>
      </c>
      <c r="O148" s="336"/>
      <c r="P148" s="336"/>
      <c r="Q148" s="408"/>
    </row>
    <row r="149" spans="1:17" ht="38.25" x14ac:dyDescent="0.2">
      <c r="A149" s="340" t="s">
        <v>171</v>
      </c>
      <c r="B149" s="340" t="s">
        <v>166</v>
      </c>
      <c r="C149" s="341" t="s">
        <v>136</v>
      </c>
      <c r="D149" s="342" t="s">
        <v>171</v>
      </c>
      <c r="E149" s="343" t="s">
        <v>30</v>
      </c>
      <c r="F149" s="344">
        <f t="shared" ref="F149" si="29">F150+F151</f>
        <v>0</v>
      </c>
      <c r="G149" s="345" t="s">
        <v>30</v>
      </c>
      <c r="H149" s="343" t="s">
        <v>30</v>
      </c>
      <c r="I149" s="344">
        <f>I150+I151</f>
        <v>-50000</v>
      </c>
      <c r="J149" s="344">
        <f>J150+J151</f>
        <v>-50000</v>
      </c>
      <c r="K149" s="345" t="s">
        <v>30</v>
      </c>
      <c r="L149" s="343" t="s">
        <v>30</v>
      </c>
      <c r="M149" s="344">
        <f t="shared" ref="M149" si="30">M150+M151</f>
        <v>0</v>
      </c>
      <c r="N149" s="343" t="s">
        <v>30</v>
      </c>
      <c r="O149" s="344">
        <f t="shared" ref="O149:P149" si="31">O150+O151</f>
        <v>0</v>
      </c>
      <c r="P149" s="344">
        <f t="shared" si="31"/>
        <v>0</v>
      </c>
      <c r="Q149" s="346"/>
    </row>
    <row r="150" spans="1:17" hidden="1" x14ac:dyDescent="0.2">
      <c r="A150" s="333"/>
      <c r="B150" s="333"/>
      <c r="C150" s="347" t="s">
        <v>351</v>
      </c>
      <c r="D150" s="348" t="s">
        <v>187</v>
      </c>
      <c r="E150" s="349"/>
      <c r="F150" s="336"/>
      <c r="G150" s="350"/>
      <c r="H150" s="336"/>
      <c r="I150" s="336"/>
      <c r="J150" s="336"/>
      <c r="K150" s="350" t="e">
        <f>I150/H150</f>
        <v>#DIV/0!</v>
      </c>
      <c r="L150" s="349"/>
      <c r="M150" s="336"/>
      <c r="N150" s="350"/>
      <c r="O150" s="336"/>
      <c r="P150" s="336"/>
      <c r="Q150" s="338"/>
    </row>
    <row r="151" spans="1:17" x14ac:dyDescent="0.2">
      <c r="A151" s="333"/>
      <c r="B151" s="333"/>
      <c r="C151" s="347" t="s">
        <v>348</v>
      </c>
      <c r="D151" s="348"/>
      <c r="E151" s="349">
        <v>0</v>
      </c>
      <c r="F151" s="336">
        <v>0</v>
      </c>
      <c r="G151" s="350">
        <v>0</v>
      </c>
      <c r="H151" s="336">
        <v>448250</v>
      </c>
      <c r="I151" s="336">
        <v>-50000</v>
      </c>
      <c r="J151" s="336">
        <v>-50000</v>
      </c>
      <c r="K151" s="350">
        <f>I151/H151</f>
        <v>-0.11154489682097044</v>
      </c>
      <c r="L151" s="349">
        <v>0</v>
      </c>
      <c r="M151" s="336">
        <v>0</v>
      </c>
      <c r="N151" s="350">
        <v>0</v>
      </c>
      <c r="O151" s="336"/>
      <c r="P151" s="336"/>
      <c r="Q151" s="338" t="s">
        <v>514</v>
      </c>
    </row>
    <row r="152" spans="1:17" ht="25.5" hidden="1" x14ac:dyDescent="0.2">
      <c r="A152" s="340" t="s">
        <v>172</v>
      </c>
      <c r="B152" s="340" t="s">
        <v>167</v>
      </c>
      <c r="C152" s="352" t="s">
        <v>137</v>
      </c>
      <c r="D152" s="342" t="s">
        <v>172</v>
      </c>
      <c r="E152" s="343" t="s">
        <v>30</v>
      </c>
      <c r="F152" s="344">
        <f t="shared" ref="F152" si="32">F153+F154</f>
        <v>0</v>
      </c>
      <c r="G152" s="345" t="s">
        <v>30</v>
      </c>
      <c r="H152" s="343" t="s">
        <v>30</v>
      </c>
      <c r="I152" s="344">
        <f t="shared" ref="I152:J152" si="33">I153+I154</f>
        <v>0</v>
      </c>
      <c r="J152" s="344">
        <f t="shared" si="33"/>
        <v>0</v>
      </c>
      <c r="K152" s="345" t="s">
        <v>30</v>
      </c>
      <c r="L152" s="343" t="s">
        <v>30</v>
      </c>
      <c r="M152" s="344">
        <f t="shared" ref="M152" si="34">M153+M154</f>
        <v>0</v>
      </c>
      <c r="N152" s="343" t="s">
        <v>30</v>
      </c>
      <c r="O152" s="344">
        <f t="shared" ref="O152:P152" si="35">O153+O154</f>
        <v>0</v>
      </c>
      <c r="P152" s="344">
        <f t="shared" si="35"/>
        <v>0</v>
      </c>
      <c r="Q152" s="338"/>
    </row>
    <row r="153" spans="1:17" ht="25.5" hidden="1" x14ac:dyDescent="0.2">
      <c r="A153" s="333"/>
      <c r="B153" s="333"/>
      <c r="C153" s="353" t="s">
        <v>180</v>
      </c>
      <c r="D153" s="335" t="s">
        <v>187</v>
      </c>
      <c r="E153" s="349"/>
      <c r="F153" s="336"/>
      <c r="G153" s="350"/>
      <c r="H153" s="349"/>
      <c r="I153" s="336"/>
      <c r="J153" s="336"/>
      <c r="K153" s="350"/>
      <c r="L153" s="336"/>
      <c r="M153" s="336"/>
      <c r="N153" s="350">
        <v>-1</v>
      </c>
      <c r="O153" s="336"/>
      <c r="P153" s="336"/>
      <c r="Q153" s="338"/>
    </row>
    <row r="154" spans="1:17" hidden="1" x14ac:dyDescent="0.2">
      <c r="A154" s="333"/>
      <c r="B154" s="333"/>
      <c r="C154" s="353"/>
      <c r="D154" s="348"/>
      <c r="E154" s="349"/>
      <c r="F154" s="336"/>
      <c r="G154" s="350"/>
      <c r="H154" s="349"/>
      <c r="I154" s="336"/>
      <c r="J154" s="336"/>
      <c r="K154" s="350"/>
      <c r="L154" s="349"/>
      <c r="M154" s="336"/>
      <c r="N154" s="350"/>
      <c r="O154" s="336"/>
      <c r="P154" s="336"/>
      <c r="Q154" s="338"/>
    </row>
    <row r="155" spans="1:17" ht="25.5" hidden="1" x14ac:dyDescent="0.2">
      <c r="A155" s="340" t="s">
        <v>173</v>
      </c>
      <c r="B155" s="340" t="s">
        <v>276</v>
      </c>
      <c r="C155" s="352" t="s">
        <v>127</v>
      </c>
      <c r="D155" s="342" t="s">
        <v>173</v>
      </c>
      <c r="E155" s="343" t="s">
        <v>30</v>
      </c>
      <c r="F155" s="344">
        <f>F156</f>
        <v>0</v>
      </c>
      <c r="G155" s="345" t="s">
        <v>30</v>
      </c>
      <c r="H155" s="343" t="s">
        <v>30</v>
      </c>
      <c r="I155" s="344">
        <f>I156</f>
        <v>0</v>
      </c>
      <c r="J155" s="344">
        <f>J156</f>
        <v>0</v>
      </c>
      <c r="K155" s="345" t="s">
        <v>30</v>
      </c>
      <c r="L155" s="343" t="s">
        <v>30</v>
      </c>
      <c r="M155" s="344">
        <f>M156</f>
        <v>0</v>
      </c>
      <c r="N155" s="343" t="s">
        <v>30</v>
      </c>
      <c r="O155" s="344">
        <f>O156</f>
        <v>0</v>
      </c>
      <c r="P155" s="344">
        <f>P156</f>
        <v>0</v>
      </c>
      <c r="Q155" s="338"/>
    </row>
    <row r="156" spans="1:17" hidden="1" x14ac:dyDescent="0.2">
      <c r="A156" s="333"/>
      <c r="B156" s="333"/>
      <c r="C156" s="338"/>
      <c r="D156" s="348"/>
      <c r="E156" s="349"/>
      <c r="F156" s="336"/>
      <c r="G156" s="350"/>
      <c r="H156" s="349"/>
      <c r="I156" s="336"/>
      <c r="J156" s="336"/>
      <c r="K156" s="350"/>
      <c r="L156" s="349"/>
      <c r="M156" s="336"/>
      <c r="N156" s="350"/>
      <c r="O156" s="336"/>
      <c r="P156" s="336"/>
      <c r="Q156" s="338"/>
    </row>
    <row r="157" spans="1:17" ht="25.5" x14ac:dyDescent="0.2">
      <c r="A157" s="340" t="s">
        <v>174</v>
      </c>
      <c r="B157" s="340" t="s">
        <v>168</v>
      </c>
      <c r="C157" s="341" t="s">
        <v>138</v>
      </c>
      <c r="D157" s="342" t="s">
        <v>174</v>
      </c>
      <c r="E157" s="343" t="s">
        <v>30</v>
      </c>
      <c r="F157" s="344">
        <f>SUM(F158:F160)</f>
        <v>0</v>
      </c>
      <c r="G157" s="345" t="s">
        <v>30</v>
      </c>
      <c r="H157" s="343" t="s">
        <v>30</v>
      </c>
      <c r="I157" s="344">
        <f>SUM(I158:I160)</f>
        <v>0</v>
      </c>
      <c r="J157" s="344">
        <f>SUM(J158:J160)</f>
        <v>0</v>
      </c>
      <c r="K157" s="345" t="s">
        <v>30</v>
      </c>
      <c r="L157" s="343" t="s">
        <v>30</v>
      </c>
      <c r="M157" s="344">
        <f>SUM(M158:M160)</f>
        <v>-338697</v>
      </c>
      <c r="N157" s="343" t="s">
        <v>30</v>
      </c>
      <c r="O157" s="344">
        <f t="shared" ref="O157:P157" si="36">SUM(O158:O160)</f>
        <v>0</v>
      </c>
      <c r="P157" s="344">
        <f t="shared" si="36"/>
        <v>0</v>
      </c>
      <c r="Q157" s="346"/>
    </row>
    <row r="158" spans="1:17" x14ac:dyDescent="0.2">
      <c r="A158" s="333"/>
      <c r="B158" s="333"/>
      <c r="C158" s="338" t="s">
        <v>267</v>
      </c>
      <c r="D158" s="335" t="s">
        <v>187</v>
      </c>
      <c r="E158" s="349">
        <v>0</v>
      </c>
      <c r="F158" s="336">
        <v>0</v>
      </c>
      <c r="G158" s="337">
        <v>0</v>
      </c>
      <c r="H158" s="349">
        <v>0</v>
      </c>
      <c r="I158" s="336">
        <v>0</v>
      </c>
      <c r="J158" s="336">
        <v>0</v>
      </c>
      <c r="K158" s="350">
        <v>0</v>
      </c>
      <c r="L158" s="336">
        <v>7402385</v>
      </c>
      <c r="M158" s="339">
        <v>-338697</v>
      </c>
      <c r="N158" s="337">
        <v>1</v>
      </c>
      <c r="O158" s="336">
        <v>0</v>
      </c>
      <c r="P158" s="336">
        <v>0</v>
      </c>
      <c r="Q158" s="338"/>
    </row>
    <row r="159" spans="1:17" ht="25.5" x14ac:dyDescent="0.2">
      <c r="A159" s="333"/>
      <c r="B159" s="333"/>
      <c r="C159" s="338" t="s">
        <v>503</v>
      </c>
      <c r="D159" s="335" t="s">
        <v>187</v>
      </c>
      <c r="E159" s="349">
        <v>0</v>
      </c>
      <c r="F159" s="336">
        <v>0</v>
      </c>
      <c r="G159" s="337">
        <v>0</v>
      </c>
      <c r="H159" s="349">
        <v>0</v>
      </c>
      <c r="I159" s="336">
        <v>0</v>
      </c>
      <c r="J159" s="336">
        <v>0</v>
      </c>
      <c r="K159" s="350">
        <v>0</v>
      </c>
      <c r="L159" s="336">
        <v>0</v>
      </c>
      <c r="M159" s="339">
        <v>0</v>
      </c>
      <c r="N159" s="337">
        <v>0</v>
      </c>
      <c r="O159" s="336">
        <v>0</v>
      </c>
      <c r="P159" s="336">
        <v>0</v>
      </c>
      <c r="Q159" s="338"/>
    </row>
    <row r="160" spans="1:17" x14ac:dyDescent="0.2">
      <c r="A160" s="333"/>
      <c r="B160" s="333"/>
      <c r="C160" s="338" t="s">
        <v>391</v>
      </c>
      <c r="D160" s="335" t="s">
        <v>187</v>
      </c>
      <c r="E160" s="349">
        <v>0</v>
      </c>
      <c r="F160" s="336">
        <v>0</v>
      </c>
      <c r="G160" s="337">
        <v>0</v>
      </c>
      <c r="H160" s="349">
        <v>0</v>
      </c>
      <c r="I160" s="336">
        <v>0</v>
      </c>
      <c r="J160" s="336">
        <v>0</v>
      </c>
      <c r="K160" s="350">
        <v>0</v>
      </c>
      <c r="L160" s="336">
        <v>0</v>
      </c>
      <c r="M160" s="336">
        <v>0</v>
      </c>
      <c r="N160" s="337">
        <v>1</v>
      </c>
      <c r="O160" s="336">
        <v>0</v>
      </c>
      <c r="P160" s="336">
        <v>0</v>
      </c>
      <c r="Q160" s="338"/>
    </row>
    <row r="161" spans="1:17" ht="25.5" hidden="1" x14ac:dyDescent="0.2">
      <c r="A161" s="340" t="s">
        <v>175</v>
      </c>
      <c r="B161" s="340" t="s">
        <v>277</v>
      </c>
      <c r="C161" s="354" t="s">
        <v>139</v>
      </c>
      <c r="D161" s="342" t="s">
        <v>175</v>
      </c>
      <c r="E161" s="343" t="s">
        <v>30</v>
      </c>
      <c r="F161" s="344">
        <f t="shared" ref="F161" si="37">F162+F163</f>
        <v>0</v>
      </c>
      <c r="G161" s="345" t="s">
        <v>30</v>
      </c>
      <c r="H161" s="343" t="s">
        <v>30</v>
      </c>
      <c r="I161" s="344">
        <f t="shared" ref="I161:J161" si="38">I162+I163</f>
        <v>0</v>
      </c>
      <c r="J161" s="344">
        <f t="shared" si="38"/>
        <v>0</v>
      </c>
      <c r="K161" s="345" t="s">
        <v>30</v>
      </c>
      <c r="L161" s="343" t="s">
        <v>30</v>
      </c>
      <c r="M161" s="344">
        <f t="shared" ref="M161" si="39">M162+M163</f>
        <v>0</v>
      </c>
      <c r="N161" s="343" t="s">
        <v>30</v>
      </c>
      <c r="O161" s="344">
        <f t="shared" ref="O161:P161" si="40">O162+O163</f>
        <v>0</v>
      </c>
      <c r="P161" s="344">
        <f t="shared" si="40"/>
        <v>0</v>
      </c>
      <c r="Q161" s="346"/>
    </row>
    <row r="162" spans="1:17" hidden="1" x14ac:dyDescent="0.2">
      <c r="A162" s="333"/>
      <c r="B162" s="333"/>
      <c r="C162" s="353" t="s">
        <v>394</v>
      </c>
      <c r="D162" s="348" t="s">
        <v>187</v>
      </c>
      <c r="E162" s="349"/>
      <c r="F162" s="336"/>
      <c r="G162" s="350"/>
      <c r="H162" s="355"/>
      <c r="I162" s="336"/>
      <c r="J162" s="336"/>
      <c r="K162" s="350"/>
      <c r="L162" s="349">
        <v>0</v>
      </c>
      <c r="M162" s="336"/>
      <c r="N162" s="337">
        <v>1</v>
      </c>
      <c r="O162" s="336"/>
      <c r="P162" s="336"/>
      <c r="Q162" s="338"/>
    </row>
    <row r="163" spans="1:17" hidden="1" x14ac:dyDescent="0.2">
      <c r="A163" s="333"/>
      <c r="B163" s="333"/>
      <c r="C163" s="353"/>
      <c r="D163" s="348"/>
      <c r="E163" s="349"/>
      <c r="F163" s="336"/>
      <c r="G163" s="350"/>
      <c r="H163" s="349"/>
      <c r="I163" s="336"/>
      <c r="J163" s="336"/>
      <c r="K163" s="350"/>
      <c r="L163" s="349"/>
      <c r="M163" s="336"/>
      <c r="N163" s="350"/>
      <c r="O163" s="336"/>
      <c r="P163" s="336"/>
      <c r="Q163" s="338"/>
    </row>
    <row r="164" spans="1:17" ht="38.25" hidden="1" x14ac:dyDescent="0.2">
      <c r="A164" s="340" t="s">
        <v>176</v>
      </c>
      <c r="B164" s="340" t="s">
        <v>171</v>
      </c>
      <c r="C164" s="354" t="s">
        <v>140</v>
      </c>
      <c r="D164" s="342" t="s">
        <v>176</v>
      </c>
      <c r="E164" s="343" t="s">
        <v>30</v>
      </c>
      <c r="F164" s="344">
        <f t="shared" ref="F164" si="41">F165+F166</f>
        <v>0</v>
      </c>
      <c r="G164" s="345" t="s">
        <v>30</v>
      </c>
      <c r="H164" s="343" t="s">
        <v>30</v>
      </c>
      <c r="I164" s="344">
        <f t="shared" ref="I164:J164" si="42">I165+I166</f>
        <v>0</v>
      </c>
      <c r="J164" s="344">
        <f t="shared" si="42"/>
        <v>0</v>
      </c>
      <c r="K164" s="345" t="s">
        <v>30</v>
      </c>
      <c r="L164" s="343" t="s">
        <v>30</v>
      </c>
      <c r="M164" s="344">
        <f t="shared" ref="M164" si="43">M165+M166</f>
        <v>0</v>
      </c>
      <c r="N164" s="343" t="s">
        <v>30</v>
      </c>
      <c r="O164" s="344">
        <f t="shared" ref="O164:P164" si="44">O165+O166</f>
        <v>0</v>
      </c>
      <c r="P164" s="344">
        <f t="shared" si="44"/>
        <v>0</v>
      </c>
      <c r="Q164" s="346"/>
    </row>
    <row r="165" spans="1:17" ht="25.5" hidden="1" x14ac:dyDescent="0.2">
      <c r="A165" s="333"/>
      <c r="B165" s="333"/>
      <c r="C165" s="338" t="s">
        <v>192</v>
      </c>
      <c r="D165" s="348" t="s">
        <v>187</v>
      </c>
      <c r="E165" s="349"/>
      <c r="F165" s="336"/>
      <c r="G165" s="350"/>
      <c r="H165" s="336"/>
      <c r="I165" s="336"/>
      <c r="J165" s="336"/>
      <c r="K165" s="350">
        <v>0</v>
      </c>
      <c r="L165" s="349"/>
      <c r="M165" s="336"/>
      <c r="N165" s="350"/>
      <c r="O165" s="336"/>
      <c r="P165" s="336"/>
      <c r="Q165" s="338"/>
    </row>
    <row r="166" spans="1:17" hidden="1" x14ac:dyDescent="0.2">
      <c r="A166" s="333"/>
      <c r="B166" s="333"/>
      <c r="C166" s="338" t="s">
        <v>209</v>
      </c>
      <c r="D166" s="348" t="s">
        <v>187</v>
      </c>
      <c r="E166" s="349"/>
      <c r="F166" s="336"/>
      <c r="G166" s="350"/>
      <c r="H166" s="336"/>
      <c r="I166" s="336"/>
      <c r="J166" s="336"/>
      <c r="K166" s="350">
        <v>0</v>
      </c>
      <c r="L166" s="349"/>
      <c r="M166" s="336"/>
      <c r="N166" s="350"/>
      <c r="O166" s="336"/>
      <c r="P166" s="336"/>
      <c r="Q166" s="338"/>
    </row>
    <row r="167" spans="1:17" ht="25.5" hidden="1" x14ac:dyDescent="0.2">
      <c r="A167" s="333"/>
      <c r="B167" s="340" t="s">
        <v>172</v>
      </c>
      <c r="C167" s="354" t="s">
        <v>193</v>
      </c>
      <c r="D167" s="342" t="s">
        <v>268</v>
      </c>
      <c r="E167" s="343" t="s">
        <v>30</v>
      </c>
      <c r="F167" s="344">
        <f>F168</f>
        <v>0</v>
      </c>
      <c r="G167" s="345" t="s">
        <v>30</v>
      </c>
      <c r="H167" s="343" t="s">
        <v>30</v>
      </c>
      <c r="I167" s="344">
        <f>I168</f>
        <v>0</v>
      </c>
      <c r="J167" s="344">
        <f>J168</f>
        <v>0</v>
      </c>
      <c r="K167" s="345" t="s">
        <v>30</v>
      </c>
      <c r="L167" s="343" t="s">
        <v>30</v>
      </c>
      <c r="M167" s="344">
        <f>M168</f>
        <v>0</v>
      </c>
      <c r="N167" s="343" t="s">
        <v>30</v>
      </c>
      <c r="O167" s="344">
        <f t="shared" ref="O167:P167" si="45">O168</f>
        <v>0</v>
      </c>
      <c r="P167" s="344">
        <f t="shared" si="45"/>
        <v>0</v>
      </c>
      <c r="Q167" s="338"/>
    </row>
    <row r="168" spans="1:17" hidden="1" x14ac:dyDescent="0.2">
      <c r="A168" s="333"/>
      <c r="B168" s="333"/>
      <c r="C168" s="338" t="s">
        <v>306</v>
      </c>
      <c r="D168" s="348" t="s">
        <v>187</v>
      </c>
      <c r="E168" s="349"/>
      <c r="F168" s="336"/>
      <c r="G168" s="350"/>
      <c r="H168" s="336"/>
      <c r="I168" s="336"/>
      <c r="J168" s="336"/>
      <c r="K168" s="350">
        <v>0</v>
      </c>
      <c r="L168" s="349"/>
      <c r="M168" s="336"/>
      <c r="N168" s="350"/>
      <c r="O168" s="336"/>
      <c r="P168" s="336"/>
      <c r="Q168" s="338"/>
    </row>
    <row r="169" spans="1:17" hidden="1" x14ac:dyDescent="0.2">
      <c r="A169" s="333"/>
      <c r="B169" s="333"/>
      <c r="C169" s="338"/>
      <c r="D169" s="348"/>
      <c r="E169" s="349"/>
      <c r="F169" s="336"/>
      <c r="G169" s="350"/>
      <c r="H169" s="336"/>
      <c r="I169" s="336"/>
      <c r="J169" s="336"/>
      <c r="K169" s="350"/>
      <c r="L169" s="349"/>
      <c r="M169" s="336"/>
      <c r="N169" s="350"/>
      <c r="O169" s="336"/>
      <c r="P169" s="336"/>
      <c r="Q169" s="338"/>
    </row>
    <row r="170" spans="1:17" ht="25.5" x14ac:dyDescent="0.2">
      <c r="A170" s="333"/>
      <c r="B170" s="340" t="s">
        <v>173</v>
      </c>
      <c r="C170" s="356" t="s">
        <v>228</v>
      </c>
      <c r="D170" s="342" t="s">
        <v>269</v>
      </c>
      <c r="E170" s="343" t="s">
        <v>30</v>
      </c>
      <c r="F170" s="344">
        <f>SUM(F171:F177)</f>
        <v>0</v>
      </c>
      <c r="G170" s="343" t="s">
        <v>30</v>
      </c>
      <c r="H170" s="343" t="s">
        <v>30</v>
      </c>
      <c r="I170" s="344">
        <f>SUM(I171:I177)</f>
        <v>0</v>
      </c>
      <c r="J170" s="344">
        <f>SUM(J171:J177)</f>
        <v>0</v>
      </c>
      <c r="K170" s="343" t="s">
        <v>30</v>
      </c>
      <c r="L170" s="343" t="s">
        <v>30</v>
      </c>
      <c r="M170" s="344">
        <f>SUM(M171:M177)</f>
        <v>-5661303</v>
      </c>
      <c r="N170" s="343" t="s">
        <v>30</v>
      </c>
      <c r="O170" s="344">
        <f t="shared" ref="O170:P170" si="46">SUM(O171:O177)</f>
        <v>0</v>
      </c>
      <c r="P170" s="344">
        <f t="shared" si="46"/>
        <v>0</v>
      </c>
      <c r="Q170" s="338"/>
    </row>
    <row r="171" spans="1:17" x14ac:dyDescent="0.2">
      <c r="A171" s="333"/>
      <c r="B171" s="333"/>
      <c r="C171" s="357" t="s">
        <v>388</v>
      </c>
      <c r="D171" s="348" t="s">
        <v>187</v>
      </c>
      <c r="E171" s="349">
        <v>0</v>
      </c>
      <c r="F171" s="336">
        <v>0</v>
      </c>
      <c r="G171" s="337">
        <v>0</v>
      </c>
      <c r="H171" s="349">
        <v>0</v>
      </c>
      <c r="I171" s="336">
        <v>0</v>
      </c>
      <c r="J171" s="336">
        <v>0</v>
      </c>
      <c r="K171" s="350">
        <v>0</v>
      </c>
      <c r="L171" s="336">
        <v>4769125</v>
      </c>
      <c r="M171" s="336">
        <v>28309</v>
      </c>
      <c r="N171" s="350">
        <f>M171/L171</f>
        <v>5.9358897072314103E-3</v>
      </c>
      <c r="O171" s="329"/>
      <c r="P171" s="329"/>
      <c r="Q171" s="338"/>
    </row>
    <row r="172" spans="1:17" ht="16.5" hidden="1" customHeight="1" x14ac:dyDescent="0.2">
      <c r="A172" s="333"/>
      <c r="B172" s="333"/>
      <c r="C172" s="358" t="s">
        <v>472</v>
      </c>
      <c r="D172" s="335" t="s">
        <v>187</v>
      </c>
      <c r="E172" s="349"/>
      <c r="F172" s="336"/>
      <c r="G172" s="350"/>
      <c r="H172" s="349"/>
      <c r="I172" s="336"/>
      <c r="J172" s="336"/>
      <c r="K172" s="350"/>
      <c r="L172" s="336"/>
      <c r="M172" s="336"/>
      <c r="N172" s="350" t="e">
        <f>M172/L172</f>
        <v>#DIV/0!</v>
      </c>
      <c r="O172" s="336"/>
      <c r="P172" s="339"/>
      <c r="Q172" s="338"/>
    </row>
    <row r="173" spans="1:17" ht="15" customHeight="1" x14ac:dyDescent="0.2">
      <c r="A173" s="333"/>
      <c r="B173" s="333"/>
      <c r="C173" s="358" t="s">
        <v>389</v>
      </c>
      <c r="D173" s="335" t="s">
        <v>187</v>
      </c>
      <c r="E173" s="349">
        <v>0</v>
      </c>
      <c r="F173" s="336">
        <v>0</v>
      </c>
      <c r="G173" s="337">
        <v>0</v>
      </c>
      <c r="H173" s="349">
        <v>0</v>
      </c>
      <c r="I173" s="336">
        <v>0</v>
      </c>
      <c r="J173" s="336">
        <v>0</v>
      </c>
      <c r="K173" s="350">
        <v>0</v>
      </c>
      <c r="L173" s="336">
        <v>12457914</v>
      </c>
      <c r="M173" s="336">
        <v>310388</v>
      </c>
      <c r="N173" s="350">
        <f>M173/L173</f>
        <v>2.491492556458489E-2</v>
      </c>
      <c r="O173" s="336"/>
      <c r="P173" s="339"/>
      <c r="Q173" s="338"/>
    </row>
    <row r="174" spans="1:17" ht="25.5" hidden="1" x14ac:dyDescent="0.2">
      <c r="A174" s="333"/>
      <c r="B174" s="333"/>
      <c r="C174" s="357" t="s">
        <v>510</v>
      </c>
      <c r="D174" s="348" t="s">
        <v>187</v>
      </c>
      <c r="E174" s="349"/>
      <c r="F174" s="336"/>
      <c r="G174" s="350"/>
      <c r="H174" s="336"/>
      <c r="I174" s="336"/>
      <c r="J174" s="336"/>
      <c r="K174" s="350"/>
      <c r="L174" s="355"/>
      <c r="M174" s="336"/>
      <c r="N174" s="350">
        <v>1</v>
      </c>
      <c r="O174" s="329"/>
      <c r="P174" s="329"/>
      <c r="Q174" s="338"/>
    </row>
    <row r="175" spans="1:17" ht="12.75" hidden="1" customHeight="1" x14ac:dyDescent="0.2">
      <c r="A175" s="333"/>
      <c r="B175" s="333"/>
      <c r="C175" s="357" t="s">
        <v>502</v>
      </c>
      <c r="D175" s="348" t="s">
        <v>187</v>
      </c>
      <c r="E175" s="349"/>
      <c r="F175" s="336"/>
      <c r="G175" s="350"/>
      <c r="H175" s="336"/>
      <c r="I175" s="336"/>
      <c r="J175" s="336"/>
      <c r="K175" s="350"/>
      <c r="L175" s="355"/>
      <c r="M175" s="336"/>
      <c r="N175" s="350" t="e">
        <f t="shared" ref="N175:N176" si="47">M175/L175</f>
        <v>#DIV/0!</v>
      </c>
      <c r="O175" s="329"/>
      <c r="P175" s="329"/>
      <c r="Q175" s="338"/>
    </row>
    <row r="176" spans="1:17" ht="15.75" customHeight="1" x14ac:dyDescent="0.2">
      <c r="A176" s="333"/>
      <c r="B176" s="333"/>
      <c r="C176" s="357" t="s">
        <v>527</v>
      </c>
      <c r="D176" s="348" t="s">
        <v>187</v>
      </c>
      <c r="E176" s="349">
        <v>0</v>
      </c>
      <c r="F176" s="336">
        <v>0</v>
      </c>
      <c r="G176" s="337">
        <v>0</v>
      </c>
      <c r="H176" s="349">
        <v>0</v>
      </c>
      <c r="I176" s="336">
        <v>0</v>
      </c>
      <c r="J176" s="336">
        <v>0</v>
      </c>
      <c r="K176" s="350">
        <v>0</v>
      </c>
      <c r="L176" s="336">
        <v>6000000</v>
      </c>
      <c r="M176" s="336">
        <v>-6000000</v>
      </c>
      <c r="N176" s="350">
        <f t="shared" si="47"/>
        <v>-1</v>
      </c>
      <c r="O176" s="329">
        <v>0</v>
      </c>
      <c r="P176" s="329"/>
      <c r="Q176" s="338"/>
    </row>
    <row r="177" spans="1:17" ht="15" hidden="1" customHeight="1" x14ac:dyDescent="0.2">
      <c r="A177" s="333"/>
      <c r="B177" s="333"/>
      <c r="C177" s="357" t="s">
        <v>505</v>
      </c>
      <c r="D177" s="348" t="s">
        <v>187</v>
      </c>
      <c r="E177" s="349"/>
      <c r="F177" s="336"/>
      <c r="G177" s="350"/>
      <c r="H177" s="336"/>
      <c r="I177" s="336"/>
      <c r="J177" s="336"/>
      <c r="K177" s="350"/>
      <c r="L177" s="349"/>
      <c r="M177" s="336"/>
      <c r="N177" s="350" t="e">
        <f>M177/L177</f>
        <v>#DIV/0!</v>
      </c>
      <c r="O177" s="329"/>
      <c r="P177" s="329"/>
      <c r="Q177" s="338"/>
    </row>
    <row r="178" spans="1:17" ht="38.25" hidden="1" x14ac:dyDescent="0.2">
      <c r="A178" s="333"/>
      <c r="B178" s="340" t="s">
        <v>174</v>
      </c>
      <c r="C178" s="356" t="s">
        <v>229</v>
      </c>
      <c r="D178" s="342" t="s">
        <v>271</v>
      </c>
      <c r="E178" s="343" t="s">
        <v>30</v>
      </c>
      <c r="F178" s="344">
        <f>SUM(F179:F182)</f>
        <v>0</v>
      </c>
      <c r="G178" s="343" t="s">
        <v>30</v>
      </c>
      <c r="H178" s="343" t="s">
        <v>30</v>
      </c>
      <c r="I178" s="344">
        <f>SUM(I179:I182)</f>
        <v>0</v>
      </c>
      <c r="J178" s="344">
        <f>SUM(J179:J182)</f>
        <v>0</v>
      </c>
      <c r="K178" s="343" t="s">
        <v>30</v>
      </c>
      <c r="L178" s="343" t="s">
        <v>30</v>
      </c>
      <c r="M178" s="344">
        <f>SUM(M179:M182)</f>
        <v>0</v>
      </c>
      <c r="N178" s="343" t="s">
        <v>30</v>
      </c>
      <c r="O178" s="344">
        <f>SUM(O179:O182)</f>
        <v>0</v>
      </c>
      <c r="P178" s="344">
        <f>SUM(P179:P182)</f>
        <v>0</v>
      </c>
      <c r="Q178" s="338"/>
    </row>
    <row r="179" spans="1:17" hidden="1" x14ac:dyDescent="0.2">
      <c r="A179" s="333"/>
      <c r="B179" s="333"/>
      <c r="C179" s="338" t="s">
        <v>270</v>
      </c>
      <c r="D179" s="348" t="s">
        <v>187</v>
      </c>
      <c r="E179" s="349"/>
      <c r="F179" s="336"/>
      <c r="G179" s="350"/>
      <c r="H179" s="336"/>
      <c r="I179" s="336"/>
      <c r="J179" s="336"/>
      <c r="K179" s="350"/>
      <c r="L179" s="336"/>
      <c r="M179" s="339"/>
      <c r="N179" s="350" t="e">
        <f>M179/L179</f>
        <v>#DIV/0!</v>
      </c>
      <c r="O179" s="336"/>
      <c r="P179" s="336"/>
      <c r="Q179" s="338"/>
    </row>
    <row r="180" spans="1:17" hidden="1" x14ac:dyDescent="0.2">
      <c r="A180" s="333"/>
      <c r="B180" s="333"/>
      <c r="C180" s="338" t="s">
        <v>272</v>
      </c>
      <c r="D180" s="348" t="s">
        <v>187</v>
      </c>
      <c r="E180" s="349"/>
      <c r="F180" s="336"/>
      <c r="G180" s="350"/>
      <c r="H180" s="336"/>
      <c r="I180" s="336"/>
      <c r="J180" s="336"/>
      <c r="K180" s="350"/>
      <c r="L180" s="336"/>
      <c r="M180" s="336"/>
      <c r="N180" s="350">
        <v>1</v>
      </c>
      <c r="O180" s="329"/>
      <c r="P180" s="329"/>
      <c r="Q180" s="338"/>
    </row>
    <row r="181" spans="1:17" hidden="1" x14ac:dyDescent="0.2">
      <c r="A181" s="333"/>
      <c r="B181" s="333"/>
      <c r="C181" s="338" t="s">
        <v>350</v>
      </c>
      <c r="D181" s="348" t="s">
        <v>187</v>
      </c>
      <c r="E181" s="349"/>
      <c r="F181" s="336"/>
      <c r="G181" s="350"/>
      <c r="H181" s="336"/>
      <c r="I181" s="336"/>
      <c r="J181" s="336"/>
      <c r="K181" s="350"/>
      <c r="L181" s="336"/>
      <c r="M181" s="336"/>
      <c r="N181" s="350">
        <v>1</v>
      </c>
      <c r="O181" s="329"/>
      <c r="P181" s="329"/>
      <c r="Q181" s="338"/>
    </row>
    <row r="182" spans="1:17" hidden="1" x14ac:dyDescent="0.2">
      <c r="A182" s="333"/>
      <c r="B182" s="333"/>
      <c r="C182" s="338" t="s">
        <v>390</v>
      </c>
      <c r="D182" s="348" t="s">
        <v>187</v>
      </c>
      <c r="E182" s="349"/>
      <c r="F182" s="336"/>
      <c r="G182" s="350"/>
      <c r="H182" s="336"/>
      <c r="I182" s="336"/>
      <c r="J182" s="336"/>
      <c r="K182" s="350"/>
      <c r="L182" s="336"/>
      <c r="M182" s="336"/>
      <c r="N182" s="350">
        <v>1</v>
      </c>
      <c r="O182" s="329"/>
      <c r="P182" s="329"/>
      <c r="Q182" s="338"/>
    </row>
    <row r="183" spans="1:17" ht="25.5" hidden="1" x14ac:dyDescent="0.2">
      <c r="A183" s="333"/>
      <c r="B183" s="340" t="s">
        <v>175</v>
      </c>
      <c r="C183" s="356" t="s">
        <v>297</v>
      </c>
      <c r="D183" s="342" t="s">
        <v>296</v>
      </c>
      <c r="E183" s="343" t="s">
        <v>30</v>
      </c>
      <c r="F183" s="344">
        <f>SUM(F184:F184)</f>
        <v>0</v>
      </c>
      <c r="G183" s="343" t="s">
        <v>30</v>
      </c>
      <c r="H183" s="343" t="s">
        <v>30</v>
      </c>
      <c r="I183" s="344">
        <f>SUM(I184:I184)</f>
        <v>0</v>
      </c>
      <c r="J183" s="344">
        <f>SUM(J184:J184)</f>
        <v>0</v>
      </c>
      <c r="K183" s="343" t="s">
        <v>30</v>
      </c>
      <c r="L183" s="343" t="s">
        <v>30</v>
      </c>
      <c r="M183" s="344">
        <f>SUM(M184:M184)</f>
        <v>0</v>
      </c>
      <c r="N183" s="343" t="s">
        <v>30</v>
      </c>
      <c r="O183" s="344">
        <f>SUM(O184:O184)</f>
        <v>0</v>
      </c>
      <c r="P183" s="344">
        <f>SUM(P184:P184)</f>
        <v>0</v>
      </c>
      <c r="Q183" s="338"/>
    </row>
    <row r="184" spans="1:17" hidden="1" x14ac:dyDescent="0.2">
      <c r="A184" s="333"/>
      <c r="B184" s="333"/>
      <c r="C184" s="338" t="s">
        <v>380</v>
      </c>
      <c r="D184" s="348" t="s">
        <v>187</v>
      </c>
      <c r="E184" s="349"/>
      <c r="F184" s="336"/>
      <c r="G184" s="350"/>
      <c r="H184" s="336"/>
      <c r="I184" s="336"/>
      <c r="J184" s="336"/>
      <c r="K184" s="350">
        <v>0</v>
      </c>
      <c r="L184" s="336"/>
      <c r="M184" s="336"/>
      <c r="N184" s="350"/>
      <c r="O184" s="336"/>
      <c r="P184" s="336"/>
      <c r="Q184" s="338"/>
    </row>
    <row r="185" spans="1:17" ht="25.5" hidden="1" x14ac:dyDescent="0.2">
      <c r="A185" s="333"/>
      <c r="B185" s="340" t="s">
        <v>176</v>
      </c>
      <c r="C185" s="356" t="s">
        <v>383</v>
      </c>
      <c r="D185" s="342" t="s">
        <v>382</v>
      </c>
      <c r="E185" s="343" t="s">
        <v>30</v>
      </c>
      <c r="F185" s="344">
        <f>SUM(F186:F186)</f>
        <v>0</v>
      </c>
      <c r="G185" s="343" t="s">
        <v>30</v>
      </c>
      <c r="H185" s="343" t="s">
        <v>30</v>
      </c>
      <c r="I185" s="344">
        <f>SUM(I186:I186)</f>
        <v>0</v>
      </c>
      <c r="J185" s="344">
        <f>SUM(J186:J186)</f>
        <v>0</v>
      </c>
      <c r="K185" s="343" t="s">
        <v>30</v>
      </c>
      <c r="L185" s="343" t="s">
        <v>30</v>
      </c>
      <c r="M185" s="344">
        <f>SUM(M186:M186)</f>
        <v>0</v>
      </c>
      <c r="N185" s="343" t="s">
        <v>30</v>
      </c>
      <c r="O185" s="344">
        <f>SUM(O186:O186)</f>
        <v>0</v>
      </c>
      <c r="P185" s="344">
        <f>SUM(P186:P186)</f>
        <v>0</v>
      </c>
      <c r="Q185" s="338"/>
    </row>
    <row r="186" spans="1:17" hidden="1" x14ac:dyDescent="0.2">
      <c r="A186" s="333"/>
      <c r="B186" s="333"/>
      <c r="C186" s="359" t="s">
        <v>384</v>
      </c>
      <c r="D186" s="348" t="s">
        <v>187</v>
      </c>
      <c r="E186" s="349"/>
      <c r="F186" s="336"/>
      <c r="G186" s="350"/>
      <c r="H186" s="336"/>
      <c r="I186" s="336">
        <v>0</v>
      </c>
      <c r="J186" s="336"/>
      <c r="K186" s="350" t="e">
        <f>I186/H186</f>
        <v>#DIV/0!</v>
      </c>
      <c r="L186" s="336"/>
      <c r="M186" s="336"/>
      <c r="N186" s="350"/>
      <c r="O186" s="336">
        <v>0</v>
      </c>
      <c r="P186" s="336">
        <v>0</v>
      </c>
      <c r="Q186" s="338"/>
    </row>
    <row r="187" spans="1:17" ht="47.25" hidden="1" x14ac:dyDescent="0.2">
      <c r="A187" s="333"/>
      <c r="B187" s="333"/>
      <c r="C187" s="360" t="s">
        <v>385</v>
      </c>
      <c r="D187" s="348" t="s">
        <v>187</v>
      </c>
      <c r="E187" s="349"/>
      <c r="F187" s="336"/>
      <c r="G187" s="350"/>
      <c r="H187" s="336"/>
      <c r="I187" s="336"/>
      <c r="J187" s="336"/>
      <c r="K187" s="350"/>
      <c r="L187" s="336"/>
      <c r="M187" s="336"/>
      <c r="N187" s="350"/>
      <c r="O187" s="336"/>
      <c r="P187" s="336"/>
      <c r="Q187" s="338"/>
    </row>
    <row r="188" spans="1:17" ht="25.5" hidden="1" x14ac:dyDescent="0.2">
      <c r="A188" s="333"/>
      <c r="B188" s="340" t="s">
        <v>268</v>
      </c>
      <c r="C188" s="356" t="s">
        <v>386</v>
      </c>
      <c r="D188" s="342" t="s">
        <v>381</v>
      </c>
      <c r="E188" s="343" t="s">
        <v>30</v>
      </c>
      <c r="F188" s="344">
        <f>SUM(F189:F189)</f>
        <v>0</v>
      </c>
      <c r="G188" s="343" t="s">
        <v>30</v>
      </c>
      <c r="H188" s="343" t="s">
        <v>30</v>
      </c>
      <c r="I188" s="344">
        <f>SUM(I189:I189)</f>
        <v>0</v>
      </c>
      <c r="J188" s="344">
        <f>SUM(J189:J189)</f>
        <v>0</v>
      </c>
      <c r="K188" s="343" t="s">
        <v>30</v>
      </c>
      <c r="L188" s="343" t="s">
        <v>30</v>
      </c>
      <c r="M188" s="344">
        <f>SUM(M189:M189)</f>
        <v>0</v>
      </c>
      <c r="N188" s="343" t="s">
        <v>30</v>
      </c>
      <c r="O188" s="344">
        <f>SUM(O189:O189)</f>
        <v>0</v>
      </c>
      <c r="P188" s="344">
        <f>SUM(P189:P189)</f>
        <v>0</v>
      </c>
      <c r="Q188" s="338"/>
    </row>
    <row r="189" spans="1:17" ht="38.25" hidden="1" x14ac:dyDescent="0.2">
      <c r="A189" s="333"/>
      <c r="B189" s="333"/>
      <c r="C189" s="338" t="s">
        <v>387</v>
      </c>
      <c r="D189" s="348" t="s">
        <v>187</v>
      </c>
      <c r="E189" s="349"/>
      <c r="F189" s="336"/>
      <c r="G189" s="350"/>
      <c r="H189" s="336"/>
      <c r="I189" s="336"/>
      <c r="J189" s="336"/>
      <c r="K189" s="350"/>
      <c r="L189" s="336">
        <v>0</v>
      </c>
      <c r="M189" s="336"/>
      <c r="N189" s="350">
        <v>1</v>
      </c>
      <c r="O189" s="336"/>
      <c r="P189" s="336"/>
      <c r="Q189" s="338"/>
    </row>
    <row r="190" spans="1:17" hidden="1" x14ac:dyDescent="0.2">
      <c r="A190" s="333"/>
      <c r="B190" s="340" t="s">
        <v>269</v>
      </c>
      <c r="C190" s="356"/>
      <c r="D190" s="342"/>
      <c r="E190" s="343" t="s">
        <v>30</v>
      </c>
      <c r="F190" s="344">
        <f>SUM(F191:F191)</f>
        <v>0</v>
      </c>
      <c r="G190" s="343" t="s">
        <v>30</v>
      </c>
      <c r="H190" s="343" t="s">
        <v>30</v>
      </c>
      <c r="I190" s="344">
        <f>SUM(I191:I191)</f>
        <v>0</v>
      </c>
      <c r="J190" s="344">
        <f>SUM(J191:J191)</f>
        <v>0</v>
      </c>
      <c r="K190" s="343" t="s">
        <v>30</v>
      </c>
      <c r="L190" s="343" t="s">
        <v>30</v>
      </c>
      <c r="M190" s="344">
        <f>SUM(M191:M191)</f>
        <v>0</v>
      </c>
      <c r="N190" s="343" t="s">
        <v>30</v>
      </c>
      <c r="O190" s="344">
        <f>SUM(O191:O191)</f>
        <v>0</v>
      </c>
      <c r="P190" s="344">
        <f>SUM(P191:P191)</f>
        <v>0</v>
      </c>
      <c r="Q190" s="338"/>
    </row>
    <row r="191" spans="1:17" hidden="1" x14ac:dyDescent="0.2">
      <c r="A191" s="333"/>
      <c r="B191" s="333"/>
      <c r="C191" s="338"/>
      <c r="D191" s="348"/>
      <c r="E191" s="349"/>
      <c r="F191" s="336"/>
      <c r="G191" s="350"/>
      <c r="H191" s="336"/>
      <c r="I191" s="336"/>
      <c r="J191" s="336"/>
      <c r="K191" s="350">
        <v>0</v>
      </c>
      <c r="L191" s="336"/>
      <c r="M191" s="336"/>
      <c r="N191" s="350"/>
      <c r="O191" s="336">
        <v>0</v>
      </c>
      <c r="P191" s="336">
        <v>0</v>
      </c>
      <c r="Q191" s="338"/>
    </row>
    <row r="192" spans="1:17" ht="13.5" x14ac:dyDescent="0.25">
      <c r="A192" s="361"/>
      <c r="B192" s="361"/>
      <c r="C192" s="362" t="s">
        <v>182</v>
      </c>
      <c r="D192" s="363"/>
      <c r="E192" s="364" t="s">
        <v>30</v>
      </c>
      <c r="F192" s="365">
        <f>F7+F23+F59+F97+F123+F126+F132+F135+F138+F149+F157+F170+F178+F183+F185+F188+F190+F161+F129+F120+F110+F89+F108</f>
        <v>10120474</v>
      </c>
      <c r="G192" s="366" t="s">
        <v>30</v>
      </c>
      <c r="H192" s="364" t="s">
        <v>30</v>
      </c>
      <c r="I192" s="365">
        <f>I7+I23+I59+I97+I123+I126+I132+I135+I138+I149+I157+I170+I178+I183+I185+I188+I190+I161+I129+I120+I110+I89+I164+I167+I152+I155</f>
        <v>13824676</v>
      </c>
      <c r="J192" s="365">
        <f>J7+J23+J59+J97+J123+J126+J132+J135+J138+J149+J157+J170+J178+J183+J185+J188+J190+J161+J129+J120+J110+J89+J164+J167+J152+J155+J47</f>
        <v>14639884</v>
      </c>
      <c r="K192" s="366" t="s">
        <v>30</v>
      </c>
      <c r="L192" s="364" t="s">
        <v>30</v>
      </c>
      <c r="M192" s="365">
        <f>M7+M23+M59+M97+M123+M126+M132+M135+M138+M149+M157+M170+M178+M183+M185+M188+M190+M161+M129+M120+M110+M89</f>
        <v>-3329100</v>
      </c>
      <c r="N192" s="366" t="s">
        <v>30</v>
      </c>
      <c r="O192" s="365">
        <f>O7+O23+O59+O97+O123+O126+O132+O135+O138+O149+O157+O170+O178+O183+O185+O188+O190+O161+O129+O120+O110+O89</f>
        <v>0</v>
      </c>
      <c r="P192" s="365">
        <f>P7+P23+P59+P97+P123+P126+P132+P135+P138+P149+P157+P170+P178+P183+P185+P188+P190+P161+P129+P120+P110+P89</f>
        <v>0</v>
      </c>
      <c r="Q192" s="338"/>
    </row>
    <row r="193" spans="1:17" ht="13.5" x14ac:dyDescent="0.25">
      <c r="A193" s="367"/>
      <c r="B193" s="367"/>
      <c r="C193" s="368" t="s">
        <v>101</v>
      </c>
      <c r="D193" s="502">
        <f>F192+J192+M192</f>
        <v>21431258</v>
      </c>
      <c r="E193" s="502"/>
      <c r="F193" s="502"/>
      <c r="G193" s="502"/>
      <c r="H193" s="502"/>
      <c r="I193" s="502"/>
      <c r="J193" s="502"/>
      <c r="K193" s="502"/>
      <c r="L193" s="502"/>
      <c r="M193" s="502"/>
      <c r="N193" s="502"/>
      <c r="O193" s="369">
        <f>O192</f>
        <v>0</v>
      </c>
      <c r="P193" s="369">
        <f>P192</f>
        <v>0</v>
      </c>
      <c r="Q193" s="338"/>
    </row>
    <row r="194" spans="1:17" ht="13.5" x14ac:dyDescent="0.25">
      <c r="A194" s="361"/>
      <c r="B194" s="361"/>
      <c r="C194" s="362" t="s">
        <v>102</v>
      </c>
      <c r="D194" s="363" t="s">
        <v>177</v>
      </c>
      <c r="E194" s="364" t="s">
        <v>30</v>
      </c>
      <c r="F194" s="365">
        <f>SUM(F195:F212)</f>
        <v>3237414</v>
      </c>
      <c r="G194" s="364" t="s">
        <v>30</v>
      </c>
      <c r="H194" s="364" t="s">
        <v>30</v>
      </c>
      <c r="I194" s="365">
        <f>SUM(I195:I212)</f>
        <v>15387299</v>
      </c>
      <c r="J194" s="365">
        <f>SUM(J195:J212)</f>
        <v>7728216</v>
      </c>
      <c r="K194" s="364"/>
      <c r="L194" s="364" t="s">
        <v>30</v>
      </c>
      <c r="M194" s="365">
        <f>SUM(M195:M212)</f>
        <v>-2600000</v>
      </c>
      <c r="N194" s="364" t="s">
        <v>30</v>
      </c>
      <c r="O194" s="365">
        <f>SUM(O195:O212)</f>
        <v>0</v>
      </c>
      <c r="P194" s="365">
        <f>SUM(P195:P212)</f>
        <v>0</v>
      </c>
      <c r="Q194" s="338"/>
    </row>
    <row r="195" spans="1:17" s="127" customFormat="1" ht="30.75" customHeight="1" x14ac:dyDescent="0.2">
      <c r="A195" s="411"/>
      <c r="B195" s="411"/>
      <c r="C195" s="130" t="s">
        <v>198</v>
      </c>
      <c r="D195" s="172" t="s">
        <v>281</v>
      </c>
      <c r="E195" s="161">
        <v>0</v>
      </c>
      <c r="F195" s="161">
        <v>0</v>
      </c>
      <c r="G195" s="322">
        <v>0</v>
      </c>
      <c r="H195" s="161">
        <v>27252075</v>
      </c>
      <c r="I195" s="161">
        <f>7178628-493887</f>
        <v>6684741</v>
      </c>
      <c r="J195" s="161">
        <f>-500000+550000+124992+230000+624960+350000+330000+321594+2112488-806454-574976+1010994</f>
        <v>3773598</v>
      </c>
      <c r="K195" s="322">
        <f>J195/H195</f>
        <v>0.13847011649571639</v>
      </c>
      <c r="L195" s="161">
        <v>0</v>
      </c>
      <c r="M195" s="161">
        <v>0</v>
      </c>
      <c r="N195" s="322">
        <v>0</v>
      </c>
      <c r="O195" s="139">
        <v>0</v>
      </c>
      <c r="P195" s="139">
        <v>0</v>
      </c>
      <c r="Q195" s="14"/>
    </row>
    <row r="196" spans="1:17" ht="51" x14ac:dyDescent="0.2">
      <c r="A196" s="333"/>
      <c r="B196" s="333"/>
      <c r="C196" s="334" t="s">
        <v>591</v>
      </c>
      <c r="D196" s="335" t="s">
        <v>601</v>
      </c>
      <c r="E196" s="336">
        <v>0</v>
      </c>
      <c r="F196" s="336">
        <f>317075+1740641+351540+127596+170562+65100+33852+317688+289044</f>
        <v>3413098</v>
      </c>
      <c r="G196" s="337">
        <v>1</v>
      </c>
      <c r="H196" s="336">
        <v>0</v>
      </c>
      <c r="I196" s="336"/>
      <c r="J196" s="336">
        <v>0</v>
      </c>
      <c r="K196" s="337">
        <v>0</v>
      </c>
      <c r="L196" s="336">
        <v>0</v>
      </c>
      <c r="M196" s="336">
        <v>0</v>
      </c>
      <c r="N196" s="337">
        <v>0</v>
      </c>
      <c r="O196" s="336"/>
      <c r="P196" s="336"/>
      <c r="Q196" s="338"/>
    </row>
    <row r="197" spans="1:17" s="332" customFormat="1" ht="30.2" customHeight="1" x14ac:dyDescent="0.2">
      <c r="A197" s="326"/>
      <c r="B197" s="326"/>
      <c r="C197" s="327" t="s">
        <v>524</v>
      </c>
      <c r="D197" s="328" t="s">
        <v>187</v>
      </c>
      <c r="E197" s="329">
        <v>0</v>
      </c>
      <c r="F197" s="329">
        <v>0</v>
      </c>
      <c r="G197" s="330">
        <v>0</v>
      </c>
      <c r="H197" s="329">
        <v>39816988</v>
      </c>
      <c r="I197" s="329">
        <v>101677</v>
      </c>
      <c r="J197" s="329">
        <f>-400000-600000</f>
        <v>-1000000</v>
      </c>
      <c r="K197" s="330">
        <f t="shared" ref="K197:K205" si="48">J197/H197</f>
        <v>-2.5114908239668957E-2</v>
      </c>
      <c r="L197" s="329">
        <v>0</v>
      </c>
      <c r="M197" s="329">
        <v>0</v>
      </c>
      <c r="N197" s="330">
        <v>0</v>
      </c>
      <c r="O197" s="329"/>
      <c r="P197" s="329"/>
      <c r="Q197" s="331" t="s">
        <v>543</v>
      </c>
    </row>
    <row r="198" spans="1:17" ht="16.5" customHeight="1" x14ac:dyDescent="0.2">
      <c r="A198" s="333"/>
      <c r="B198" s="333"/>
      <c r="C198" s="334" t="s">
        <v>538</v>
      </c>
      <c r="D198" s="335" t="s">
        <v>188</v>
      </c>
      <c r="E198" s="336">
        <v>0</v>
      </c>
      <c r="F198" s="336">
        <v>0</v>
      </c>
      <c r="G198" s="337">
        <v>0</v>
      </c>
      <c r="H198" s="336">
        <v>189500</v>
      </c>
      <c r="I198" s="336">
        <v>-50000</v>
      </c>
      <c r="J198" s="336">
        <v>-50000</v>
      </c>
      <c r="K198" s="337">
        <f t="shared" si="48"/>
        <v>-0.26385224274406333</v>
      </c>
      <c r="L198" s="336">
        <v>0</v>
      </c>
      <c r="M198" s="336">
        <v>0</v>
      </c>
      <c r="N198" s="337">
        <v>0</v>
      </c>
      <c r="O198" s="336"/>
      <c r="P198" s="336"/>
      <c r="Q198" s="338" t="s">
        <v>540</v>
      </c>
    </row>
    <row r="199" spans="1:17" ht="25.5" x14ac:dyDescent="0.2">
      <c r="A199" s="333"/>
      <c r="B199" s="333"/>
      <c r="C199" s="334" t="s">
        <v>537</v>
      </c>
      <c r="D199" s="335" t="s">
        <v>188</v>
      </c>
      <c r="E199" s="336">
        <v>0</v>
      </c>
      <c r="F199" s="336">
        <v>0</v>
      </c>
      <c r="G199" s="337">
        <v>0</v>
      </c>
      <c r="H199" s="336">
        <v>570000</v>
      </c>
      <c r="I199" s="336">
        <v>-100000</v>
      </c>
      <c r="J199" s="336">
        <v>-100000</v>
      </c>
      <c r="K199" s="337">
        <f t="shared" si="48"/>
        <v>-0.17543859649122806</v>
      </c>
      <c r="L199" s="336">
        <v>0</v>
      </c>
      <c r="M199" s="336">
        <v>0</v>
      </c>
      <c r="N199" s="337">
        <v>0</v>
      </c>
      <c r="O199" s="336"/>
      <c r="P199" s="336"/>
      <c r="Q199" s="338" t="s">
        <v>539</v>
      </c>
    </row>
    <row r="200" spans="1:17" s="332" customFormat="1" ht="34.700000000000003" customHeight="1" x14ac:dyDescent="0.2">
      <c r="A200" s="326"/>
      <c r="B200" s="326"/>
      <c r="C200" s="327" t="s">
        <v>535</v>
      </c>
      <c r="D200" s="328" t="s">
        <v>536</v>
      </c>
      <c r="E200" s="329">
        <v>0</v>
      </c>
      <c r="F200" s="329">
        <v>0</v>
      </c>
      <c r="G200" s="330">
        <v>0</v>
      </c>
      <c r="H200" s="329">
        <v>2768403.92</v>
      </c>
      <c r="I200" s="329">
        <f>-500000-329370</f>
        <v>-829370</v>
      </c>
      <c r="J200" s="329">
        <f>-500000-329370</f>
        <v>-829370</v>
      </c>
      <c r="K200" s="330">
        <f t="shared" si="48"/>
        <v>-0.29958417339620008</v>
      </c>
      <c r="L200" s="329">
        <v>0</v>
      </c>
      <c r="M200" s="329">
        <v>0</v>
      </c>
      <c r="N200" s="330">
        <v>0</v>
      </c>
      <c r="O200" s="329"/>
      <c r="P200" s="329"/>
      <c r="Q200" s="331" t="s">
        <v>587</v>
      </c>
    </row>
    <row r="201" spans="1:17" s="127" customFormat="1" x14ac:dyDescent="0.2">
      <c r="A201" s="296"/>
      <c r="B201" s="296"/>
      <c r="C201" s="130" t="s">
        <v>37</v>
      </c>
      <c r="D201" s="172" t="s">
        <v>513</v>
      </c>
      <c r="E201" s="139">
        <v>0</v>
      </c>
      <c r="F201" s="139">
        <v>0</v>
      </c>
      <c r="G201" s="183">
        <v>0</v>
      </c>
      <c r="H201" s="163">
        <v>1704018</v>
      </c>
      <c r="I201" s="139">
        <v>-4200</v>
      </c>
      <c r="J201" s="139">
        <v>-4200</v>
      </c>
      <c r="K201" s="183">
        <f t="shared" si="48"/>
        <v>-2.4647626961687022E-3</v>
      </c>
      <c r="L201" s="139">
        <v>0</v>
      </c>
      <c r="M201" s="139">
        <v>0</v>
      </c>
      <c r="N201" s="183">
        <v>0</v>
      </c>
      <c r="O201" s="139"/>
      <c r="P201" s="139"/>
      <c r="Q201" s="14" t="s">
        <v>590</v>
      </c>
    </row>
    <row r="202" spans="1:17" x14ac:dyDescent="0.2">
      <c r="A202" s="333"/>
      <c r="B202" s="333"/>
      <c r="C202" s="334" t="s">
        <v>526</v>
      </c>
      <c r="D202" s="335" t="s">
        <v>187</v>
      </c>
      <c r="E202" s="336">
        <v>0</v>
      </c>
      <c r="F202" s="336">
        <v>0</v>
      </c>
      <c r="G202" s="337">
        <v>0</v>
      </c>
      <c r="H202" s="339">
        <v>5311000</v>
      </c>
      <c r="I202" s="336">
        <v>377600</v>
      </c>
      <c r="J202" s="336">
        <v>177600</v>
      </c>
      <c r="K202" s="337">
        <f t="shared" si="48"/>
        <v>3.3440030126153264E-2</v>
      </c>
      <c r="L202" s="336">
        <v>0</v>
      </c>
      <c r="M202" s="336">
        <v>0</v>
      </c>
      <c r="N202" s="337">
        <v>0</v>
      </c>
      <c r="O202" s="336"/>
      <c r="P202" s="336"/>
      <c r="Q202" s="338" t="s">
        <v>518</v>
      </c>
    </row>
    <row r="203" spans="1:17" x14ac:dyDescent="0.2">
      <c r="A203" s="333"/>
      <c r="B203" s="333"/>
      <c r="C203" s="334" t="s">
        <v>588</v>
      </c>
      <c r="D203" s="335" t="s">
        <v>187</v>
      </c>
      <c r="E203" s="336">
        <v>2731197</v>
      </c>
      <c r="F203" s="336">
        <v>-56930</v>
      </c>
      <c r="G203" s="337">
        <f t="shared" ref="G203" si="49">F203/E203</f>
        <v>-2.084434041191463E-2</v>
      </c>
      <c r="H203" s="339">
        <v>0</v>
      </c>
      <c r="I203" s="336">
        <v>0</v>
      </c>
      <c r="J203" s="336">
        <v>0</v>
      </c>
      <c r="K203" s="337">
        <v>0</v>
      </c>
      <c r="L203" s="336">
        <v>0</v>
      </c>
      <c r="M203" s="336">
        <v>0</v>
      </c>
      <c r="N203" s="337">
        <v>0</v>
      </c>
      <c r="O203" s="336"/>
      <c r="P203" s="336"/>
      <c r="Q203" s="338"/>
    </row>
    <row r="204" spans="1:17" s="332" customFormat="1" ht="15.75" customHeight="1" x14ac:dyDescent="0.2">
      <c r="A204" s="326"/>
      <c r="B204" s="326"/>
      <c r="C204" s="327" t="s">
        <v>515</v>
      </c>
      <c r="D204" s="328" t="s">
        <v>187</v>
      </c>
      <c r="E204" s="329">
        <v>0</v>
      </c>
      <c r="F204" s="329">
        <v>0</v>
      </c>
      <c r="G204" s="330">
        <v>0</v>
      </c>
      <c r="H204" s="329">
        <v>5891496</v>
      </c>
      <c r="I204" s="329">
        <v>-1926508</v>
      </c>
      <c r="J204" s="329">
        <v>-1926508</v>
      </c>
      <c r="K204" s="330">
        <f t="shared" si="48"/>
        <v>-0.32699810031272192</v>
      </c>
      <c r="L204" s="329">
        <v>0</v>
      </c>
      <c r="M204" s="329">
        <v>0</v>
      </c>
      <c r="N204" s="330">
        <v>0</v>
      </c>
      <c r="O204" s="329"/>
      <c r="P204" s="329"/>
      <c r="Q204" s="331" t="s">
        <v>531</v>
      </c>
    </row>
    <row r="205" spans="1:17" ht="38.25" x14ac:dyDescent="0.2">
      <c r="A205" s="333"/>
      <c r="B205" s="333"/>
      <c r="C205" s="334" t="s">
        <v>512</v>
      </c>
      <c r="D205" s="335" t="s">
        <v>187</v>
      </c>
      <c r="E205" s="336">
        <v>0</v>
      </c>
      <c r="F205" s="336">
        <v>0</v>
      </c>
      <c r="G205" s="337">
        <v>0</v>
      </c>
      <c r="H205" s="339">
        <v>2000000</v>
      </c>
      <c r="I205" s="336">
        <v>-73738</v>
      </c>
      <c r="J205" s="336">
        <v>-73738.100000000006</v>
      </c>
      <c r="K205" s="337">
        <f t="shared" si="48"/>
        <v>-3.686905E-2</v>
      </c>
      <c r="L205" s="336">
        <v>0</v>
      </c>
      <c r="M205" s="336">
        <v>0</v>
      </c>
      <c r="N205" s="337">
        <v>0</v>
      </c>
      <c r="O205" s="336"/>
      <c r="P205" s="336"/>
      <c r="Q205" s="338" t="s">
        <v>532</v>
      </c>
    </row>
    <row r="206" spans="1:17" s="127" customFormat="1" x14ac:dyDescent="0.2">
      <c r="A206" s="410"/>
      <c r="B206" s="410"/>
      <c r="C206" s="14" t="s">
        <v>303</v>
      </c>
      <c r="D206" s="172" t="s">
        <v>184</v>
      </c>
      <c r="E206" s="139">
        <v>0</v>
      </c>
      <c r="F206" s="139">
        <v>0</v>
      </c>
      <c r="G206" s="183">
        <v>0</v>
      </c>
      <c r="H206" s="139">
        <v>800000</v>
      </c>
      <c r="I206" s="139">
        <v>100000</v>
      </c>
      <c r="J206" s="139">
        <v>100000</v>
      </c>
      <c r="K206" s="174">
        <f t="shared" ref="K206" si="50">I206/H206</f>
        <v>0.125</v>
      </c>
      <c r="L206" s="194">
        <v>0</v>
      </c>
      <c r="M206" s="139">
        <v>0</v>
      </c>
      <c r="N206" s="183">
        <v>0</v>
      </c>
      <c r="O206" s="139"/>
      <c r="P206" s="139"/>
      <c r="Q206" s="14"/>
    </row>
    <row r="207" spans="1:17" ht="32.1" customHeight="1" x14ac:dyDescent="0.2">
      <c r="A207" s="333"/>
      <c r="B207" s="333"/>
      <c r="C207" s="334" t="s">
        <v>525</v>
      </c>
      <c r="D207" s="335" t="s">
        <v>187</v>
      </c>
      <c r="E207" s="336">
        <v>0</v>
      </c>
      <c r="F207" s="336">
        <v>0</v>
      </c>
      <c r="G207" s="337">
        <v>0</v>
      </c>
      <c r="H207" s="339">
        <v>3000000</v>
      </c>
      <c r="I207" s="336">
        <f>2782156+52400-73738</f>
        <v>2760818</v>
      </c>
      <c r="J207" s="336">
        <f>2782155.1+52400</f>
        <v>2834555.1</v>
      </c>
      <c r="K207" s="337">
        <f>J207/H207</f>
        <v>0.94485170000000007</v>
      </c>
      <c r="L207" s="336">
        <v>0</v>
      </c>
      <c r="M207" s="336">
        <v>0</v>
      </c>
      <c r="N207" s="337">
        <v>0</v>
      </c>
      <c r="O207" s="336"/>
      <c r="P207" s="336"/>
      <c r="Q207" s="338" t="s">
        <v>519</v>
      </c>
    </row>
    <row r="208" spans="1:17" ht="26.85" customHeight="1" x14ac:dyDescent="0.2">
      <c r="A208" s="333"/>
      <c r="B208" s="333"/>
      <c r="C208" s="334" t="s">
        <v>523</v>
      </c>
      <c r="D208" s="335" t="s">
        <v>187</v>
      </c>
      <c r="E208" s="336">
        <v>0</v>
      </c>
      <c r="F208" s="336">
        <v>0</v>
      </c>
      <c r="G208" s="337">
        <v>0</v>
      </c>
      <c r="H208" s="339">
        <v>8567883</v>
      </c>
      <c r="I208" s="336">
        <f>2200000+6146279</f>
        <v>8346279</v>
      </c>
      <c r="J208" s="336">
        <f>600000+80000+4746279</f>
        <v>5426279</v>
      </c>
      <c r="K208" s="337">
        <f>J208/H208</f>
        <v>0.63332785940237513</v>
      </c>
      <c r="L208" s="336">
        <v>0</v>
      </c>
      <c r="M208" s="336">
        <v>0</v>
      </c>
      <c r="N208" s="337">
        <v>0</v>
      </c>
      <c r="O208" s="336"/>
      <c r="P208" s="336"/>
      <c r="Q208" s="338" t="s">
        <v>541</v>
      </c>
    </row>
    <row r="209" spans="1:17" x14ac:dyDescent="0.2">
      <c r="A209" s="333"/>
      <c r="B209" s="333"/>
      <c r="C209" s="334" t="s">
        <v>528</v>
      </c>
      <c r="D209" s="335" t="s">
        <v>187</v>
      </c>
      <c r="E209" s="336">
        <v>0</v>
      </c>
      <c r="F209" s="336">
        <v>0</v>
      </c>
      <c r="G209" s="337">
        <v>0</v>
      </c>
      <c r="H209" s="336">
        <v>0</v>
      </c>
      <c r="I209" s="336">
        <v>0</v>
      </c>
      <c r="J209" s="336">
        <v>0</v>
      </c>
      <c r="K209" s="337">
        <v>0</v>
      </c>
      <c r="L209" s="336">
        <v>2600000</v>
      </c>
      <c r="M209" s="336">
        <f>-2600000+45000</f>
        <v>-2555000</v>
      </c>
      <c r="N209" s="337">
        <f>M209/L209</f>
        <v>-0.98269230769230764</v>
      </c>
      <c r="O209" s="336"/>
      <c r="P209" s="336"/>
      <c r="Q209" s="338" t="s">
        <v>529</v>
      </c>
    </row>
    <row r="210" spans="1:17" s="332" customFormat="1" x14ac:dyDescent="0.2">
      <c r="A210" s="326"/>
      <c r="B210" s="326"/>
      <c r="C210" s="327" t="s">
        <v>530</v>
      </c>
      <c r="D210" s="328" t="s">
        <v>187</v>
      </c>
      <c r="E210" s="329">
        <v>0</v>
      </c>
      <c r="F210" s="329">
        <v>0</v>
      </c>
      <c r="G210" s="330">
        <v>0</v>
      </c>
      <c r="H210" s="329">
        <v>0</v>
      </c>
      <c r="I210" s="329">
        <v>0</v>
      </c>
      <c r="J210" s="329">
        <v>0</v>
      </c>
      <c r="K210" s="330">
        <v>0</v>
      </c>
      <c r="L210" s="329">
        <v>965000</v>
      </c>
      <c r="M210" s="329">
        <v>-45000</v>
      </c>
      <c r="N210" s="330">
        <f>M210/L210</f>
        <v>-4.6632124352331605E-2</v>
      </c>
      <c r="O210" s="329"/>
      <c r="P210" s="329"/>
      <c r="Q210" s="331"/>
    </row>
    <row r="211" spans="1:17" x14ac:dyDescent="0.2">
      <c r="A211" s="333"/>
      <c r="B211" s="333"/>
      <c r="C211" s="334" t="s">
        <v>512</v>
      </c>
      <c r="D211" s="335" t="s">
        <v>187</v>
      </c>
      <c r="E211" s="336">
        <v>0</v>
      </c>
      <c r="F211" s="336">
        <v>0</v>
      </c>
      <c r="G211" s="337">
        <v>0</v>
      </c>
      <c r="H211" s="339">
        <v>2900000</v>
      </c>
      <c r="I211" s="336"/>
      <c r="J211" s="336">
        <v>-600000</v>
      </c>
      <c r="K211" s="337">
        <f>J211/H211</f>
        <v>-0.20689655172413793</v>
      </c>
      <c r="L211" s="336">
        <v>0</v>
      </c>
      <c r="M211" s="336">
        <v>0</v>
      </c>
      <c r="N211" s="337">
        <v>0</v>
      </c>
      <c r="O211" s="336"/>
      <c r="P211" s="336"/>
      <c r="Q211" s="338" t="s">
        <v>545</v>
      </c>
    </row>
    <row r="212" spans="1:17" ht="25.5" customHeight="1" x14ac:dyDescent="0.2">
      <c r="A212" s="333"/>
      <c r="B212" s="333"/>
      <c r="C212" s="334" t="s">
        <v>507</v>
      </c>
      <c r="D212" s="335" t="s">
        <v>187</v>
      </c>
      <c r="E212" s="336">
        <v>876254</v>
      </c>
      <c r="F212" s="336">
        <v>-118754</v>
      </c>
      <c r="G212" s="337">
        <v>0</v>
      </c>
      <c r="H212" s="336">
        <v>0</v>
      </c>
      <c r="I212" s="336"/>
      <c r="J212" s="336">
        <v>0</v>
      </c>
      <c r="K212" s="337">
        <v>0</v>
      </c>
      <c r="L212" s="336">
        <v>0</v>
      </c>
      <c r="M212" s="336">
        <v>0</v>
      </c>
      <c r="N212" s="351">
        <v>0</v>
      </c>
      <c r="O212" s="336"/>
      <c r="P212" s="336"/>
      <c r="Q212" s="338"/>
    </row>
    <row r="213" spans="1:17" s="127" customFormat="1" ht="13.5" hidden="1" x14ac:dyDescent="0.25">
      <c r="A213" s="218"/>
      <c r="B213" s="218"/>
      <c r="C213" s="219" t="s">
        <v>279</v>
      </c>
      <c r="D213" s="220" t="s">
        <v>242</v>
      </c>
      <c r="E213" s="299" t="s">
        <v>30</v>
      </c>
      <c r="F213" s="300">
        <f>F215+F214</f>
        <v>0</v>
      </c>
      <c r="G213" s="299" t="s">
        <v>30</v>
      </c>
      <c r="H213" s="299" t="s">
        <v>30</v>
      </c>
      <c r="I213" s="300">
        <f>SUM(I214)</f>
        <v>0</v>
      </c>
      <c r="J213" s="300">
        <f>SUM(J214)</f>
        <v>0</v>
      </c>
      <c r="K213" s="299"/>
      <c r="L213" s="299" t="s">
        <v>30</v>
      </c>
      <c r="M213" s="300">
        <f>SUM(M214)</f>
        <v>0</v>
      </c>
      <c r="N213" s="299" t="s">
        <v>30</v>
      </c>
      <c r="O213" s="221">
        <f>SUM(O214)</f>
        <v>0</v>
      </c>
      <c r="P213" s="221">
        <f>SUM(P214)</f>
        <v>0</v>
      </c>
      <c r="Q213" s="14"/>
    </row>
    <row r="214" spans="1:17" s="127" customFormat="1" ht="51" hidden="1" x14ac:dyDescent="0.2">
      <c r="A214" s="224"/>
      <c r="B214" s="224"/>
      <c r="C214" s="130" t="s">
        <v>393</v>
      </c>
      <c r="D214" s="172" t="s">
        <v>187</v>
      </c>
      <c r="E214" s="133"/>
      <c r="F214" s="133">
        <f>4219036-F82-F196-F21-F42</f>
        <v>0</v>
      </c>
      <c r="G214" s="182"/>
      <c r="H214" s="288"/>
      <c r="I214" s="288"/>
      <c r="J214" s="288"/>
      <c r="K214" s="182"/>
      <c r="L214" s="133"/>
      <c r="M214" s="133"/>
      <c r="N214" s="301"/>
      <c r="O214" s="139"/>
      <c r="P214" s="139"/>
      <c r="Q214" s="14"/>
    </row>
    <row r="215" spans="1:17" s="127" customFormat="1" hidden="1" x14ac:dyDescent="0.2">
      <c r="A215" s="224"/>
      <c r="B215" s="224"/>
      <c r="C215" s="130"/>
      <c r="D215" s="172" t="s">
        <v>187</v>
      </c>
      <c r="E215" s="133"/>
      <c r="F215" s="133">
        <v>0</v>
      </c>
      <c r="G215" s="182"/>
      <c r="H215" s="133"/>
      <c r="I215" s="133"/>
      <c r="J215" s="133"/>
      <c r="K215" s="182"/>
      <c r="L215" s="133"/>
      <c r="M215" s="133"/>
      <c r="N215" s="301"/>
      <c r="O215" s="139"/>
      <c r="P215" s="139"/>
      <c r="Q215" s="14"/>
    </row>
    <row r="216" spans="1:17" x14ac:dyDescent="0.2">
      <c r="A216" s="395"/>
      <c r="B216" s="395"/>
      <c r="C216" s="396" t="s">
        <v>103</v>
      </c>
      <c r="D216" s="397"/>
      <c r="E216" s="398" t="s">
        <v>100</v>
      </c>
      <c r="F216" s="398">
        <f>F213+F192+F194</f>
        <v>13357888</v>
      </c>
      <c r="G216" s="398" t="s">
        <v>100</v>
      </c>
      <c r="H216" s="398" t="s">
        <v>100</v>
      </c>
      <c r="I216" s="398">
        <f>I194+I192+I213</f>
        <v>29211975</v>
      </c>
      <c r="J216" s="398">
        <f>J194+J192+J213</f>
        <v>22368100</v>
      </c>
      <c r="K216" s="398" t="s">
        <v>100</v>
      </c>
      <c r="L216" s="398" t="s">
        <v>100</v>
      </c>
      <c r="M216" s="398">
        <f>M194+M192+M213</f>
        <v>-5929100</v>
      </c>
      <c r="N216" s="398" t="s">
        <v>100</v>
      </c>
      <c r="O216" s="398">
        <f>O194+O192+O213</f>
        <v>0</v>
      </c>
      <c r="P216" s="398">
        <f>P194+P192+P213</f>
        <v>0</v>
      </c>
      <c r="Q216" s="338"/>
    </row>
    <row r="217" spans="1:17" x14ac:dyDescent="0.2">
      <c r="A217" s="395"/>
      <c r="B217" s="395"/>
      <c r="C217" s="396" t="s">
        <v>244</v>
      </c>
      <c r="D217" s="397"/>
      <c r="E217" s="398"/>
      <c r="F217" s="398"/>
      <c r="G217" s="398"/>
      <c r="H217" s="398"/>
      <c r="I217" s="398"/>
      <c r="J217" s="398"/>
      <c r="K217" s="398"/>
      <c r="L217" s="398"/>
      <c r="M217" s="398"/>
      <c r="N217" s="398">
        <f>F216+J216+M216</f>
        <v>29796888</v>
      </c>
      <c r="O217" s="398"/>
      <c r="P217" s="398"/>
      <c r="Q217" s="338"/>
    </row>
    <row r="218" spans="1:17" s="404" customFormat="1" ht="13.5" x14ac:dyDescent="0.25">
      <c r="A218" s="399"/>
      <c r="B218" s="399"/>
      <c r="C218" s="400" t="s">
        <v>104</v>
      </c>
      <c r="D218" s="401"/>
      <c r="E218" s="496">
        <f>J216+F216+M216</f>
        <v>29796888</v>
      </c>
      <c r="F218" s="497"/>
      <c r="G218" s="497"/>
      <c r="H218" s="497"/>
      <c r="I218" s="497"/>
      <c r="J218" s="497"/>
      <c r="K218" s="497"/>
      <c r="L218" s="497"/>
      <c r="M218" s="497"/>
      <c r="N218" s="498"/>
      <c r="O218" s="402">
        <f>O216+O217</f>
        <v>0</v>
      </c>
      <c r="P218" s="402">
        <f>P216+P217</f>
        <v>0</v>
      </c>
      <c r="Q218" s="403"/>
    </row>
    <row r="219" spans="1:17" s="127" customFormat="1" hidden="1" x14ac:dyDescent="0.2">
      <c r="A219" s="143"/>
      <c r="B219" s="131"/>
      <c r="C219" s="128"/>
      <c r="D219" s="184"/>
      <c r="E219" s="184"/>
      <c r="F219" s="184"/>
      <c r="G219" s="184"/>
      <c r="H219" s="184"/>
      <c r="I219" s="184"/>
      <c r="J219" s="184">
        <v>9425100</v>
      </c>
      <c r="K219" s="184"/>
      <c r="L219" s="184"/>
      <c r="M219" s="184"/>
      <c r="N219" s="184"/>
      <c r="O219" s="184"/>
      <c r="P219" s="184"/>
      <c r="Q219" s="186"/>
    </row>
    <row r="220" spans="1:17" hidden="1" x14ac:dyDescent="0.2">
      <c r="J220" s="184">
        <v>6300000</v>
      </c>
    </row>
    <row r="221" spans="1:17" hidden="1" x14ac:dyDescent="0.2">
      <c r="J221" s="184">
        <v>2993000</v>
      </c>
    </row>
    <row r="222" spans="1:17" hidden="1" x14ac:dyDescent="0.2">
      <c r="J222" s="184">
        <v>3650000</v>
      </c>
    </row>
    <row r="223" spans="1:17" hidden="1" x14ac:dyDescent="0.2">
      <c r="J223" s="184">
        <f>J220+J221+J222+J219</f>
        <v>22368100</v>
      </c>
    </row>
    <row r="224" spans="1:17" hidden="1" x14ac:dyDescent="0.2"/>
    <row r="225" spans="8:8" hidden="1" x14ac:dyDescent="0.2"/>
    <row r="226" spans="8:8" hidden="1" x14ac:dyDescent="0.2"/>
    <row r="227" spans="8:8" hidden="1" x14ac:dyDescent="0.2"/>
    <row r="239" spans="8:8" x14ac:dyDescent="0.2">
      <c r="H239" s="184" t="s">
        <v>199</v>
      </c>
    </row>
  </sheetData>
  <mergeCells count="12">
    <mergeCell ref="E218:N218"/>
    <mergeCell ref="A6:N6"/>
    <mergeCell ref="A1:P1"/>
    <mergeCell ref="E2:L2"/>
    <mergeCell ref="A4:A5"/>
    <mergeCell ref="C4:C5"/>
    <mergeCell ref="D4:D5"/>
    <mergeCell ref="E4:G4"/>
    <mergeCell ref="L4:N4"/>
    <mergeCell ref="D193:N193"/>
    <mergeCell ref="H4:K4"/>
    <mergeCell ref="B4:B5"/>
  </mergeCells>
  <pageMargins left="0.31496062992125984" right="0.31496062992125984" top="0.15748031496062992" bottom="0.15748031496062992" header="0" footer="0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SheetLayoutView="100" workbookViewId="0">
      <selection activeCell="I10" sqref="I10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499" t="s">
        <v>473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1" ht="15.75" x14ac:dyDescent="0.25">
      <c r="A4" s="413"/>
      <c r="B4" s="126"/>
      <c r="C4" s="414"/>
      <c r="D4" s="503"/>
      <c r="E4" s="503"/>
      <c r="F4" s="503"/>
      <c r="G4" s="503"/>
      <c r="H4" s="414"/>
      <c r="I4" s="414"/>
      <c r="J4" s="414"/>
      <c r="K4" s="414"/>
    </row>
    <row r="5" spans="1:11" ht="51.75" customHeight="1" x14ac:dyDescent="0.25">
      <c r="A5" s="415"/>
      <c r="B5" s="415"/>
      <c r="C5" s="415"/>
      <c r="D5" s="415"/>
      <c r="E5" s="415"/>
      <c r="F5" s="415"/>
      <c r="G5" s="416" t="s">
        <v>546</v>
      </c>
      <c r="H5" s="417" t="s">
        <v>86</v>
      </c>
      <c r="I5" s="417" t="s">
        <v>87</v>
      </c>
      <c r="J5" s="416" t="s">
        <v>547</v>
      </c>
      <c r="K5" s="121"/>
    </row>
    <row r="6" spans="1:11" ht="15.75" x14ac:dyDescent="0.25">
      <c r="A6" s="418"/>
      <c r="B6" s="504">
        <f>+G7</f>
        <v>27150000</v>
      </c>
      <c r="C6" s="504"/>
      <c r="D6" s="505"/>
      <c r="E6" s="505"/>
      <c r="F6" s="505"/>
      <c r="G6" s="505"/>
      <c r="H6" s="419">
        <f>H7+H9+H8</f>
        <v>26146888</v>
      </c>
      <c r="I6" s="419">
        <f>расходы!E218</f>
        <v>29796888</v>
      </c>
      <c r="J6" s="419">
        <f>B6-H6+I6</f>
        <v>30800000</v>
      </c>
      <c r="K6" s="121"/>
    </row>
    <row r="7" spans="1:11" ht="15.75" x14ac:dyDescent="0.25">
      <c r="A7" s="420" t="s">
        <v>88</v>
      </c>
      <c r="B7" s="421"/>
      <c r="C7" s="421"/>
      <c r="D7" s="421"/>
      <c r="E7" s="421"/>
      <c r="F7" s="421"/>
      <c r="G7" s="421">
        <v>27150000</v>
      </c>
      <c r="H7" s="421">
        <v>0</v>
      </c>
      <c r="I7" s="421">
        <v>3650000</v>
      </c>
      <c r="J7" s="421">
        <f>J6</f>
        <v>30800000</v>
      </c>
      <c r="K7" s="121"/>
    </row>
    <row r="8" spans="1:11" ht="31.5" x14ac:dyDescent="0.25">
      <c r="A8" s="420" t="s">
        <v>89</v>
      </c>
      <c r="B8" s="421"/>
      <c r="C8" s="421"/>
      <c r="D8" s="421"/>
      <c r="E8" s="421"/>
      <c r="F8" s="421"/>
      <c r="G8" s="421"/>
      <c r="H8" s="421">
        <f>Доходы!D6</f>
        <v>2993000</v>
      </c>
      <c r="I8" s="421">
        <v>0</v>
      </c>
      <c r="J8" s="421">
        <v>0</v>
      </c>
      <c r="K8" s="121"/>
    </row>
    <row r="9" spans="1:11" ht="22.7" customHeight="1" x14ac:dyDescent="0.25">
      <c r="A9" s="420" t="s">
        <v>90</v>
      </c>
      <c r="B9" s="421"/>
      <c r="C9" s="421"/>
      <c r="D9" s="421"/>
      <c r="E9" s="421"/>
      <c r="F9" s="421"/>
      <c r="G9" s="421"/>
      <c r="H9" s="421">
        <f>Доходы!D25</f>
        <v>23153888</v>
      </c>
      <c r="I9" s="421">
        <v>0</v>
      </c>
      <c r="J9" s="421">
        <v>0</v>
      </c>
      <c r="K9" s="121"/>
    </row>
    <row r="10" spans="1:11" ht="15.75" x14ac:dyDescent="0.25">
      <c r="A10" s="420" t="s">
        <v>91</v>
      </c>
      <c r="B10" s="421"/>
      <c r="C10" s="421"/>
      <c r="D10" s="421"/>
      <c r="E10" s="421"/>
      <c r="F10" s="421"/>
      <c r="G10" s="421"/>
      <c r="H10" s="421"/>
      <c r="I10" s="421"/>
      <c r="J10" s="421"/>
      <c r="K10" s="121"/>
    </row>
    <row r="11" spans="1:11" ht="20.25" customHeight="1" x14ac:dyDescent="0.25">
      <c r="A11" s="420" t="s">
        <v>92</v>
      </c>
      <c r="B11" s="421"/>
      <c r="C11" s="421"/>
      <c r="D11" s="421"/>
      <c r="E11" s="421"/>
      <c r="F11" s="421"/>
      <c r="G11" s="421"/>
      <c r="H11" s="421"/>
      <c r="I11" s="421"/>
      <c r="J11" s="421"/>
      <c r="K11" s="121"/>
    </row>
    <row r="12" spans="1:1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prokofieva</cp:lastModifiedBy>
  <cp:lastPrinted>2022-11-21T13:05:27Z</cp:lastPrinted>
  <dcterms:created xsi:type="dcterms:W3CDTF">2012-07-26T06:35:37Z</dcterms:created>
  <dcterms:modified xsi:type="dcterms:W3CDTF">2022-11-21T13:05:50Z</dcterms:modified>
</cp:coreProperties>
</file>