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5365" windowHeight="13755" activeTab="3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расходы!$A$4:$P$5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Доходы!$B$1:$G$132</definedName>
    <definedName name="_xlnm.Print_Area" localSheetId="3">источники!$A$1:$K$15</definedName>
  </definedNames>
  <calcPr calcId="181029" iterate="1"/>
</workbook>
</file>

<file path=xl/calcChain.xml><?xml version="1.0" encoding="utf-8"?>
<calcChain xmlns="http://schemas.openxmlformats.org/spreadsheetml/2006/main">
  <c r="J190" i="3" l="1"/>
  <c r="J37" i="3"/>
  <c r="N14" i="3"/>
  <c r="N22" i="3"/>
  <c r="K15" i="3"/>
  <c r="N129" i="3"/>
  <c r="N128" i="3"/>
  <c r="N137" i="3"/>
  <c r="N141" i="3"/>
  <c r="N168" i="3"/>
  <c r="N169" i="3"/>
  <c r="N170" i="3"/>
  <c r="N172" i="3"/>
  <c r="N167" i="3"/>
  <c r="N154" i="3"/>
  <c r="N153" i="3"/>
  <c r="J26" i="3"/>
  <c r="J119" i="3" l="1"/>
  <c r="H6" i="4"/>
  <c r="H12" i="4"/>
  <c r="H8" i="4"/>
  <c r="H9" i="4"/>
  <c r="H10" i="4"/>
  <c r="J25" i="3"/>
  <c r="R25" i="3" s="1"/>
  <c r="J220" i="3"/>
  <c r="J27" i="3"/>
  <c r="M192" i="3"/>
  <c r="L192" i="3"/>
  <c r="J21" i="3" l="1"/>
  <c r="J198" i="3"/>
  <c r="G61" i="3" l="1"/>
  <c r="G62" i="3"/>
  <c r="G65" i="3"/>
  <c r="G66" i="3"/>
  <c r="G67" i="3"/>
  <c r="G69" i="3"/>
  <c r="G70" i="3"/>
  <c r="G72" i="3"/>
  <c r="G73" i="3"/>
  <c r="G74" i="3"/>
  <c r="G75" i="3"/>
  <c r="G76" i="3"/>
  <c r="G77" i="3"/>
  <c r="G78" i="3"/>
  <c r="G60" i="3"/>
  <c r="G31" i="3"/>
  <c r="G32" i="3"/>
  <c r="G33" i="3"/>
  <c r="G34" i="3"/>
  <c r="G35" i="3"/>
  <c r="G36" i="3"/>
  <c r="G39" i="3"/>
  <c r="G201" i="3"/>
  <c r="H190" i="3"/>
  <c r="H203" i="3"/>
  <c r="J203" i="3"/>
  <c r="K206" i="3"/>
  <c r="F40" i="3"/>
  <c r="G40" i="3" s="1"/>
  <c r="F30" i="3"/>
  <c r="G30" i="3" s="1"/>
  <c r="F38" i="3"/>
  <c r="G38" i="3" s="1"/>
  <c r="J13" i="3"/>
  <c r="M189" i="3" l="1"/>
  <c r="F71" i="3" l="1"/>
  <c r="G71" i="3" s="1"/>
  <c r="K198" i="3"/>
  <c r="K199" i="3"/>
  <c r="K200" i="3"/>
  <c r="K197" i="3"/>
  <c r="K205" i="3"/>
  <c r="F68" i="3"/>
  <c r="G68" i="3" s="1"/>
  <c r="H119" i="3"/>
  <c r="N131" i="3"/>
  <c r="M154" i="3" l="1"/>
  <c r="L154" i="3"/>
  <c r="M172" i="3"/>
  <c r="L172" i="3"/>
  <c r="N175" i="3"/>
  <c r="H28" i="3" l="1"/>
  <c r="H26" i="3"/>
  <c r="H27" i="3"/>
  <c r="F89" i="3"/>
  <c r="D126" i="2"/>
  <c r="D50" i="2"/>
  <c r="D31" i="2" l="1"/>
  <c r="D8" i="2"/>
  <c r="D15" i="2"/>
  <c r="N196" i="3" l="1"/>
  <c r="N207" i="3"/>
  <c r="K119" i="3"/>
  <c r="K194" i="3" l="1"/>
  <c r="K193" i="3"/>
  <c r="K27" i="3" l="1"/>
  <c r="K26" i="3"/>
  <c r="K32" i="3"/>
  <c r="K42" i="3"/>
  <c r="K43" i="3"/>
  <c r="K28" i="3"/>
  <c r="K46" i="3" l="1"/>
  <c r="F208" i="3" l="1"/>
  <c r="F57" i="3"/>
  <c r="G84" i="3" l="1"/>
  <c r="K191" i="3" l="1"/>
  <c r="K192" i="3"/>
  <c r="K204" i="3"/>
  <c r="K190" i="3"/>
  <c r="K203" i="3" l="1"/>
  <c r="I203" i="3"/>
  <c r="I37" i="3"/>
  <c r="I20" i="3"/>
  <c r="I21" i="3"/>
  <c r="K21" i="3" s="1"/>
  <c r="I190" i="3" l="1"/>
  <c r="K202" i="3"/>
  <c r="I202" i="3"/>
  <c r="N166" i="3" l="1"/>
  <c r="J208" i="3" l="1"/>
  <c r="J8" i="3"/>
  <c r="J16" i="3"/>
  <c r="J19" i="3"/>
  <c r="J41" i="3"/>
  <c r="J44" i="3"/>
  <c r="J51" i="3"/>
  <c r="J57" i="3"/>
  <c r="J86" i="3"/>
  <c r="J89" i="3"/>
  <c r="J93" i="3"/>
  <c r="J95" i="3"/>
  <c r="J97" i="3"/>
  <c r="J100" i="3"/>
  <c r="J103" i="3"/>
  <c r="J106" i="3"/>
  <c r="J108" i="3"/>
  <c r="J110" i="3"/>
  <c r="J113" i="3"/>
  <c r="J115" i="3"/>
  <c r="J118" i="3"/>
  <c r="J121" i="3"/>
  <c r="J124" i="3"/>
  <c r="J127" i="3"/>
  <c r="J130" i="3"/>
  <c r="J134" i="3"/>
  <c r="J136" i="3"/>
  <c r="J140" i="3"/>
  <c r="J142" i="3"/>
  <c r="J144" i="3"/>
  <c r="J147" i="3"/>
  <c r="J150" i="3"/>
  <c r="J152" i="3"/>
  <c r="J156" i="3"/>
  <c r="J159" i="3"/>
  <c r="J162" i="3"/>
  <c r="J165" i="3"/>
  <c r="J173" i="3"/>
  <c r="J178" i="3"/>
  <c r="J180" i="3"/>
  <c r="J183" i="3"/>
  <c r="J185" i="3"/>
  <c r="I100" i="3"/>
  <c r="J56" i="3" l="1"/>
  <c r="J24" i="3"/>
  <c r="R24" i="3" s="1"/>
  <c r="J7" i="3"/>
  <c r="K195" i="3"/>
  <c r="J189" i="3"/>
  <c r="J105" i="3"/>
  <c r="J92" i="3"/>
  <c r="J133" i="3"/>
  <c r="I23" i="3"/>
  <c r="K23" i="3" s="1"/>
  <c r="I195" i="3"/>
  <c r="J187" i="3" l="1"/>
  <c r="K102" i="3"/>
  <c r="K146" i="3"/>
  <c r="J211" i="3" l="1"/>
  <c r="N174" i="3"/>
  <c r="N138" i="3"/>
  <c r="J221" i="3" l="1"/>
  <c r="D27" i="2" l="1"/>
  <c r="B6" i="4" l="1"/>
  <c r="I208" i="3"/>
  <c r="I144" i="3"/>
  <c r="P103" i="3"/>
  <c r="O103" i="3"/>
  <c r="M103" i="3"/>
  <c r="I103" i="3"/>
  <c r="F103" i="3"/>
  <c r="P51" i="3"/>
  <c r="O51" i="3"/>
  <c r="M51" i="3"/>
  <c r="I51" i="3"/>
  <c r="F51" i="3"/>
  <c r="F50" i="2" l="1"/>
  <c r="E50" i="2"/>
  <c r="E31" i="2" l="1"/>
  <c r="F31" i="2"/>
  <c r="D98" i="2"/>
  <c r="D97" i="2" s="1"/>
  <c r="D26" i="2" s="1"/>
  <c r="D25" i="2" s="1"/>
  <c r="K181" i="3" l="1"/>
  <c r="P189" i="3" l="1"/>
  <c r="O189" i="3"/>
  <c r="I189" i="3"/>
  <c r="F189" i="3"/>
  <c r="P165" i="3" l="1"/>
  <c r="O165" i="3"/>
  <c r="I165" i="3"/>
  <c r="F165" i="3"/>
  <c r="P183" i="3"/>
  <c r="O183" i="3"/>
  <c r="M183" i="3"/>
  <c r="I183" i="3"/>
  <c r="F183" i="3"/>
  <c r="P180" i="3"/>
  <c r="O180" i="3"/>
  <c r="M180" i="3"/>
  <c r="I180" i="3"/>
  <c r="F180" i="3"/>
  <c r="P178" i="3"/>
  <c r="O178" i="3"/>
  <c r="M178" i="3"/>
  <c r="I178" i="3"/>
  <c r="F178" i="3"/>
  <c r="P130" i="3"/>
  <c r="O130" i="3"/>
  <c r="M130" i="3"/>
  <c r="I130" i="3"/>
  <c r="F130" i="3"/>
  <c r="M165" i="3" l="1"/>
  <c r="K123" i="3"/>
  <c r="N99" i="3"/>
  <c r="F98" i="2" l="1"/>
  <c r="F97" i="2" s="1"/>
  <c r="E98" i="2"/>
  <c r="E97" i="2" s="1"/>
  <c r="K96" i="3" l="1"/>
  <c r="I97" i="3" l="1"/>
  <c r="M97" i="3"/>
  <c r="P173" i="3"/>
  <c r="O173" i="3"/>
  <c r="M173" i="3"/>
  <c r="I173" i="3"/>
  <c r="F173" i="3"/>
  <c r="F97" i="3" l="1"/>
  <c r="P136" i="3" l="1"/>
  <c r="K85" i="3"/>
  <c r="I19" i="3"/>
  <c r="M19" i="3"/>
  <c r="G83" i="3"/>
  <c r="P57" i="3"/>
  <c r="O57" i="3"/>
  <c r="M57" i="3"/>
  <c r="I57" i="3"/>
  <c r="P44" i="3"/>
  <c r="O44" i="3"/>
  <c r="M44" i="3"/>
  <c r="I44" i="3"/>
  <c r="F44" i="3"/>
  <c r="P41" i="3"/>
  <c r="O41" i="3"/>
  <c r="M41" i="3"/>
  <c r="I41" i="3"/>
  <c r="K41" i="3" s="1"/>
  <c r="F41" i="3"/>
  <c r="I25" i="3"/>
  <c r="P25" i="3"/>
  <c r="O25" i="3"/>
  <c r="M25" i="3"/>
  <c r="F25" i="3"/>
  <c r="P19" i="3"/>
  <c r="O19" i="3"/>
  <c r="F19" i="3"/>
  <c r="F24" i="3" l="1"/>
  <c r="P24" i="3"/>
  <c r="O24" i="3"/>
  <c r="I24" i="3"/>
  <c r="M24" i="3"/>
  <c r="P152" i="3" l="1"/>
  <c r="O152" i="3"/>
  <c r="M152" i="3"/>
  <c r="I152" i="3"/>
  <c r="F152" i="3"/>
  <c r="P162" i="3"/>
  <c r="O162" i="3"/>
  <c r="P185" i="3"/>
  <c r="O185" i="3"/>
  <c r="M185" i="3"/>
  <c r="I185" i="3"/>
  <c r="F185" i="3"/>
  <c r="P142" i="3"/>
  <c r="O142" i="3"/>
  <c r="P140" i="3"/>
  <c r="O140" i="3"/>
  <c r="O136" i="3"/>
  <c r="M136" i="3"/>
  <c r="I136" i="3"/>
  <c r="F136" i="3"/>
  <c r="K116" i="3"/>
  <c r="P115" i="3"/>
  <c r="O115" i="3"/>
  <c r="M115" i="3"/>
  <c r="I115" i="3"/>
  <c r="F115" i="3"/>
  <c r="P97" i="3"/>
  <c r="O97" i="3"/>
  <c r="P95" i="3"/>
  <c r="O95" i="3"/>
  <c r="M95" i="3"/>
  <c r="I95" i="3"/>
  <c r="F95" i="3"/>
  <c r="E8" i="2" l="1"/>
  <c r="F8" i="2"/>
  <c r="E15" i="2"/>
  <c r="F15" i="2"/>
  <c r="F6" i="2" l="1"/>
  <c r="E6" i="2"/>
  <c r="P208" i="3" l="1"/>
  <c r="O208" i="3"/>
  <c r="M208" i="3"/>
  <c r="E25" i="2"/>
  <c r="E132" i="2" s="1"/>
  <c r="F25" i="2"/>
  <c r="F132" i="2" s="1"/>
  <c r="M113" i="3" l="1"/>
  <c r="I113" i="3"/>
  <c r="F113" i="3"/>
  <c r="M142" i="3"/>
  <c r="I142" i="3"/>
  <c r="F142" i="3"/>
  <c r="M140" i="3"/>
  <c r="I140" i="3"/>
  <c r="F140" i="3"/>
  <c r="M162" i="3" l="1"/>
  <c r="I162" i="3"/>
  <c r="F162" i="3"/>
  <c r="K87" i="3" l="1"/>
  <c r="I110" i="3" l="1"/>
  <c r="K112" i="3"/>
  <c r="P159" i="3"/>
  <c r="O159" i="3"/>
  <c r="M159" i="3"/>
  <c r="I159" i="3"/>
  <c r="F159" i="3"/>
  <c r="P156" i="3"/>
  <c r="O156" i="3"/>
  <c r="M156" i="3"/>
  <c r="I156" i="3"/>
  <c r="F156" i="3"/>
  <c r="P150" i="3"/>
  <c r="O150" i="3"/>
  <c r="M150" i="3"/>
  <c r="I150" i="3"/>
  <c r="F150" i="3"/>
  <c r="P147" i="3"/>
  <c r="O147" i="3"/>
  <c r="M147" i="3"/>
  <c r="I147" i="3"/>
  <c r="F147" i="3"/>
  <c r="P144" i="3"/>
  <c r="O144" i="3"/>
  <c r="M144" i="3"/>
  <c r="F144" i="3"/>
  <c r="P134" i="3"/>
  <c r="P133" i="3" s="1"/>
  <c r="O134" i="3"/>
  <c r="O133" i="3" s="1"/>
  <c r="M134" i="3"/>
  <c r="M133" i="3" s="1"/>
  <c r="I134" i="3"/>
  <c r="I133" i="3" s="1"/>
  <c r="F134" i="3"/>
  <c r="F133" i="3" s="1"/>
  <c r="P127" i="3"/>
  <c r="O127" i="3"/>
  <c r="M127" i="3"/>
  <c r="I127" i="3"/>
  <c r="F127" i="3"/>
  <c r="P124" i="3"/>
  <c r="O124" i="3"/>
  <c r="M124" i="3"/>
  <c r="I124" i="3"/>
  <c r="F124" i="3"/>
  <c r="P121" i="3"/>
  <c r="O121" i="3"/>
  <c r="M121" i="3"/>
  <c r="I121" i="3"/>
  <c r="F121" i="3"/>
  <c r="P118" i="3"/>
  <c r="O118" i="3"/>
  <c r="M118" i="3"/>
  <c r="I118" i="3"/>
  <c r="F118" i="3"/>
  <c r="K111" i="3"/>
  <c r="P110" i="3"/>
  <c r="O110" i="3"/>
  <c r="M110" i="3"/>
  <c r="F110" i="3"/>
  <c r="P108" i="3"/>
  <c r="O108" i="3"/>
  <c r="M108" i="3"/>
  <c r="I108" i="3"/>
  <c r="F108" i="3"/>
  <c r="P106" i="3"/>
  <c r="O106" i="3"/>
  <c r="M106" i="3"/>
  <c r="I106" i="3"/>
  <c r="F106" i="3"/>
  <c r="P100" i="3"/>
  <c r="O100" i="3"/>
  <c r="M100" i="3"/>
  <c r="F100" i="3"/>
  <c r="P93" i="3"/>
  <c r="O93" i="3"/>
  <c r="M93" i="3"/>
  <c r="I93" i="3"/>
  <c r="F93" i="3"/>
  <c r="P89" i="3"/>
  <c r="O89" i="3"/>
  <c r="M89" i="3"/>
  <c r="I89" i="3"/>
  <c r="P86" i="3"/>
  <c r="P56" i="3" s="1"/>
  <c r="O86" i="3"/>
  <c r="O56" i="3" s="1"/>
  <c r="M86" i="3"/>
  <c r="M56" i="3" s="1"/>
  <c r="I86" i="3"/>
  <c r="I56" i="3" s="1"/>
  <c r="F86" i="3"/>
  <c r="F56" i="3" s="1"/>
  <c r="P16" i="3"/>
  <c r="O16" i="3"/>
  <c r="M16" i="3"/>
  <c r="I16" i="3"/>
  <c r="F16" i="3"/>
  <c r="P13" i="3"/>
  <c r="O13" i="3"/>
  <c r="M13" i="3"/>
  <c r="I13" i="3"/>
  <c r="F13" i="3"/>
  <c r="P8" i="3"/>
  <c r="O8" i="3"/>
  <c r="M8" i="3"/>
  <c r="I8" i="3"/>
  <c r="F8" i="3"/>
  <c r="F7" i="3" l="1"/>
  <c r="I7" i="3"/>
  <c r="P7" i="3"/>
  <c r="M7" i="3"/>
  <c r="O7" i="3"/>
  <c r="M105" i="3"/>
  <c r="F105" i="3"/>
  <c r="I105" i="3"/>
  <c r="F92" i="3"/>
  <c r="F187" i="3" s="1"/>
  <c r="P92" i="3"/>
  <c r="M92" i="3"/>
  <c r="D6" i="2"/>
  <c r="P105" i="3"/>
  <c r="O105" i="3"/>
  <c r="I92" i="3"/>
  <c r="O92" i="3"/>
  <c r="M187" i="3" l="1"/>
  <c r="M211" i="3" s="1"/>
  <c r="I187" i="3"/>
  <c r="I211" i="3" s="1"/>
  <c r="O187" i="3"/>
  <c r="P187" i="3"/>
  <c r="D188" i="3" l="1"/>
  <c r="F211" i="3"/>
  <c r="I6" i="4" s="1"/>
  <c r="O188" i="3"/>
  <c r="O211" i="3"/>
  <c r="O213" i="3" s="1"/>
  <c r="P188" i="3"/>
  <c r="P211" i="3"/>
  <c r="P213" i="3" s="1"/>
  <c r="H23" i="1" l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E213" i="3" l="1"/>
  <c r="D132" i="2" l="1"/>
  <c r="J6" i="4" l="1"/>
  <c r="J7" i="4" s="1"/>
</calcChain>
</file>

<file path=xl/comments1.xml><?xml version="1.0" encoding="utf-8"?>
<comments xmlns="http://schemas.openxmlformats.org/spreadsheetml/2006/main">
  <authors>
    <author>Лукичева</author>
  </authors>
  <commentList>
    <comment ref="J37" authorId="0">
      <text>
        <r>
          <rPr>
            <b/>
            <sz val="9"/>
            <color indexed="81"/>
            <rFont val="Tahoma"/>
            <family val="2"/>
            <charset val="204"/>
          </rPr>
          <t>Лукичева:</t>
        </r>
        <r>
          <rPr>
            <sz val="9"/>
            <color indexed="81"/>
            <rFont val="Tahoma"/>
            <family val="2"/>
            <charset val="204"/>
          </rPr>
          <t xml:space="preserve">
+330,1 опека</t>
        </r>
      </text>
    </comment>
    <comment ref="J119" authorId="0">
      <text>
        <r>
          <rPr>
            <b/>
            <sz val="9"/>
            <color indexed="81"/>
            <rFont val="Tahoma"/>
            <charset val="1"/>
          </rPr>
          <t>Лукичева: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<sst xmlns="http://schemas.openxmlformats.org/spreadsheetml/2006/main" count="1224" uniqueCount="623">
  <si>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</si>
  <si>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</si>
  <si>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</si>
  <si>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</si>
  <si>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</si>
  <si>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</si>
  <si>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</si>
  <si>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</si>
  <si>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</si>
  <si>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</si>
  <si>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</si>
  <si>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</si>
  <si>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</si>
  <si>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</si>
  <si>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</si>
  <si>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</si>
  <si>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</si>
  <si>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</si>
  <si>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</si>
  <si>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</si>
  <si>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</si>
  <si>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</si>
  <si>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</si>
  <si>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</si>
  <si>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</si>
  <si>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</si>
  <si>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</si>
  <si>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</si>
  <si>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</si>
  <si>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</si>
  <si>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</si>
  <si>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</si>
  <si>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</si>
  <si>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</si>
  <si>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</si>
  <si>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</si>
  <si>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</si>
  <si>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</si>
  <si>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</si>
  <si>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</si>
  <si>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</si>
  <si>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</si>
  <si>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</si>
  <si>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</si>
  <si>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</si>
  <si>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</si>
  <si>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</si>
  <si>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</si>
  <si>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</si>
  <si>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</si>
  <si>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</si>
  <si>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</si>
  <si>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</si>
  <si>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</si>
  <si>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</si>
  <si>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</si>
  <si>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</si>
  <si>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</si>
  <si>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</si>
  <si>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</si>
  <si>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</si>
  <si>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</si>
  <si>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</si>
  <si>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</si>
  <si>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</si>
  <si>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</si>
  <si>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</si>
  <si>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</si>
  <si>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</si>
  <si>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</si>
  <si>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</si>
  <si>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</si>
  <si>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</si>
  <si>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</si>
  <si>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</si>
  <si>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</si>
  <si>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</si>
  <si>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</si>
  <si>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</si>
  <si>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</si>
  <si>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</si>
  <si>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</si>
  <si>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</si>
  <si>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</si>
  <si>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</si>
  <si>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</si>
  <si>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</si>
  <si>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</si>
  <si>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</si>
  <si>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</si>
  <si>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</si>
  <si>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</si>
  <si>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№</t>
  </si>
  <si>
    <t xml:space="preserve">Наименование </t>
  </si>
  <si>
    <t>Средства вышестоящих бюджетов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</si>
  <si>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</si>
  <si>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</si>
  <si>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</si>
  <si>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</si>
  <si>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</si>
  <si>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</si>
  <si>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</si>
  <si>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</si>
  <si>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</si>
  <si>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</si>
  <si>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</si>
  <si>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</si>
  <si>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</si>
  <si>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</si>
  <si>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</si>
  <si>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</si>
  <si>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</si>
  <si>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</si>
  <si>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</si>
  <si>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</si>
  <si>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</si>
  <si>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</si>
  <si>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</si>
  <si>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</si>
  <si>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</si>
  <si>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</si>
  <si>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</si>
  <si>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</si>
  <si>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</si>
  <si>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</si>
  <si>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</si>
  <si>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</si>
  <si>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</si>
  <si>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</si>
  <si>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</si>
  <si>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</si>
  <si>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</si>
  <si>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</si>
  <si>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</si>
  <si>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</si>
  <si>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</si>
  <si>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</si>
  <si>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</si>
  <si>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</si>
  <si>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</si>
  <si>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</si>
  <si>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</si>
  <si>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</si>
  <si>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</si>
  <si>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</si>
  <si>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</si>
  <si>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</si>
  <si>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</si>
  <si>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</si>
  <si>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</si>
  <si>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</si>
  <si>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</si>
  <si>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</si>
  <si>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</si>
  <si>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</si>
  <si>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</si>
  <si>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</si>
  <si>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</si>
  <si>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</si>
  <si>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</si>
  <si>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</si>
  <si>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</si>
  <si>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</si>
  <si>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</si>
  <si>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</si>
  <si>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</si>
  <si>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</si>
  <si>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</si>
  <si>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</si>
  <si>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</si>
  <si>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</si>
  <si>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</si>
  <si>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</si>
  <si>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</si>
  <si>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</si>
  <si>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</si>
  <si>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</si>
  <si>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На определение поставщиков (подрядчиков, исполнителей) в сельских поселениях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</si>
  <si>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</si>
  <si>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</si>
  <si>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</si>
  <si>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</si>
  <si>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</si>
  <si>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</si>
  <si>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</si>
  <si>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</si>
  <si>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</si>
  <si>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</si>
  <si>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</si>
  <si>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</si>
  <si>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</si>
  <si>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</si>
  <si>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</si>
  <si>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</si>
  <si>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</si>
  <si>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</si>
  <si>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</si>
  <si>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</si>
  <si>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</si>
  <si>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</si>
  <si>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</si>
  <si>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</si>
  <si>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Содержание МЦ Галактика</t>
  </si>
  <si>
    <t>Содержание учреждений общего образования</t>
  </si>
  <si>
    <t>Проведение гас. экспертизы</t>
  </si>
  <si>
    <t xml:space="preserve">Мероприятия по благоустройству (обеспечение деятельности) </t>
  </si>
  <si>
    <t>Субвенция на предоставление гражданам субсидий на оплату жилого помещения и коммунальных услуг</t>
  </si>
  <si>
    <t>АТМР, ДФ, ДИ</t>
  </si>
  <si>
    <t>Расходы на содержание муниципального казенного учреждения соц. обслуживания населения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</si>
  <si>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</si>
  <si>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</si>
  <si>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</si>
  <si>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</si>
  <si>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</si>
  <si>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Расходы на обеспечение  деятельности  органов местного самоуправления в сфере соц. защиты</t>
  </si>
  <si>
    <t xml:space="preserve">Инициативное бюджетирование </t>
  </si>
  <si>
    <t>Субвенции бюджетам муниципальных районов на государственную регистрацию актов гражданского состояния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</si>
  <si>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</si>
  <si>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</si>
  <si>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</si>
  <si>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</si>
  <si>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</si>
  <si>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</si>
  <si>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</si>
  <si>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</si>
  <si>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</si>
  <si>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</si>
  <si>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</si>
  <si>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</si>
  <si>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</si>
  <si>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</si>
  <si>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</si>
  <si>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</si>
  <si>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Условно утвержденные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</si>
  <si>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</si>
  <si>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</si>
  <si>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</si>
  <si>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</si>
  <si>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</si>
  <si>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</si>
  <si>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</si>
  <si>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</si>
  <si>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</si>
  <si>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</si>
  <si>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</si>
  <si>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</si>
  <si>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</si>
  <si>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</si>
  <si>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</si>
  <si>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</si>
  <si>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1</t>
  </si>
  <si>
    <t>01</t>
  </si>
  <si>
    <t>04</t>
  </si>
  <si>
    <t>05</t>
  </si>
  <si>
    <t>09</t>
  </si>
  <si>
    <t>10</t>
  </si>
  <si>
    <t>Повышение уровня благоустройства дворовых территорий (ДФ)</t>
  </si>
  <si>
    <t>25</t>
  </si>
  <si>
    <t>26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</si>
  <si>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</si>
  <si>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</si>
  <si>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</si>
  <si>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</si>
  <si>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</si>
  <si>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</si>
  <si>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</si>
  <si>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</si>
  <si>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</si>
  <si>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</si>
  <si>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Стимулирование работников в рамках проектной деятельности</t>
  </si>
  <si>
    <t>АТМР, ДМИ, ДФ</t>
  </si>
  <si>
    <t>Перевозка жителей нуждающихся в гемодиализе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</si>
  <si>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</si>
  <si>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</si>
  <si>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</si>
  <si>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</si>
  <si>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</si>
  <si>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</si>
  <si>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</si>
  <si>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</si>
  <si>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</si>
  <si>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 xml:space="preserve">Обучение муниципальных  служащих </t>
  </si>
  <si>
    <t>Компьютерное оборудование</t>
  </si>
  <si>
    <t>Безвозмездные поступления из других бюджетов бюджетной системы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</si>
  <si>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</si>
  <si>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</si>
  <si>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</si>
  <si>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</si>
  <si>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</si>
  <si>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</si>
  <si>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Расходы по строительству межпоселковых газопроводов п. Мишаки, Кузилово, Емишево на тер. Артемьевского сп </t>
  </si>
  <si>
    <t>02</t>
  </si>
  <si>
    <t>03</t>
  </si>
  <si>
    <t>границы сельских поселений</t>
  </si>
  <si>
    <t>Субсидия на подготовку к зиме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</si>
  <si>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</si>
  <si>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</si>
  <si>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</si>
  <si>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</si>
  <si>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>%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</si>
  <si>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</si>
  <si>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</si>
  <si>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</si>
  <si>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 xml:space="preserve">952 111 05000 05 0000 120 </t>
  </si>
  <si>
    <t>048 112 01000 01 0000 120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</si>
  <si>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</si>
  <si>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</si>
  <si>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</si>
  <si>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</si>
  <si>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</si>
  <si>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</si>
  <si>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</si>
  <si>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</si>
  <si>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</si>
  <si>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</si>
  <si>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</si>
  <si>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</si>
  <si>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</si>
  <si>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</si>
  <si>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</si>
  <si>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</si>
  <si>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</si>
  <si>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</si>
  <si>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</si>
  <si>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</si>
  <si>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</si>
  <si>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</si>
  <si>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</si>
  <si>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</si>
  <si>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</si>
  <si>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</si>
  <si>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</si>
  <si>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</si>
  <si>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</si>
  <si>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</si>
  <si>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Мероприятия по охране окружающей среды</t>
  </si>
  <si>
    <t>Программное обеспечение</t>
  </si>
  <si>
    <t>Обследование ЖФ</t>
  </si>
  <si>
    <t>Мероприятия по охране окружающей среды (МБТ)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</si>
  <si>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</si>
  <si>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</si>
  <si>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</si>
  <si>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</si>
  <si>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</si>
  <si>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</si>
  <si>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</si>
  <si>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</si>
  <si>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</si>
  <si>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</si>
  <si>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</si>
  <si>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</si>
  <si>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</si>
  <si>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</si>
  <si>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</si>
  <si>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</si>
  <si>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</si>
  <si>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</si>
  <si>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</si>
  <si>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</si>
  <si>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</si>
  <si>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</si>
  <si>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</si>
  <si>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</si>
  <si>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2024 год</t>
  </si>
  <si>
    <t xml:space="preserve">Субсидирование речных пассажирских перевозок </t>
  </si>
  <si>
    <t xml:space="preserve">Строительство колодцев на селе </t>
  </si>
  <si>
    <t>30</t>
  </si>
  <si>
    <t>29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</si>
  <si>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</si>
  <si>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</si>
  <si>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</si>
  <si>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</si>
  <si>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</si>
  <si>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 xml:space="preserve">Обеспечение мероприятий по БДД </t>
  </si>
  <si>
    <t>Текущее содержание дорог</t>
  </si>
  <si>
    <t>Замена газового оборудования и приборов учета в мун.жилфонде</t>
  </si>
  <si>
    <t>Реализация проекта "Наши дворы"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</si>
  <si>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</t>
  </si>
  <si>
    <t>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</si>
  <si>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ТО камер видеонаблюдения на территории Города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</si>
  <si>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</si>
  <si>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</si>
  <si>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956 2 02 25467 05 0000 150</t>
  </si>
  <si>
    <t>956 2 02 25519 05 0000 150</t>
  </si>
  <si>
    <t>950 2 02 29999 05 2032 150</t>
  </si>
  <si>
    <t>953 2 02 29999 05 2037 150</t>
  </si>
  <si>
    <t>Субсидия на повышение оплаты труда отдельных категорий  работников муниципальных учреждений в сфере образования</t>
  </si>
  <si>
    <t>956 2 02 29999 05 2048 150</t>
  </si>
  <si>
    <t>956 2 02 29999 05 2040 150</t>
  </si>
  <si>
    <t>954 2 02 30024 05 3021 150</t>
  </si>
  <si>
    <t>950 2 02 30024 05 3028 150</t>
  </si>
  <si>
    <t>953 2 02 30024 05 3030 150</t>
  </si>
  <si>
    <t>950 2 02 30024 05 3031 150</t>
  </si>
  <si>
    <t>954 2 02 30024 05 3041 150</t>
  </si>
  <si>
    <t>953 202 35304 05 0000 150</t>
  </si>
  <si>
    <t>955 202 40014 05 4601 150</t>
  </si>
  <si>
    <t>952 202 40014 05 4602 150</t>
  </si>
  <si>
    <t>950 202 40014 05 4603 150</t>
  </si>
  <si>
    <t>950 202 40014 05 4604 150</t>
  </si>
  <si>
    <t>950 202 40014 05 4605 150</t>
  </si>
  <si>
    <t>950 202 40014 05 4606 150</t>
  </si>
  <si>
    <t>950 202 40014 05 4607 150</t>
  </si>
  <si>
    <t>950 202 40014 05 4609 150</t>
  </si>
  <si>
    <t>956 202 40014 05 4610 150</t>
  </si>
  <si>
    <t>953 202 40014 05 4612 150</t>
  </si>
  <si>
    <t>950 202 40014 05 4613 150</t>
  </si>
  <si>
    <t>950 202 40014 05 4614 150</t>
  </si>
  <si>
    <t>950 202 40014 05 4615 150</t>
  </si>
  <si>
    <t>950 202 40014 05 4617 150</t>
  </si>
  <si>
    <t>956 202 40014 05 4618 150</t>
  </si>
  <si>
    <t>950 202 40014 05 4619 150</t>
  </si>
  <si>
    <t>956 202 40014 05 4621 150</t>
  </si>
  <si>
    <t>954 202 40014 05 4622 150</t>
  </si>
  <si>
    <t>950 202 40014 05 4625 150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</si>
  <si>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</si>
  <si>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</si>
  <si>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</si>
  <si>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952 202 49999 05 4009 150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</si>
  <si>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</si>
  <si>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</si>
  <si>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</si>
  <si>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Субсидия на обеспечение трудоустройства несовершеннолетних граждан на временные рабочие места</t>
  </si>
  <si>
    <t>Субсидия на проведение капиьального ремонта муниципальных библиотек</t>
  </si>
  <si>
    <t>Субвенция на оказание социальной помощи отдельным категориям  граждан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</si>
  <si>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</si>
  <si>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</si>
  <si>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</si>
  <si>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</si>
  <si>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</si>
  <si>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на   содержание органов местного самоуправления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</si>
  <si>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</si>
  <si>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</si>
  <si>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</si>
  <si>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</si>
  <si>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</si>
  <si>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</si>
  <si>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</si>
  <si>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</si>
  <si>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</si>
  <si>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</si>
  <si>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</si>
  <si>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</si>
  <si>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</si>
  <si>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</si>
  <si>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</si>
  <si>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</si>
  <si>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</si>
  <si>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</si>
  <si>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обеспечение мероприятий по выполнению прочих обязательств органами местного самоуправления</t>
  </si>
  <si>
    <t>Межбюджетные трансферты на проведение комплекса кадастровых работ на объектах газораспределения</t>
  </si>
  <si>
    <t>Уведомления из поселений ТМР</t>
  </si>
  <si>
    <t>Уведомление из областного бюджета</t>
  </si>
  <si>
    <t xml:space="preserve">Муниципальная программа "Управление земельно-имущественным комплексом Тутаевского муниципального района" </t>
  </si>
  <si>
    <t>06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</si>
  <si>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</si>
  <si>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Содержание учреждений культуры</t>
  </si>
  <si>
    <t>Содержание сетей уличного освещения</t>
  </si>
  <si>
    <t>Организация  деятельности учреждения</t>
  </si>
  <si>
    <t xml:space="preserve">3. Изменения  источников дефицита  бюджета  Тутаевского муниципального района на 2022 год </t>
  </si>
  <si>
    <t>Доходы от продажи земельных участков</t>
  </si>
  <si>
    <t>955 202 19999 05 1004 150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</si>
  <si>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</si>
  <si>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Субсидия на реализацию мероприятий по патриотическому воспитанию граждан</t>
  </si>
  <si>
    <t>956 202 29999 05 2006 150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</si>
  <si>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</si>
  <si>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953 202 29999 05 2015 150</t>
  </si>
  <si>
    <t>Субсидия на осуществление деятельности в сфере молодежной политики  социальными учреждениями молодежи</t>
  </si>
  <si>
    <t>956 202 29999 05 2009 150</t>
  </si>
  <si>
    <t>953 202 30024 05 3006 150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</si>
  <si>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</si>
  <si>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 xml:space="preserve"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- решения Правительства ЯО) </t>
  </si>
  <si>
    <t>955 202 45160 05 4002 150</t>
  </si>
  <si>
    <t>954 202 49999 05 4007 150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</si>
  <si>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</si>
  <si>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</si>
  <si>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</si>
  <si>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</si>
  <si>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953 2023 49999 05 4013 150</t>
  </si>
  <si>
    <t>953 202 29999 05 2001 150</t>
  </si>
  <si>
    <t>Субсидия на развитие материально-технической базы общеобразовательных организаций для организации питания обучающихся</t>
  </si>
  <si>
    <t>Единый сельскохозяйственный налог</t>
  </si>
  <si>
    <t>182 105 03010 01 0000 110</t>
  </si>
  <si>
    <t>по фактическому исполнению</t>
  </si>
  <si>
    <t>предложения главного администратора доходов - ДО АТМР</t>
  </si>
  <si>
    <t>950 202 29999 05 2034 150</t>
  </si>
  <si>
    <t>Субсидия на реализацию муниципальных программ поддержки социально ориентированных некоммерческих организаций</t>
  </si>
  <si>
    <t>Повышение уровня благоустройства  общественных  территорий (бл-во)</t>
  </si>
  <si>
    <t>строительство ФОКОТ на левом берегу г. Тутаев</t>
  </si>
  <si>
    <t>Субсидирование  на частичное возмещение расходов по теплоснабжению населения и соцсферы</t>
  </si>
  <si>
    <t>экономия при торгах</t>
  </si>
  <si>
    <t>экономия</t>
  </si>
  <si>
    <t>содержание мун.имущества</t>
  </si>
  <si>
    <t>Содержание здания БС</t>
  </si>
  <si>
    <t xml:space="preserve">Выплаты по обязательствам муниципального образования </t>
  </si>
  <si>
    <t xml:space="preserve">Ремонт здания  Ленина 79-А </t>
  </si>
  <si>
    <t>Изменения текущей редакции по заявкам ГРБС</t>
  </si>
  <si>
    <t>Оценка недвижимости, признание прав и регулирование отношений по муниципальной собственности</t>
  </si>
  <si>
    <t>Мероприятия по землеустройству и землепользованию</t>
  </si>
  <si>
    <t>Оценка имущества неиспользованные БА</t>
  </si>
  <si>
    <t xml:space="preserve"> Межжевание земели неиспользованные БА</t>
  </si>
  <si>
    <t>Примечание по заявкам и предложениям</t>
  </si>
  <si>
    <t>Дефицит                    бюджета 7 редакция</t>
  </si>
  <si>
    <t>Налог, взимаемый в связи с патентной системой налогообложения</t>
  </si>
  <si>
    <t>182 105 04020 02 0000110</t>
  </si>
  <si>
    <t>952 111 05013 13 0000 120, 950 111 05025 05 0000 120</t>
  </si>
  <si>
    <t>Прочие доходы от использования имущества ( плата за установку рекламных конструкций)</t>
  </si>
  <si>
    <t>950 111 09080 05 0000 120</t>
  </si>
  <si>
    <t>Дивиденды по акциям</t>
  </si>
  <si>
    <t>952 111 01050 05 0000 120</t>
  </si>
  <si>
    <t>952 114 06013 13 0000 430, 952 114 06013 05 0000 430, 952 114 06025 05 0000 430</t>
  </si>
  <si>
    <t>Доходы от реализации имущества</t>
  </si>
  <si>
    <t>952 114 02053 05 0000 410</t>
  </si>
  <si>
    <t>Налог на доходы физических лиц</t>
  </si>
  <si>
    <t>182 101 02 000 01 0000 110</t>
  </si>
  <si>
    <t>налог на добычу общераспространенных полезных ископаемых</t>
  </si>
  <si>
    <t>182 107 01020 01 0000 110</t>
  </si>
  <si>
    <t>950 202 19999 05 1008 150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</si>
  <si>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</si>
  <si>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956 202 29999 05 2038 150</t>
  </si>
  <si>
    <t>Субсидия на повышение оплаты труда работников муниципальных учреждений в сфере культуры</t>
  </si>
  <si>
    <t>954 202 30024 05 3003 150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</si>
  <si>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</si>
  <si>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954 202 30024 05 3036 150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</si>
  <si>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</si>
  <si>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954 202 35404 05 0000 150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</si>
  <si>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</si>
  <si>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компенсация расходов присмотр и уход за детьми</t>
  </si>
  <si>
    <t>уменьшение количества получателей</t>
  </si>
  <si>
    <t xml:space="preserve"> Содержание ребенка в семье опекуна и приемной семье</t>
  </si>
  <si>
    <t>Поддержка опеки и попечительства</t>
  </si>
  <si>
    <t>Ежемесячная денежная выплатв  отдельным категориям</t>
  </si>
  <si>
    <t>Ежемесячная выплата в связи с рождением 3 ребенка (доставка)</t>
  </si>
  <si>
    <t>Ежемесячная выплата от 3 до 7 лет (доставка)</t>
  </si>
  <si>
    <t>Социальная помощь на основание социального контракта</t>
  </si>
  <si>
    <t xml:space="preserve">Частичная оплата ст-ти путевки отдыха детей </t>
  </si>
  <si>
    <t>Гос. поддержка отдельным категориям для проведения ремонта жилых помещений</t>
  </si>
  <si>
    <t>Обеспечение присмотра и ухода за детьми , осваивающими образовательные программы  дошкольники</t>
  </si>
  <si>
    <t xml:space="preserve">Изменения текущей редакции </t>
  </si>
  <si>
    <t>экономия БА</t>
  </si>
  <si>
    <t xml:space="preserve">Поощрение муниципальных управленческих команд </t>
  </si>
  <si>
    <t>охрана труда</t>
  </si>
  <si>
    <t>Содержание департамента культуры, МКУ ЦОУК</t>
  </si>
  <si>
    <t>Исполнение судебных актов</t>
  </si>
  <si>
    <t>Взносы кап. Ремонт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</si>
  <si>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</si>
  <si>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ДФ</t>
  </si>
  <si>
    <t>Средства бюджетов поселений</t>
  </si>
  <si>
    <t>Дефицит        бюджета 7 редакция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</si>
  <si>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</si>
  <si>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предложения главного администратора доходов - ДМИ АТМР (погашение задолженности ТПГУ по претензии)</t>
  </si>
  <si>
    <t>предложения главного администратора доходов - ДМИ АТМР (выкуп земельных участков под огородничеством)</t>
  </si>
  <si>
    <t>Акцизы</t>
  </si>
  <si>
    <t>100 103 02000 01 0000 110</t>
  </si>
  <si>
    <t>950 202 20041 05 0000 150</t>
  </si>
  <si>
    <t>Субсидия на капитальный ремонт и ремонт дорожных объектов муниципальной собственности</t>
  </si>
  <si>
    <t>Прочие безвозмездные поступления</t>
  </si>
  <si>
    <t>950 207 05030 05 0000 150</t>
  </si>
  <si>
    <t>Отсутствуют поступления от АО  "Газпром газораспределение Ярославль"</t>
  </si>
  <si>
    <t>Субсидия на оплату жилищно-коммунальных услуг отдельным категориям</t>
  </si>
  <si>
    <t>Оплата жилищно-коммунальных услуг гражданам по полномочиям Ярос. Области</t>
  </si>
  <si>
    <t xml:space="preserve">компенсация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 </t>
  </si>
  <si>
    <t>Социальная помощь отдельным категориям граждан</t>
  </si>
  <si>
    <t>Социальная помощь на основание социального контракта в части доставки</t>
  </si>
  <si>
    <t>Социальная помощь на основание социального контракта за счет средств резервного фонда Правительства ЯО</t>
  </si>
  <si>
    <t>Обеспечение деятельности ОМС в сфере соц. защиты населения</t>
  </si>
  <si>
    <t>Ежемесячная выплата на детей  от 3 до 7 лет  за счет средств резервного фонда Правительства ЯО</t>
  </si>
  <si>
    <t>Ежемесячная выплата в связи с рождением 3 ребенка или последующих детей за счет резервного фонда Правительства ЯО</t>
  </si>
  <si>
    <t>Содержание ЕДДС</t>
  </si>
  <si>
    <t>Содержание Агентство</t>
  </si>
  <si>
    <t>Содержание информационного центра</t>
  </si>
  <si>
    <t>Содержание ЦКО</t>
  </si>
  <si>
    <t>Содержание ЖКХ</t>
  </si>
  <si>
    <t>доходы</t>
  </si>
  <si>
    <t>дотация</t>
  </si>
  <si>
    <t xml:space="preserve">303 000,00 исполнительные листы Агенство  ООО Профактор </t>
  </si>
  <si>
    <t>предел</t>
  </si>
  <si>
    <t>Мероприятия по содержанию ВМК</t>
  </si>
  <si>
    <t>Содержание имущества казны гп Тутаев</t>
  </si>
  <si>
    <t>Приведение в нормативное состояние а/ дорог , обеспечивающих подъезды к социальным объектам</t>
  </si>
  <si>
    <t>на ПСД</t>
  </si>
  <si>
    <t>ФП ремонт дорог "Агломерация" (соф. к обл. субсидия)</t>
  </si>
  <si>
    <t>на установку окна в мун.квартире</t>
  </si>
  <si>
    <t>введение доп.рейсов</t>
  </si>
  <si>
    <t xml:space="preserve">Ремонт ул. Толбухина </t>
  </si>
  <si>
    <t>увеличение ФОТ</t>
  </si>
  <si>
    <t>Содержание ЗАГС</t>
  </si>
  <si>
    <t xml:space="preserve">Резервный Фонд </t>
  </si>
  <si>
    <t>Муниципальные гарантии</t>
  </si>
  <si>
    <t>кредит</t>
  </si>
  <si>
    <t>всего</t>
  </si>
  <si>
    <t>Представительские расходы</t>
  </si>
  <si>
    <t xml:space="preserve"> Ремонт автомобильных дорог (обл. субсидия)</t>
  </si>
  <si>
    <t>Содержание ОМС</t>
  </si>
  <si>
    <t>Проведение Патриотического мероприятия (конфеты мобилизованным)</t>
  </si>
  <si>
    <t>Проведение мероприятий</t>
  </si>
  <si>
    <t>Содержание туалета левый берег (экономия БА)</t>
  </si>
  <si>
    <t>Классное руководство</t>
  </si>
  <si>
    <t>Бесплатное горячее питание</t>
  </si>
  <si>
    <t>Содержание учреждений доп. образования</t>
  </si>
  <si>
    <t>Питание обучающихся образовательных учреждений</t>
  </si>
  <si>
    <t>Содержание школьных автобусов</t>
  </si>
  <si>
    <t>Обеспечение деятельности народных дружин</t>
  </si>
  <si>
    <t>кредитные средства</t>
  </si>
  <si>
    <t>Экономия БА</t>
  </si>
  <si>
    <t>Расторжение соглашения о передаче полномочий с сп Константиновский</t>
  </si>
  <si>
    <t>ремонт банного комплекса</t>
  </si>
  <si>
    <t>увеличение ФОТ в связи с реорганизацией структуры</t>
  </si>
  <si>
    <t>оплата услуг (ноябрь+ аванс декабря 2022 года)</t>
  </si>
  <si>
    <t>приобретение ноутбука</t>
  </si>
  <si>
    <t>ФОТ УКСТ</t>
  </si>
  <si>
    <t>ФОКОТ перераспределение дотации</t>
  </si>
  <si>
    <t>увеличение ФОТ в связи с реорганизацией структуры  компенсация за неиспользованный отпуск, выплаты)</t>
  </si>
  <si>
    <t>оплата ноября и первой декады декабря</t>
  </si>
  <si>
    <t>земельный налог 4 квартал</t>
  </si>
  <si>
    <t>передвижка</t>
  </si>
  <si>
    <t>Экономия</t>
  </si>
  <si>
    <t>увеличение ФОТ фед. Средства</t>
  </si>
  <si>
    <t xml:space="preserve">д. Антифьево 2553,8т.р. ; д.Подлесное 2025,4т.р., д.Вышницы - 987,5 т.р. </t>
  </si>
  <si>
    <t>ДМИ,         АТМР</t>
  </si>
  <si>
    <t>Межбюджетные трансферты</t>
  </si>
  <si>
    <t xml:space="preserve">  2. Изменения  расходов  бюджета Тутаевского муниципального района на 2022 год и плановый период 2023-2024гг                                      (редакция 8  декабря  2022)</t>
  </si>
  <si>
    <t xml:space="preserve">                                                                                                                 1. +1288,2 земельный налог 4 кв.;                                          2. +282,3 устранение аварии  по теплоснабжению п. Микляиха шс 24;                                                                                                                           </t>
  </si>
  <si>
    <t>1. -156691,00 -  ДФ+ЦБ;  -556127 АТМР и подведомственные учреждения; -4557 ДТиСР; +223944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</si>
</sst>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%"/>
    <numFmt numFmtId="165" formatCode="#,##0.00;[Red]#,##0.00"/>
    <numFmt numFmtId="166" formatCode="#,##0.00_ ;\-#,##0.00\ 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17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4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/>
    <xf numFmtId="0" fontId="2" fillId="0" borderId="32" xfId="0" applyFont="1" applyBorder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4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4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/>
    <xf numFmtId="0" fontId="1" fillId="0" borderId="15" xfId="0" applyFont="1" applyBorder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164" fontId="2" fillId="0" borderId="3" xfId="0" applyNumberFormat="1" applyFont="1" applyBorder="1"/>
    <xf numFmtId="164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4" fontId="6" fillId="0" borderId="1" xfId="0" applyNumberFormat="1" applyFont="1" applyBorder="1"/>
    <xf numFmtId="9" fontId="1" fillId="0" borderId="1" xfId="0" applyNumberFormat="1" applyFont="1" applyBorder="1"/>
    <xf numFmtId="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/>
    <xf numFmtId="49" fontId="6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center" wrapText="1"/>
    </xf>
    <xf numFmtId="4" fontId="10" fillId="6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5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49" fontId="3" fillId="0" borderId="0" xfId="0" applyNumberFormat="1" applyFont="1"/>
    <xf numFmtId="4" fontId="10" fillId="6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6" fontId="10" fillId="6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49" fontId="10" fillId="6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0" fillId="6" borderId="1" xfId="0" applyNumberFormat="1" applyFont="1" applyFill="1" applyBorder="1" applyAlignment="1">
      <alignment horizontal="center"/>
    </xf>
    <xf numFmtId="49" fontId="10" fillId="10" borderId="1" xfId="0" applyNumberFormat="1" applyFon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left" wrapText="1"/>
    </xf>
    <xf numFmtId="49" fontId="15" fillId="7" borderId="1" xfId="0" applyNumberFormat="1" applyFont="1" applyFill="1" applyBorder="1" applyAlignment="1">
      <alignment horizontal="right" wrapText="1"/>
    </xf>
    <xf numFmtId="0" fontId="11" fillId="10" borderId="1" xfId="0" applyFont="1" applyFill="1" applyBorder="1" applyAlignment="1">
      <alignment horizontal="left" wrapText="1"/>
    </xf>
    <xf numFmtId="49" fontId="11" fillId="1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horizontal="left" wrapText="1"/>
    </xf>
    <xf numFmtId="49" fontId="11" fillId="7" borderId="1" xfId="0" applyNumberFormat="1" applyFont="1" applyFill="1" applyBorder="1" applyAlignment="1">
      <alignment horizontal="right" wrapText="1"/>
    </xf>
    <xf numFmtId="49" fontId="3" fillId="7" borderId="1" xfId="0" applyNumberFormat="1" applyFont="1" applyFill="1" applyBorder="1" applyAlignment="1">
      <alignment horizontal="right" wrapText="1"/>
    </xf>
    <xf numFmtId="49" fontId="1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3" fillId="7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" fontId="1" fillId="6" borderId="1" xfId="1" applyNumberFormat="1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 wrapText="1"/>
    </xf>
    <xf numFmtId="166" fontId="13" fillId="7" borderId="1" xfId="1" applyNumberFormat="1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0" fillId="0" borderId="27" xfId="3" applyFont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4" fontId="10" fillId="14" borderId="1" xfId="0" applyNumberFormat="1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wrapText="1"/>
    </xf>
    <xf numFmtId="4" fontId="11" fillId="3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vertical="distributed" wrapText="1"/>
    </xf>
    <xf numFmtId="49" fontId="25" fillId="0" borderId="1" xfId="0" applyNumberFormat="1" applyFont="1" applyBorder="1" applyAlignment="1">
      <alignment horizontal="center" vertical="top" wrapText="1"/>
    </xf>
    <xf numFmtId="3" fontId="17" fillId="2" borderId="1" xfId="0" applyNumberFormat="1" applyFont="1" applyFill="1" applyBorder="1" applyAlignment="1">
      <alignment vertical="top" wrapText="1"/>
    </xf>
    <xf numFmtId="3" fontId="18" fillId="2" borderId="1" xfId="0" applyNumberFormat="1" applyFont="1" applyFill="1" applyBorder="1" applyAlignment="1">
      <alignment vertical="top" wrapText="1"/>
    </xf>
    <xf numFmtId="4" fontId="18" fillId="2" borderId="1" xfId="0" applyNumberFormat="1" applyFont="1" applyFill="1" applyBorder="1" applyAlignment="1">
      <alignment vertical="distributed" wrapText="1"/>
    </xf>
    <xf numFmtId="49" fontId="3" fillId="5" borderId="1" xfId="0" applyNumberFormat="1" applyFont="1" applyFill="1" applyBorder="1" applyAlignment="1">
      <alignment horizontal="left" wrapText="1"/>
    </xf>
    <xf numFmtId="0" fontId="10" fillId="10" borderId="1" xfId="0" applyFont="1" applyFill="1" applyBorder="1" applyAlignment="1">
      <alignment horizontal="left" wrapText="1"/>
    </xf>
    <xf numFmtId="0" fontId="10" fillId="10" borderId="0" xfId="0" applyFont="1" applyFill="1"/>
    <xf numFmtId="49" fontId="10" fillId="8" borderId="1" xfId="0" applyNumberFormat="1" applyFont="1" applyFill="1" applyBorder="1" applyAlignment="1">
      <alignment horizontal="right" wrapText="1"/>
    </xf>
    <xf numFmtId="0" fontId="11" fillId="11" borderId="1" xfId="0" applyFont="1" applyFill="1" applyBorder="1" applyAlignment="1">
      <alignment horizontal="center" wrapText="1"/>
    </xf>
    <xf numFmtId="49" fontId="11" fillId="11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right" wrapText="1"/>
    </xf>
    <xf numFmtId="0" fontId="10" fillId="8" borderId="1" xfId="0" applyFont="1" applyFill="1" applyBorder="1" applyAlignment="1">
      <alignment horizontal="left" wrapText="1"/>
    </xf>
    <xf numFmtId="49" fontId="10" fillId="6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right"/>
    </xf>
    <xf numFmtId="49" fontId="3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49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right" wrapText="1"/>
    </xf>
    <xf numFmtId="4" fontId="2" fillId="6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4" fontId="2" fillId="14" borderId="1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2" fontId="28" fillId="2" borderId="1" xfId="0" applyNumberFormat="1" applyFont="1" applyFill="1" applyBorder="1" applyAlignment="1">
      <alignment horizontal="left" wrapText="1"/>
    </xf>
    <xf numFmtId="2" fontId="28" fillId="2" borderId="1" xfId="0" applyNumberFormat="1" applyFont="1" applyFill="1" applyBorder="1" applyAlignment="1">
      <alignment horizontal="right" wrapText="1"/>
    </xf>
    <xf numFmtId="2" fontId="28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left" wrapText="1"/>
    </xf>
    <xf numFmtId="2" fontId="5" fillId="2" borderId="0" xfId="0" applyNumberFormat="1" applyFont="1" applyFill="1"/>
    <xf numFmtId="49" fontId="6" fillId="2" borderId="1" xfId="0" applyNumberFormat="1" applyFont="1" applyFill="1" applyBorder="1" applyAlignment="1">
      <alignment horizontal="right" wrapText="1"/>
    </xf>
    <xf numFmtId="49" fontId="6" fillId="5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 wrapText="1"/>
    </xf>
    <xf numFmtId="49" fontId="13" fillId="10" borderId="1" xfId="0" applyNumberFormat="1" applyFont="1" applyFill="1" applyBorder="1" applyAlignment="1">
      <alignment horizontal="right" wrapText="1"/>
    </xf>
    <xf numFmtId="3" fontId="13" fillId="10" borderId="1" xfId="0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49" fontId="5" fillId="8" borderId="1" xfId="0" applyNumberFormat="1" applyFont="1" applyFill="1" applyBorder="1" applyAlignment="1">
      <alignment horizontal="right" wrapText="1"/>
    </xf>
    <xf numFmtId="4" fontId="5" fillId="6" borderId="1" xfId="0" applyNumberFormat="1" applyFont="1" applyFill="1" applyBorder="1" applyAlignment="1">
      <alignment horizontal="right"/>
    </xf>
    <xf numFmtId="4" fontId="5" fillId="14" borderId="1" xfId="0" applyNumberFormat="1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right" wrapTex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9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horizontal="right"/>
    </xf>
    <xf numFmtId="4" fontId="28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horizontal="left" wrapText="1"/>
    </xf>
    <xf numFmtId="0" fontId="28" fillId="0" borderId="0" xfId="0" applyFont="1"/>
    <xf numFmtId="49" fontId="28" fillId="3" borderId="1" xfId="0" applyNumberFormat="1" applyFont="1" applyFill="1" applyBorder="1" applyAlignment="1">
      <alignment horizontal="center"/>
    </xf>
    <xf numFmtId="49" fontId="28" fillId="3" borderId="1" xfId="0" applyNumberFormat="1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right"/>
    </xf>
    <xf numFmtId="4" fontId="28" fillId="3" borderId="1" xfId="0" applyNumberFormat="1" applyFont="1" applyFill="1" applyBorder="1" applyAlignment="1">
      <alignment horizontal="right"/>
    </xf>
    <xf numFmtId="49" fontId="28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 wrapText="1"/>
    </xf>
    <xf numFmtId="49" fontId="2" fillId="8" borderId="1" xfId="0" applyNumberFormat="1" applyFont="1" applyFill="1" applyBorder="1" applyAlignment="1">
      <alignment horizontal="right" wrapText="1"/>
    </xf>
    <xf numFmtId="49" fontId="2" fillId="6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right" wrapText="1"/>
    </xf>
    <xf numFmtId="49" fontId="1" fillId="5" borderId="1" xfId="0" applyNumberFormat="1" applyFont="1" applyFill="1" applyBorder="1" applyAlignment="1">
      <alignment horizontal="left" wrapText="1"/>
    </xf>
    <xf numFmtId="0" fontId="13" fillId="11" borderId="1" xfId="0" applyFont="1" applyFill="1" applyBorder="1" applyAlignment="1">
      <alignment horizontal="center" wrapText="1"/>
    </xf>
    <xf numFmtId="49" fontId="13" fillId="11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left" wrapText="1"/>
    </xf>
    <xf numFmtId="0" fontId="2" fillId="8" borderId="1" xfId="0" applyFont="1" applyFill="1" applyBorder="1" applyAlignment="1">
      <alignment horizontal="center" wrapText="1"/>
    </xf>
    <xf numFmtId="0" fontId="1" fillId="5" borderId="1" xfId="2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8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2" fontId="6" fillId="2" borderId="1" xfId="0" applyNumberFormat="1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49" fontId="2" fillId="12" borderId="1" xfId="0" applyNumberFormat="1" applyFont="1" applyFill="1" applyBorder="1" applyAlignment="1">
      <alignment horizontal="center"/>
    </xf>
    <xf numFmtId="0" fontId="1" fillId="12" borderId="0" xfId="0" applyFont="1" applyFill="1"/>
    <xf numFmtId="0" fontId="13" fillId="13" borderId="1" xfId="0" applyFont="1" applyFill="1" applyBorder="1" applyAlignment="1">
      <alignment horizontal="left" wrapText="1"/>
    </xf>
    <xf numFmtId="49" fontId="13" fillId="14" borderId="1" xfId="0" applyNumberFormat="1" applyFont="1" applyFill="1" applyBorder="1" applyAlignment="1">
      <alignment horizontal="right" wrapText="1"/>
    </xf>
    <xf numFmtId="4" fontId="2" fillId="14" borderId="1" xfId="0" applyNumberFormat="1" applyFont="1" applyFill="1" applyBorder="1" applyAlignment="1">
      <alignment horizontal="right"/>
    </xf>
    <xf numFmtId="4" fontId="13" fillId="14" borderId="1" xfId="0" applyNumberFormat="1" applyFont="1" applyFill="1" applyBorder="1" applyAlignment="1">
      <alignment horizontal="right"/>
    </xf>
    <xf numFmtId="0" fontId="2" fillId="12" borderId="0" xfId="0" applyFont="1" applyFill="1"/>
    <xf numFmtId="0" fontId="13" fillId="11" borderId="1" xfId="0" applyFont="1" applyFill="1" applyBorder="1" applyAlignment="1">
      <alignment horizontal="left" wrapText="1"/>
    </xf>
    <xf numFmtId="4" fontId="1" fillId="14" borderId="1" xfId="0" applyNumberFormat="1" applyFont="1" applyFill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center"/>
    </xf>
    <xf numFmtId="0" fontId="27" fillId="7" borderId="1" xfId="0" applyFont="1" applyFill="1" applyBorder="1" applyAlignment="1">
      <alignment horizontal="left" wrapText="1"/>
    </xf>
    <xf numFmtId="49" fontId="27" fillId="7" borderId="1" xfId="0" applyNumberFormat="1" applyFont="1" applyFill="1" applyBorder="1" applyAlignment="1">
      <alignment horizontal="right" wrapText="1"/>
    </xf>
    <xf numFmtId="4" fontId="1" fillId="7" borderId="1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4" fontId="3" fillId="7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3" fontId="20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14" fontId="13" fillId="7" borderId="1" xfId="0" applyNumberFormat="1" applyFont="1" applyFill="1" applyBorder="1" applyAlignment="1">
      <alignment vertical="center" wrapText="1"/>
    </xf>
    <xf numFmtId="14" fontId="11" fillId="7" borderId="1" xfId="0" applyNumberFormat="1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vertical="center" wrapText="1"/>
    </xf>
    <xf numFmtId="0" fontId="1" fillId="0" borderId="27" xfId="3" applyFont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14" fontId="13" fillId="0" borderId="1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4" fontId="2" fillId="10" borderId="0" xfId="0" applyNumberFormat="1" applyFont="1" applyFill="1"/>
    <xf numFmtId="4" fontId="1" fillId="0" borderId="0" xfId="0" applyNumberFormat="1" applyFont="1"/>
    <xf numFmtId="3" fontId="28" fillId="2" borderId="1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/>
    </xf>
    <xf numFmtId="164" fontId="28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164" fontId="13" fillId="10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164" fontId="11" fillId="10" borderId="1" xfId="0" applyNumberFormat="1" applyFont="1" applyFill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13" fillId="14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164" fontId="5" fillId="6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28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27" fillId="0" borderId="1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25" fillId="0" borderId="1" xfId="0" applyNumberFormat="1" applyFont="1" applyBorder="1" applyAlignment="1">
      <alignment horizontal="center" vertical="distributed" wrapText="1"/>
    </xf>
    <xf numFmtId="3" fontId="25" fillId="0" borderId="1" xfId="0" applyNumberFormat="1" applyFont="1" applyBorder="1" applyAlignment="1">
      <alignment horizontal="center" vertical="top" wrapText="1"/>
    </xf>
    <xf numFmtId="3" fontId="17" fillId="2" borderId="1" xfId="0" applyNumberFormat="1" applyFont="1" applyFill="1" applyBorder="1" applyAlignment="1">
      <alignment vertical="distributed" wrapText="1"/>
    </xf>
    <xf numFmtId="3" fontId="18" fillId="2" borderId="1" xfId="0" applyNumberFormat="1" applyFont="1" applyFill="1" applyBorder="1" applyAlignment="1">
      <alignment vertical="distributed" wrapText="1"/>
    </xf>
    <xf numFmtId="3" fontId="12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6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11" fillId="10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3" fontId="2" fillId="14" borderId="1" xfId="0" applyNumberFormat="1" applyFont="1" applyFill="1" applyBorder="1" applyAlignment="1">
      <alignment horizontal="right"/>
    </xf>
    <xf numFmtId="3" fontId="13" fillId="14" borderId="1" xfId="0" applyNumberFormat="1" applyFont="1" applyFill="1" applyBorder="1" applyAlignment="1">
      <alignment horizontal="right"/>
    </xf>
    <xf numFmtId="3" fontId="10" fillId="6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right"/>
    </xf>
    <xf numFmtId="3" fontId="5" fillId="6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28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12" borderId="1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49" xfId="0" applyFont="1" applyBorder="1" applyAlignment="1">
      <alignment horizontal="center" vertical="center" wrapText="1"/>
    </xf>
    <xf numFmtId="0" fontId="12" fillId="0" borderId="4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3" fontId="28" fillId="0" borderId="27" xfId="0" applyNumberFormat="1" applyFont="1" applyBorder="1" applyAlignment="1">
      <alignment horizontal="right"/>
    </xf>
    <xf numFmtId="3" fontId="28" fillId="0" borderId="41" xfId="0" applyNumberFormat="1" applyFont="1" applyBorder="1" applyAlignment="1">
      <alignment horizontal="right"/>
    </xf>
    <xf numFmtId="3" fontId="28" fillId="0" borderId="42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3" fontId="28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4" fontId="17" fillId="2" borderId="1" xfId="0" applyNumberFormat="1" applyFont="1" applyFill="1" applyBorder="1" applyAlignment="1">
      <alignment vertical="distributed" wrapText="1"/>
    </xf>
    <xf numFmtId="4" fontId="17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Финансовый" xfId="1" builtinId="3"/>
  </cellStyles>
  <dxfs count="0"/>
  <tableStyles count="0" defaultTableStyle="TableStyleMedium9" defaultPivotStyle="PivotStyleLight16"/>
  <colors>
    <mruColors>
      <color rgb="FFFFF8EF"/>
      <color rgb="FFF8F8F8"/>
      <color rgb="FFFEF9F4"/>
      <color rgb="FFFEF2E8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3"/>
  <sheetViews>
    <sheetView view="pageBreakPreview" topLeftCell="B81" zoomScale="110" zoomScaleSheetLayoutView="110" workbookViewId="0">
      <selection activeCell="C8" sqref="C8"/>
    </sheetView>
  </sheetViews>
  <sheetFormatPr defaultColWidth="9.140625" defaultRowHeight="15" x14ac:dyDescent="0.25"/>
  <cols>
    <col min="1" max="1" width="6.5703125" style="331" hidden="1" customWidth="1"/>
    <col min="2" max="2" width="57.28515625" style="331" customWidth="1"/>
    <col min="3" max="3" width="19.85546875" style="331" customWidth="1"/>
    <col min="4" max="4" width="17.28515625" style="331" customWidth="1"/>
    <col min="5" max="5" width="14.85546875" style="331" hidden="1" customWidth="1"/>
    <col min="6" max="6" width="15.42578125" style="331" hidden="1" customWidth="1"/>
    <col min="7" max="7" width="24.5703125" style="331" customWidth="1"/>
    <col min="8" max="16384" width="9.140625" style="331"/>
  </cols>
  <sheetData>
    <row r="1" spans="1:7" ht="66" customHeight="1" x14ac:dyDescent="0.25">
      <c r="A1" s="429" t="s">
        <v>377</v>
      </c>
      <c r="B1" s="429"/>
      <c r="C1" s="429"/>
      <c r="D1" s="429"/>
      <c r="E1" s="429"/>
      <c r="F1" s="429"/>
      <c r="G1" s="429"/>
    </row>
    <row r="2" spans="1:7" ht="91.7" customHeight="1" x14ac:dyDescent="0.25">
      <c r="A2" s="430" t="s">
        <v>296</v>
      </c>
      <c r="B2" s="430"/>
      <c r="C2" s="430"/>
      <c r="D2" s="430"/>
      <c r="E2" s="430"/>
      <c r="F2" s="430"/>
      <c r="G2" s="430"/>
    </row>
    <row r="3" spans="1:7" x14ac:dyDescent="0.25">
      <c r="A3" s="431" t="s">
        <v>234</v>
      </c>
      <c r="B3" s="431"/>
      <c r="C3" s="431"/>
      <c r="D3" s="431"/>
      <c r="E3" s="431"/>
      <c r="F3" s="431"/>
      <c r="G3" s="432"/>
    </row>
    <row r="4" spans="1:7" ht="15" customHeight="1" x14ac:dyDescent="0.25">
      <c r="A4" s="427" t="s">
        <v>0</v>
      </c>
      <c r="B4" s="434" t="s">
        <v>78</v>
      </c>
      <c r="C4" s="327"/>
      <c r="D4" s="332" t="s">
        <v>224</v>
      </c>
      <c r="E4" s="332" t="s">
        <v>235</v>
      </c>
      <c r="F4" s="332" t="s">
        <v>363</v>
      </c>
      <c r="G4" s="427" t="s">
        <v>83</v>
      </c>
    </row>
    <row r="5" spans="1:7" ht="37.5" customHeight="1" x14ac:dyDescent="0.25">
      <c r="A5" s="428"/>
      <c r="B5" s="435"/>
      <c r="C5" s="328"/>
      <c r="D5" s="160" t="s">
        <v>77</v>
      </c>
      <c r="E5" s="160" t="s">
        <v>77</v>
      </c>
      <c r="F5" s="160" t="s">
        <v>77</v>
      </c>
      <c r="G5" s="428"/>
    </row>
    <row r="6" spans="1:7" x14ac:dyDescent="0.25">
      <c r="A6" s="333"/>
      <c r="B6" s="334" t="s">
        <v>79</v>
      </c>
      <c r="C6" s="334"/>
      <c r="D6" s="161">
        <f>D8+D15</f>
        <v>4115010</v>
      </c>
      <c r="E6" s="161">
        <f>E8+E15</f>
        <v>0</v>
      </c>
      <c r="F6" s="161">
        <f>F8+F15</f>
        <v>0</v>
      </c>
      <c r="G6" s="335"/>
    </row>
    <row r="7" spans="1:7" x14ac:dyDescent="0.25">
      <c r="A7" s="336"/>
      <c r="B7" s="266" t="s">
        <v>80</v>
      </c>
      <c r="C7" s="266"/>
      <c r="D7" s="162"/>
      <c r="E7" s="337"/>
      <c r="F7" s="337"/>
      <c r="G7" s="266"/>
    </row>
    <row r="8" spans="1:7" x14ac:dyDescent="0.25">
      <c r="A8" s="338"/>
      <c r="B8" s="339" t="s">
        <v>190</v>
      </c>
      <c r="C8" s="339"/>
      <c r="D8" s="163">
        <f>D14</f>
        <v>1365010</v>
      </c>
      <c r="E8" s="163">
        <f>E10</f>
        <v>0</v>
      </c>
      <c r="F8" s="163">
        <f>F10</f>
        <v>0</v>
      </c>
      <c r="G8" s="340"/>
    </row>
    <row r="9" spans="1:7" hidden="1" x14ac:dyDescent="0.3">
      <c r="A9" s="338"/>
      <c r="B9" s="341" t="s">
        <v>512</v>
      </c>
      <c r="C9" s="341" t="s">
        <v>513</v>
      </c>
      <c r="D9" s="164"/>
      <c r="E9" s="164"/>
      <c r="F9" s="164"/>
      <c r="G9" s="424" t="s">
        <v>482</v>
      </c>
    </row>
    <row r="10" spans="1:7" ht="22.7" hidden="1" customHeight="1" x14ac:dyDescent="0.3">
      <c r="A10" s="338"/>
      <c r="B10" s="341" t="s">
        <v>480</v>
      </c>
      <c r="C10" s="175" t="s">
        <v>481</v>
      </c>
      <c r="D10" s="164"/>
      <c r="E10" s="165"/>
      <c r="F10" s="165"/>
      <c r="G10" s="442"/>
    </row>
    <row r="11" spans="1:7" hidden="1" x14ac:dyDescent="0.3">
      <c r="A11" s="336"/>
      <c r="B11" s="266" t="s">
        <v>502</v>
      </c>
      <c r="C11" s="166" t="s">
        <v>503</v>
      </c>
      <c r="D11" s="162"/>
      <c r="E11" s="337"/>
      <c r="F11" s="337"/>
      <c r="G11" s="442"/>
    </row>
    <row r="12" spans="1:7" hidden="1" x14ac:dyDescent="0.3">
      <c r="A12" s="336"/>
      <c r="B12" s="266" t="s">
        <v>514</v>
      </c>
      <c r="C12" s="266" t="s">
        <v>515</v>
      </c>
      <c r="D12" s="162"/>
      <c r="E12" s="337"/>
      <c r="F12" s="337"/>
      <c r="G12" s="442"/>
    </row>
    <row r="13" spans="1:7" ht="15" hidden="1" customHeight="1" x14ac:dyDescent="0.3">
      <c r="A13" s="336"/>
      <c r="B13" s="266"/>
      <c r="C13" s="266"/>
      <c r="D13" s="162"/>
      <c r="E13" s="337"/>
      <c r="F13" s="337"/>
      <c r="G13" s="442"/>
    </row>
    <row r="14" spans="1:7" ht="34.700000000000003" customHeight="1" x14ac:dyDescent="0.25">
      <c r="A14" s="336"/>
      <c r="B14" s="266" t="s">
        <v>551</v>
      </c>
      <c r="C14" s="266" t="s">
        <v>552</v>
      </c>
      <c r="D14" s="164">
        <v>1365010</v>
      </c>
      <c r="E14" s="337"/>
      <c r="F14" s="337"/>
      <c r="G14" s="443"/>
    </row>
    <row r="15" spans="1:7" s="343" customFormat="1" x14ac:dyDescent="0.25">
      <c r="A15" s="342"/>
      <c r="B15" s="339" t="s">
        <v>191</v>
      </c>
      <c r="C15" s="339"/>
      <c r="D15" s="163">
        <f>D17+D18+D21+D22</f>
        <v>2750000</v>
      </c>
      <c r="E15" s="163">
        <f>E17+E18+E19+E21+E22+E23+E24</f>
        <v>0</v>
      </c>
      <c r="F15" s="163">
        <f>F17+F18+F19+F21+F22+F23+F24</f>
        <v>0</v>
      </c>
      <c r="G15" s="339"/>
    </row>
    <row r="16" spans="1:7" s="343" customFormat="1" ht="25.5" hidden="1" customHeight="1" x14ac:dyDescent="0.3">
      <c r="A16" s="342"/>
      <c r="B16" s="341" t="s">
        <v>507</v>
      </c>
      <c r="C16" s="341" t="s">
        <v>508</v>
      </c>
      <c r="D16" s="164"/>
      <c r="E16" s="164"/>
      <c r="F16" s="164"/>
      <c r="G16" s="439" t="s">
        <v>549</v>
      </c>
    </row>
    <row r="17" spans="1:7" ht="42.75" customHeight="1" x14ac:dyDescent="0.25">
      <c r="A17" s="336"/>
      <c r="B17" s="266" t="s">
        <v>301</v>
      </c>
      <c r="C17" s="166" t="s">
        <v>504</v>
      </c>
      <c r="D17" s="162">
        <v>300000</v>
      </c>
      <c r="E17" s="337"/>
      <c r="F17" s="337"/>
      <c r="G17" s="440"/>
    </row>
    <row r="18" spans="1:7" ht="44.25" customHeight="1" x14ac:dyDescent="0.25">
      <c r="A18" s="336"/>
      <c r="B18" s="266" t="s">
        <v>302</v>
      </c>
      <c r="C18" s="166" t="s">
        <v>303</v>
      </c>
      <c r="D18" s="162">
        <v>5950000</v>
      </c>
      <c r="E18" s="337"/>
      <c r="F18" s="337"/>
      <c r="G18" s="441"/>
    </row>
    <row r="19" spans="1:7" ht="47.25" hidden="1" customHeight="1" x14ac:dyDescent="0.3">
      <c r="A19" s="336"/>
      <c r="B19" s="266" t="s">
        <v>300</v>
      </c>
      <c r="C19" s="166" t="s">
        <v>304</v>
      </c>
      <c r="D19" s="162"/>
      <c r="E19" s="167"/>
      <c r="F19" s="167"/>
      <c r="G19" s="266"/>
    </row>
    <row r="20" spans="1:7" ht="47.25" hidden="1" customHeight="1" x14ac:dyDescent="0.3">
      <c r="A20" s="336"/>
      <c r="B20" s="266" t="s">
        <v>505</v>
      </c>
      <c r="C20" s="166" t="s">
        <v>506</v>
      </c>
      <c r="D20" s="162"/>
      <c r="E20" s="167"/>
      <c r="F20" s="167"/>
      <c r="G20" s="266" t="s">
        <v>482</v>
      </c>
    </row>
    <row r="21" spans="1:7" ht="38.25" x14ac:dyDescent="0.25">
      <c r="A21" s="336"/>
      <c r="B21" s="266" t="s">
        <v>295</v>
      </c>
      <c r="C21" s="166" t="s">
        <v>297</v>
      </c>
      <c r="D21" s="164">
        <v>-6000000</v>
      </c>
      <c r="E21" s="337"/>
      <c r="F21" s="337"/>
      <c r="G21" s="266" t="s">
        <v>483</v>
      </c>
    </row>
    <row r="22" spans="1:7" ht="68.25" customHeight="1" x14ac:dyDescent="0.25">
      <c r="A22" s="336"/>
      <c r="B22" s="266" t="s">
        <v>459</v>
      </c>
      <c r="C22" s="166" t="s">
        <v>509</v>
      </c>
      <c r="D22" s="162">
        <v>2500000</v>
      </c>
      <c r="E22" s="337"/>
      <c r="F22" s="337"/>
      <c r="G22" s="265" t="s">
        <v>550</v>
      </c>
    </row>
    <row r="23" spans="1:7" ht="0.95" customHeight="1" x14ac:dyDescent="0.25">
      <c r="A23" s="336"/>
      <c r="B23" s="266" t="s">
        <v>510</v>
      </c>
      <c r="C23" s="344" t="s">
        <v>511</v>
      </c>
      <c r="D23" s="162"/>
      <c r="E23" s="337"/>
      <c r="F23" s="337"/>
      <c r="G23" s="266"/>
    </row>
    <row r="24" spans="1:7" ht="0.95" customHeight="1" x14ac:dyDescent="0.3">
      <c r="A24" s="336"/>
      <c r="B24" s="336"/>
      <c r="C24" s="131"/>
      <c r="D24" s="111"/>
      <c r="E24" s="345"/>
      <c r="F24" s="345"/>
      <c r="G24" s="336"/>
    </row>
    <row r="25" spans="1:7" x14ac:dyDescent="0.25">
      <c r="A25" s="333"/>
      <c r="B25" s="334" t="s">
        <v>192</v>
      </c>
      <c r="C25" s="334"/>
      <c r="D25" s="161">
        <f>D26+D131</f>
        <v>8456329</v>
      </c>
      <c r="E25" s="161">
        <f>E26+E127</f>
        <v>0</v>
      </c>
      <c r="F25" s="161">
        <f>F26+F127</f>
        <v>0</v>
      </c>
      <c r="G25" s="346"/>
    </row>
    <row r="26" spans="1:7" ht="25.5" x14ac:dyDescent="0.25">
      <c r="A26" s="333"/>
      <c r="B26" s="334" t="s">
        <v>283</v>
      </c>
      <c r="C26" s="334"/>
      <c r="D26" s="161">
        <f>D27+D31+D50+D97</f>
        <v>14456329</v>
      </c>
      <c r="E26" s="129"/>
      <c r="F26" s="129"/>
      <c r="G26" s="346"/>
    </row>
    <row r="27" spans="1:7" ht="31.7" customHeight="1" x14ac:dyDescent="0.25">
      <c r="A27" s="333"/>
      <c r="B27" s="169" t="s">
        <v>200</v>
      </c>
      <c r="C27" s="169"/>
      <c r="D27" s="161">
        <f>D28+D30</f>
        <v>6071254</v>
      </c>
      <c r="E27" s="129"/>
      <c r="F27" s="129"/>
      <c r="G27" s="333"/>
    </row>
    <row r="28" spans="1:7" ht="40.700000000000003" customHeight="1" x14ac:dyDescent="0.25">
      <c r="A28" s="333"/>
      <c r="B28" s="170" t="s">
        <v>461</v>
      </c>
      <c r="C28" s="172" t="s">
        <v>460</v>
      </c>
      <c r="D28" s="171">
        <v>6071254</v>
      </c>
      <c r="E28" s="129"/>
      <c r="F28" s="129"/>
      <c r="G28" s="444"/>
    </row>
    <row r="29" spans="1:7" ht="42.75" hidden="1" customHeight="1" x14ac:dyDescent="0.3">
      <c r="A29" s="333"/>
      <c r="B29" s="170" t="s">
        <v>380</v>
      </c>
      <c r="C29" s="172" t="s">
        <v>381</v>
      </c>
      <c r="D29" s="173"/>
      <c r="E29" s="132"/>
      <c r="F29" s="132"/>
      <c r="G29" s="445"/>
    </row>
    <row r="30" spans="1:7" ht="48.75" hidden="1" customHeight="1" x14ac:dyDescent="0.3">
      <c r="A30" s="333"/>
      <c r="B30" s="170" t="s">
        <v>517</v>
      </c>
      <c r="C30" s="172" t="s">
        <v>516</v>
      </c>
      <c r="D30" s="173"/>
      <c r="E30" s="132"/>
      <c r="F30" s="132"/>
      <c r="G30" s="446"/>
    </row>
    <row r="31" spans="1:7" s="343" customFormat="1" ht="30.75" customHeight="1" x14ac:dyDescent="0.25">
      <c r="A31" s="339"/>
      <c r="B31" s="339" t="s">
        <v>81</v>
      </c>
      <c r="C31" s="174"/>
      <c r="D31" s="163">
        <f>D32+D49</f>
        <v>5345874</v>
      </c>
      <c r="E31" s="163">
        <f>E33+E34+E39+E41+E43+E44+E49</f>
        <v>0</v>
      </c>
      <c r="F31" s="163">
        <f>F33+F34+F39+F41+F43+F44+F49</f>
        <v>0</v>
      </c>
      <c r="G31" s="340"/>
    </row>
    <row r="32" spans="1:7" s="343" customFormat="1" ht="25.5" x14ac:dyDescent="0.25">
      <c r="A32" s="339"/>
      <c r="B32" s="341" t="s">
        <v>554</v>
      </c>
      <c r="C32" s="175" t="s">
        <v>553</v>
      </c>
      <c r="D32" s="164">
        <v>5592622</v>
      </c>
      <c r="E32" s="164"/>
      <c r="F32" s="164"/>
      <c r="G32" s="347"/>
    </row>
    <row r="33" spans="1:7" s="343" customFormat="1" ht="39.4" hidden="1" x14ac:dyDescent="0.3">
      <c r="A33" s="339"/>
      <c r="B33" s="341" t="s">
        <v>418</v>
      </c>
      <c r="C33" s="175" t="s">
        <v>382</v>
      </c>
      <c r="D33" s="164"/>
      <c r="E33" s="168"/>
      <c r="F33" s="168"/>
      <c r="G33" s="436" t="s">
        <v>274</v>
      </c>
    </row>
    <row r="34" spans="1:7" s="343" customFormat="1" ht="42.75" hidden="1" customHeight="1" x14ac:dyDescent="0.3">
      <c r="A34" s="339"/>
      <c r="B34" s="341" t="s">
        <v>419</v>
      </c>
      <c r="C34" s="175" t="s">
        <v>383</v>
      </c>
      <c r="D34" s="164"/>
      <c r="E34" s="164"/>
      <c r="F34" s="164"/>
      <c r="G34" s="437"/>
    </row>
    <row r="35" spans="1:7" s="343" customFormat="1" ht="42.75" hidden="1" customHeight="1" x14ac:dyDescent="0.3">
      <c r="A35" s="339"/>
      <c r="B35" s="341" t="s">
        <v>479</v>
      </c>
      <c r="C35" s="175" t="s">
        <v>478</v>
      </c>
      <c r="D35" s="164"/>
      <c r="E35" s="164"/>
      <c r="F35" s="164"/>
      <c r="G35" s="437"/>
    </row>
    <row r="36" spans="1:7" s="343" customFormat="1" ht="26.25" hidden="1" x14ac:dyDescent="0.3">
      <c r="A36" s="339"/>
      <c r="B36" s="341" t="s">
        <v>462</v>
      </c>
      <c r="C36" s="175" t="s">
        <v>463</v>
      </c>
      <c r="D36" s="164"/>
      <c r="E36" s="164"/>
      <c r="F36" s="164"/>
      <c r="G36" s="437"/>
    </row>
    <row r="37" spans="1:7" s="343" customFormat="1" ht="26.25" hidden="1" x14ac:dyDescent="0.3">
      <c r="A37" s="339"/>
      <c r="B37" s="341" t="s">
        <v>466</v>
      </c>
      <c r="C37" s="175" t="s">
        <v>467</v>
      </c>
      <c r="D37" s="164"/>
      <c r="E37" s="164"/>
      <c r="F37" s="164"/>
      <c r="G37" s="437"/>
    </row>
    <row r="38" spans="1:7" s="343" customFormat="1" ht="39.4" hidden="1" x14ac:dyDescent="0.3">
      <c r="A38" s="339"/>
      <c r="B38" s="341" t="s">
        <v>464</v>
      </c>
      <c r="C38" s="175" t="s">
        <v>465</v>
      </c>
      <c r="D38" s="164"/>
      <c r="E38" s="164"/>
      <c r="F38" s="164"/>
      <c r="G38" s="437"/>
    </row>
    <row r="39" spans="1:7" s="343" customFormat="1" ht="36.950000000000003" hidden="1" customHeight="1" x14ac:dyDescent="0.3">
      <c r="A39" s="339"/>
      <c r="B39" s="341" t="s">
        <v>420</v>
      </c>
      <c r="C39" s="175" t="s">
        <v>384</v>
      </c>
      <c r="D39" s="164"/>
      <c r="E39" s="164"/>
      <c r="F39" s="164"/>
      <c r="G39" s="437"/>
    </row>
    <row r="40" spans="1:7" s="343" customFormat="1" ht="36.950000000000003" hidden="1" customHeight="1" x14ac:dyDescent="0.3">
      <c r="A40" s="339"/>
      <c r="B40" s="341" t="s">
        <v>485</v>
      </c>
      <c r="C40" s="175" t="s">
        <v>484</v>
      </c>
      <c r="D40" s="164"/>
      <c r="E40" s="164"/>
      <c r="F40" s="164"/>
      <c r="G40" s="437"/>
    </row>
    <row r="41" spans="1:7" s="343" customFormat="1" ht="26.25" hidden="1" x14ac:dyDescent="0.3">
      <c r="A41" s="339"/>
      <c r="B41" s="341" t="s">
        <v>386</v>
      </c>
      <c r="C41" s="175" t="s">
        <v>385</v>
      </c>
      <c r="D41" s="164"/>
      <c r="E41" s="164"/>
      <c r="F41" s="164"/>
      <c r="G41" s="437"/>
    </row>
    <row r="42" spans="1:7" s="343" customFormat="1" ht="26.25" hidden="1" x14ac:dyDescent="0.3">
      <c r="A42" s="339"/>
      <c r="B42" s="341" t="s">
        <v>519</v>
      </c>
      <c r="C42" s="175" t="s">
        <v>518</v>
      </c>
      <c r="D42" s="164"/>
      <c r="E42" s="164"/>
      <c r="F42" s="164"/>
      <c r="G42" s="437"/>
    </row>
    <row r="43" spans="1:7" ht="26.25" hidden="1" x14ac:dyDescent="0.3">
      <c r="A43" s="338"/>
      <c r="B43" s="348" t="s">
        <v>421</v>
      </c>
      <c r="C43" s="133" t="s">
        <v>388</v>
      </c>
      <c r="D43" s="130"/>
      <c r="E43" s="134"/>
      <c r="F43" s="134"/>
      <c r="G43" s="437"/>
    </row>
    <row r="44" spans="1:7" hidden="1" x14ac:dyDescent="0.3">
      <c r="A44" s="338"/>
      <c r="B44" s="348" t="s">
        <v>422</v>
      </c>
      <c r="C44" s="133" t="s">
        <v>387</v>
      </c>
      <c r="D44" s="130"/>
      <c r="E44" s="130"/>
      <c r="F44" s="130"/>
      <c r="G44" s="437"/>
    </row>
    <row r="45" spans="1:7" ht="15" hidden="1" customHeight="1" x14ac:dyDescent="0.3">
      <c r="A45" s="338"/>
      <c r="B45" s="348"/>
      <c r="C45" s="133"/>
      <c r="D45" s="130"/>
      <c r="E45" s="130"/>
      <c r="F45" s="130"/>
      <c r="G45" s="437"/>
    </row>
    <row r="46" spans="1:7" ht="15" hidden="1" customHeight="1" x14ac:dyDescent="0.3">
      <c r="A46" s="336"/>
      <c r="B46" s="336"/>
      <c r="C46" s="131"/>
      <c r="D46" s="111"/>
      <c r="E46" s="135"/>
      <c r="F46" s="112"/>
      <c r="G46" s="437"/>
    </row>
    <row r="47" spans="1:7" ht="15" hidden="1" customHeight="1" x14ac:dyDescent="0.3">
      <c r="A47" s="336"/>
      <c r="B47" s="336"/>
      <c r="C47" s="131"/>
      <c r="D47" s="111"/>
      <c r="E47" s="135"/>
      <c r="F47" s="112"/>
      <c r="G47" s="437"/>
    </row>
    <row r="48" spans="1:7" ht="10.5" hidden="1" customHeight="1" x14ac:dyDescent="0.3">
      <c r="A48" s="336"/>
      <c r="B48" s="336"/>
      <c r="C48" s="131"/>
      <c r="D48" s="111"/>
      <c r="E48" s="135"/>
      <c r="F48" s="112"/>
      <c r="G48" s="437"/>
    </row>
    <row r="49" spans="1:7" ht="38.25" customHeight="1" x14ac:dyDescent="0.25">
      <c r="A49" s="348"/>
      <c r="B49" s="266" t="s">
        <v>358</v>
      </c>
      <c r="C49" s="166" t="s">
        <v>359</v>
      </c>
      <c r="D49" s="164">
        <v>-246748</v>
      </c>
      <c r="E49" s="349"/>
      <c r="F49" s="349"/>
      <c r="G49" s="438"/>
    </row>
    <row r="50" spans="1:7" s="343" customFormat="1" ht="30" customHeight="1" x14ac:dyDescent="0.25">
      <c r="A50" s="339"/>
      <c r="B50" s="339" t="s">
        <v>82</v>
      </c>
      <c r="C50" s="339"/>
      <c r="D50" s="163">
        <f>SUM(D51:D91)</f>
        <v>273670</v>
      </c>
      <c r="E50" s="163">
        <f>E58+E59+E60+E62+E63+E64+E65+E69+E71+E72+E76</f>
        <v>0</v>
      </c>
      <c r="F50" s="163">
        <f>F58+F59+F60+F62+F63+F64+F65+F69+F71+F72+F76+F86</f>
        <v>0</v>
      </c>
      <c r="G50" s="340"/>
    </row>
    <row r="51" spans="1:7" s="343" customFormat="1" ht="26.25" hidden="1" customHeight="1" x14ac:dyDescent="0.3">
      <c r="A51" s="339"/>
      <c r="B51" s="341" t="s">
        <v>206</v>
      </c>
      <c r="C51" s="175" t="s">
        <v>288</v>
      </c>
      <c r="D51" s="176"/>
      <c r="E51" s="177"/>
      <c r="F51" s="177"/>
      <c r="G51" s="436" t="s">
        <v>274</v>
      </c>
    </row>
    <row r="52" spans="1:7" s="343" customFormat="1" ht="39.75" hidden="1" customHeight="1" x14ac:dyDescent="0.3">
      <c r="A52" s="339"/>
      <c r="B52" s="341" t="s">
        <v>521</v>
      </c>
      <c r="C52" s="175" t="s">
        <v>520</v>
      </c>
      <c r="D52" s="176"/>
      <c r="E52" s="177"/>
      <c r="F52" s="177"/>
      <c r="G52" s="437"/>
    </row>
    <row r="53" spans="1:7" s="343" customFormat="1" ht="26.25" hidden="1" x14ac:dyDescent="0.3">
      <c r="A53" s="339"/>
      <c r="B53" s="341" t="s">
        <v>352</v>
      </c>
      <c r="C53" s="175" t="s">
        <v>347</v>
      </c>
      <c r="D53" s="176"/>
      <c r="E53" s="177"/>
      <c r="F53" s="177"/>
      <c r="G53" s="437"/>
    </row>
    <row r="54" spans="1:7" s="343" customFormat="1" ht="51" x14ac:dyDescent="0.25">
      <c r="A54" s="339"/>
      <c r="B54" s="341" t="s">
        <v>305</v>
      </c>
      <c r="C54" s="175" t="s">
        <v>306</v>
      </c>
      <c r="D54" s="176">
        <v>-1372537</v>
      </c>
      <c r="E54" s="177"/>
      <c r="F54" s="177"/>
      <c r="G54" s="437"/>
    </row>
    <row r="55" spans="1:7" s="343" customFormat="1" ht="39.4" hidden="1" x14ac:dyDescent="0.3">
      <c r="A55" s="339"/>
      <c r="B55" s="341" t="s">
        <v>469</v>
      </c>
      <c r="C55" s="175" t="s">
        <v>468</v>
      </c>
      <c r="D55" s="164"/>
      <c r="E55" s="177"/>
      <c r="F55" s="177"/>
      <c r="G55" s="437"/>
    </row>
    <row r="56" spans="1:7" s="343" customFormat="1" ht="25.5" x14ac:dyDescent="0.25">
      <c r="A56" s="339"/>
      <c r="B56" s="341" t="s">
        <v>308</v>
      </c>
      <c r="C56" s="175" t="s">
        <v>307</v>
      </c>
      <c r="D56" s="176">
        <v>80000</v>
      </c>
      <c r="E56" s="177"/>
      <c r="F56" s="177"/>
      <c r="G56" s="437"/>
    </row>
    <row r="57" spans="1:7" s="343" customFormat="1" ht="51" x14ac:dyDescent="0.25">
      <c r="A57" s="339"/>
      <c r="B57" s="341" t="s">
        <v>309</v>
      </c>
      <c r="C57" s="175" t="s">
        <v>317</v>
      </c>
      <c r="D57" s="176">
        <v>-685951</v>
      </c>
      <c r="E57" s="177"/>
      <c r="F57" s="177"/>
      <c r="G57" s="437"/>
    </row>
    <row r="58" spans="1:7" s="343" customFormat="1" ht="22.5" x14ac:dyDescent="0.25">
      <c r="A58" s="339"/>
      <c r="B58" s="341" t="s">
        <v>310</v>
      </c>
      <c r="C58" s="175" t="s">
        <v>318</v>
      </c>
      <c r="D58" s="176">
        <v>-613987</v>
      </c>
      <c r="E58" s="178"/>
      <c r="F58" s="178"/>
      <c r="G58" s="437"/>
    </row>
    <row r="59" spans="1:7" s="343" customFormat="1" ht="26.25" hidden="1" x14ac:dyDescent="0.3">
      <c r="A59" s="339"/>
      <c r="B59" s="341" t="s">
        <v>311</v>
      </c>
      <c r="C59" s="175" t="s">
        <v>319</v>
      </c>
      <c r="D59" s="176"/>
      <c r="E59" s="178"/>
      <c r="F59" s="178"/>
      <c r="G59" s="437"/>
    </row>
    <row r="60" spans="1:7" s="343" customFormat="1" ht="26.25" hidden="1" x14ac:dyDescent="0.3">
      <c r="A60" s="339"/>
      <c r="B60" s="341" t="s">
        <v>312</v>
      </c>
      <c r="C60" s="175" t="s">
        <v>320</v>
      </c>
      <c r="D60" s="176"/>
      <c r="E60" s="178"/>
      <c r="F60" s="178"/>
      <c r="G60" s="437"/>
    </row>
    <row r="61" spans="1:7" s="343" customFormat="1" ht="27.95" customHeight="1" x14ac:dyDescent="0.25">
      <c r="A61" s="339"/>
      <c r="B61" s="341" t="s">
        <v>313</v>
      </c>
      <c r="C61" s="175" t="s">
        <v>321</v>
      </c>
      <c r="D61" s="164">
        <v>-2798468</v>
      </c>
      <c r="E61" s="178"/>
      <c r="F61" s="178"/>
      <c r="G61" s="437"/>
    </row>
    <row r="62" spans="1:7" s="343" customFormat="1" ht="38.25" x14ac:dyDescent="0.25">
      <c r="A62" s="339"/>
      <c r="B62" s="341" t="s">
        <v>314</v>
      </c>
      <c r="C62" s="175" t="s">
        <v>322</v>
      </c>
      <c r="D62" s="176">
        <v>-1801353</v>
      </c>
      <c r="E62" s="178"/>
      <c r="F62" s="178"/>
      <c r="G62" s="437"/>
    </row>
    <row r="63" spans="1:7" s="343" customFormat="1" ht="21.75" customHeight="1" x14ac:dyDescent="0.25">
      <c r="A63" s="339"/>
      <c r="B63" s="341" t="s">
        <v>315</v>
      </c>
      <c r="C63" s="175" t="s">
        <v>323</v>
      </c>
      <c r="D63" s="164">
        <v>-315000</v>
      </c>
      <c r="E63" s="178"/>
      <c r="F63" s="178"/>
      <c r="G63" s="437"/>
    </row>
    <row r="64" spans="1:7" s="343" customFormat="1" ht="63.95" customHeight="1" x14ac:dyDescent="0.25">
      <c r="A64" s="339"/>
      <c r="B64" s="341" t="s">
        <v>316</v>
      </c>
      <c r="C64" s="175" t="s">
        <v>324</v>
      </c>
      <c r="D64" s="164">
        <v>-666095</v>
      </c>
      <c r="E64" s="178"/>
      <c r="F64" s="178"/>
      <c r="G64" s="437"/>
    </row>
    <row r="65" spans="1:7" s="343" customFormat="1" ht="31.7" customHeight="1" x14ac:dyDescent="0.25">
      <c r="A65" s="339"/>
      <c r="B65" s="341" t="s">
        <v>423</v>
      </c>
      <c r="C65" s="175" t="s">
        <v>389</v>
      </c>
      <c r="D65" s="164">
        <v>586240</v>
      </c>
      <c r="E65" s="178"/>
      <c r="F65" s="178"/>
      <c r="G65" s="329"/>
    </row>
    <row r="66" spans="1:7" s="343" customFormat="1" ht="23.25" hidden="1" customHeight="1" x14ac:dyDescent="0.3">
      <c r="A66" s="266"/>
      <c r="B66" s="313" t="s">
        <v>326</v>
      </c>
      <c r="C66" s="179" t="s">
        <v>325</v>
      </c>
      <c r="D66" s="180"/>
      <c r="E66" s="181"/>
      <c r="F66" s="181"/>
      <c r="G66" s="433"/>
    </row>
    <row r="67" spans="1:7" s="343" customFormat="1" ht="51" x14ac:dyDescent="0.25">
      <c r="A67" s="266"/>
      <c r="B67" s="313" t="s">
        <v>277</v>
      </c>
      <c r="C67" s="179" t="s">
        <v>278</v>
      </c>
      <c r="D67" s="180">
        <v>-280000</v>
      </c>
      <c r="E67" s="181"/>
      <c r="F67" s="181"/>
      <c r="G67" s="433"/>
    </row>
    <row r="68" spans="1:7" s="343" customFormat="1" ht="26.25" hidden="1" x14ac:dyDescent="0.3">
      <c r="A68" s="266"/>
      <c r="B68" s="313" t="s">
        <v>344</v>
      </c>
      <c r="C68" s="179" t="s">
        <v>339</v>
      </c>
      <c r="D68" s="180"/>
      <c r="E68" s="181"/>
      <c r="F68" s="181"/>
      <c r="G68" s="433"/>
    </row>
    <row r="69" spans="1:7" s="343" customFormat="1" ht="26.25" hidden="1" x14ac:dyDescent="0.3">
      <c r="A69" s="266"/>
      <c r="B69" s="313" t="s">
        <v>424</v>
      </c>
      <c r="C69" s="179" t="s">
        <v>390</v>
      </c>
      <c r="D69" s="180"/>
      <c r="E69" s="181"/>
      <c r="F69" s="181"/>
      <c r="G69" s="433"/>
    </row>
    <row r="70" spans="1:7" s="343" customFormat="1" ht="25.5" x14ac:dyDescent="0.25">
      <c r="A70" s="266"/>
      <c r="B70" s="313" t="s">
        <v>345</v>
      </c>
      <c r="C70" s="179" t="s">
        <v>340</v>
      </c>
      <c r="D70" s="180">
        <v>-437000</v>
      </c>
      <c r="E70" s="181"/>
      <c r="F70" s="181"/>
      <c r="G70" s="433"/>
    </row>
    <row r="71" spans="1:7" s="343" customFormat="1" ht="25.5" x14ac:dyDescent="0.25">
      <c r="A71" s="266"/>
      <c r="B71" s="313" t="s">
        <v>425</v>
      </c>
      <c r="C71" s="179" t="s">
        <v>391</v>
      </c>
      <c r="D71" s="180">
        <v>556858</v>
      </c>
      <c r="E71" s="181"/>
      <c r="F71" s="181"/>
      <c r="G71" s="433"/>
    </row>
    <row r="72" spans="1:7" s="343" customFormat="1" ht="26.25" hidden="1" x14ac:dyDescent="0.3">
      <c r="A72" s="266"/>
      <c r="B72" s="313" t="s">
        <v>426</v>
      </c>
      <c r="C72" s="179" t="s">
        <v>392</v>
      </c>
      <c r="D72" s="180"/>
      <c r="E72" s="181"/>
      <c r="F72" s="181"/>
      <c r="G72" s="433"/>
    </row>
    <row r="73" spans="1:7" s="343" customFormat="1" ht="26.25" hidden="1" x14ac:dyDescent="0.3">
      <c r="A73" s="266"/>
      <c r="B73" s="313" t="s">
        <v>328</v>
      </c>
      <c r="C73" s="179" t="s">
        <v>327</v>
      </c>
      <c r="D73" s="180"/>
      <c r="E73" s="181"/>
      <c r="F73" s="181"/>
      <c r="G73" s="433"/>
    </row>
    <row r="74" spans="1:7" s="343" customFormat="1" ht="51" x14ac:dyDescent="0.25">
      <c r="A74" s="266"/>
      <c r="B74" s="313" t="s">
        <v>523</v>
      </c>
      <c r="C74" s="179" t="s">
        <v>522</v>
      </c>
      <c r="D74" s="180">
        <v>-10000</v>
      </c>
      <c r="E74" s="181"/>
      <c r="F74" s="181"/>
      <c r="G74" s="433"/>
    </row>
    <row r="75" spans="1:7" s="343" customFormat="1" ht="51" x14ac:dyDescent="0.25">
      <c r="A75" s="266"/>
      <c r="B75" s="313" t="s">
        <v>346</v>
      </c>
      <c r="C75" s="179" t="s">
        <v>341</v>
      </c>
      <c r="D75" s="180">
        <v>-700</v>
      </c>
      <c r="E75" s="181"/>
      <c r="F75" s="181"/>
      <c r="G75" s="433"/>
    </row>
    <row r="76" spans="1:7" s="343" customFormat="1" ht="38.25" x14ac:dyDescent="0.25">
      <c r="A76" s="266"/>
      <c r="B76" s="313" t="s">
        <v>427</v>
      </c>
      <c r="C76" s="179" t="s">
        <v>393</v>
      </c>
      <c r="D76" s="180">
        <v>-68840</v>
      </c>
      <c r="E76" s="182"/>
      <c r="F76" s="182"/>
      <c r="G76" s="433"/>
    </row>
    <row r="77" spans="1:7" s="343" customFormat="1" ht="28.5" customHeight="1" x14ac:dyDescent="0.25">
      <c r="A77" s="266"/>
      <c r="B77" s="313" t="s">
        <v>280</v>
      </c>
      <c r="C77" s="179" t="s">
        <v>279</v>
      </c>
      <c r="D77" s="180">
        <v>-30800</v>
      </c>
      <c r="E77" s="181"/>
      <c r="F77" s="181"/>
      <c r="G77" s="433"/>
    </row>
    <row r="78" spans="1:7" s="343" customFormat="1" ht="42.75" customHeight="1" x14ac:dyDescent="0.25">
      <c r="A78" s="266"/>
      <c r="B78" s="313" t="s">
        <v>329</v>
      </c>
      <c r="C78" s="179" t="s">
        <v>236</v>
      </c>
      <c r="D78" s="180">
        <v>3586477</v>
      </c>
      <c r="E78" s="181"/>
      <c r="F78" s="181"/>
      <c r="G78" s="433"/>
    </row>
    <row r="79" spans="1:7" s="343" customFormat="1" ht="55.5" hidden="1" customHeight="1" x14ac:dyDescent="0.3">
      <c r="A79" s="266"/>
      <c r="B79" s="313" t="s">
        <v>353</v>
      </c>
      <c r="C79" s="179" t="s">
        <v>348</v>
      </c>
      <c r="D79" s="180"/>
      <c r="E79" s="181"/>
      <c r="F79" s="181"/>
      <c r="G79" s="433"/>
    </row>
    <row r="80" spans="1:7" s="343" customFormat="1" ht="72" hidden="1" customHeight="1" x14ac:dyDescent="0.3">
      <c r="A80" s="266"/>
      <c r="B80" s="313" t="s">
        <v>276</v>
      </c>
      <c r="C80" s="179" t="s">
        <v>275</v>
      </c>
      <c r="D80" s="180"/>
      <c r="E80" s="162"/>
      <c r="F80" s="162"/>
      <c r="G80" s="433"/>
    </row>
    <row r="81" spans="1:7" s="343" customFormat="1" ht="43.5" customHeight="1" x14ac:dyDescent="0.25">
      <c r="A81" s="266"/>
      <c r="B81" s="313" t="s">
        <v>354</v>
      </c>
      <c r="C81" s="179" t="s">
        <v>349</v>
      </c>
      <c r="D81" s="180">
        <v>-1553000</v>
      </c>
      <c r="E81" s="162"/>
      <c r="F81" s="162"/>
      <c r="G81" s="433"/>
    </row>
    <row r="82" spans="1:7" s="343" customFormat="1" ht="44.25" hidden="1" customHeight="1" x14ac:dyDescent="0.3">
      <c r="A82" s="266"/>
      <c r="B82" s="313" t="s">
        <v>355</v>
      </c>
      <c r="C82" s="179" t="s">
        <v>350</v>
      </c>
      <c r="D82" s="180"/>
      <c r="E82" s="162"/>
      <c r="F82" s="162"/>
      <c r="G82" s="433"/>
    </row>
    <row r="83" spans="1:7" s="343" customFormat="1" ht="72" hidden="1" customHeight="1" x14ac:dyDescent="0.3">
      <c r="A83" s="266"/>
      <c r="B83" s="313" t="s">
        <v>356</v>
      </c>
      <c r="C83" s="179" t="s">
        <v>351</v>
      </c>
      <c r="D83" s="180"/>
      <c r="E83" s="162"/>
      <c r="F83" s="162"/>
      <c r="G83" s="433"/>
    </row>
    <row r="84" spans="1:7" s="343" customFormat="1" ht="38.25" x14ac:dyDescent="0.25">
      <c r="A84" s="266"/>
      <c r="B84" s="313" t="s">
        <v>289</v>
      </c>
      <c r="C84" s="179" t="s">
        <v>237</v>
      </c>
      <c r="D84" s="180">
        <v>9040683</v>
      </c>
      <c r="E84" s="181"/>
      <c r="F84" s="181"/>
      <c r="G84" s="433"/>
    </row>
    <row r="85" spans="1:7" s="343" customFormat="1" ht="58.7" customHeight="1" x14ac:dyDescent="0.25">
      <c r="A85" s="266"/>
      <c r="B85" s="266" t="s">
        <v>238</v>
      </c>
      <c r="C85" s="183" t="s">
        <v>239</v>
      </c>
      <c r="D85" s="180">
        <v>-787234</v>
      </c>
      <c r="E85" s="162"/>
      <c r="F85" s="162"/>
      <c r="G85" s="433"/>
    </row>
    <row r="86" spans="1:7" s="343" customFormat="1" ht="65.25" customHeight="1" x14ac:dyDescent="0.25">
      <c r="A86" s="266"/>
      <c r="B86" s="266" t="s">
        <v>428</v>
      </c>
      <c r="C86" s="183" t="s">
        <v>394</v>
      </c>
      <c r="D86" s="180">
        <v>-2271439</v>
      </c>
      <c r="E86" s="162"/>
      <c r="F86" s="162"/>
      <c r="G86" s="433"/>
    </row>
    <row r="87" spans="1:7" s="343" customFormat="1" ht="54.95" hidden="1" customHeight="1" x14ac:dyDescent="0.3">
      <c r="A87" s="266"/>
      <c r="B87" s="313" t="s">
        <v>331</v>
      </c>
      <c r="C87" s="179" t="s">
        <v>330</v>
      </c>
      <c r="D87" s="180"/>
      <c r="E87" s="181"/>
      <c r="F87" s="181"/>
      <c r="G87" s="433"/>
    </row>
    <row r="88" spans="1:7" s="343" customFormat="1" ht="54.95" customHeight="1" x14ac:dyDescent="0.25">
      <c r="A88" s="266"/>
      <c r="B88" s="313" t="s">
        <v>525</v>
      </c>
      <c r="C88" s="179" t="s">
        <v>524</v>
      </c>
      <c r="D88" s="180">
        <v>90367</v>
      </c>
      <c r="E88" s="181"/>
      <c r="F88" s="181"/>
      <c r="G88" s="433"/>
    </row>
    <row r="89" spans="1:7" s="343" customFormat="1" ht="39" hidden="1" customHeight="1" x14ac:dyDescent="0.3">
      <c r="A89" s="266"/>
      <c r="B89" s="313" t="s">
        <v>343</v>
      </c>
      <c r="C89" s="179" t="s">
        <v>342</v>
      </c>
      <c r="D89" s="180"/>
      <c r="E89" s="181"/>
      <c r="F89" s="181"/>
      <c r="G89" s="433"/>
    </row>
    <row r="90" spans="1:7" s="343" customFormat="1" ht="39.4" hidden="1" x14ac:dyDescent="0.3">
      <c r="A90" s="266"/>
      <c r="B90" s="313" t="s">
        <v>333</v>
      </c>
      <c r="C90" s="179" t="s">
        <v>332</v>
      </c>
      <c r="D90" s="180"/>
      <c r="E90" s="181"/>
      <c r="F90" s="181"/>
      <c r="G90" s="433"/>
    </row>
    <row r="91" spans="1:7" s="343" customFormat="1" ht="26.25" customHeight="1" x14ac:dyDescent="0.25">
      <c r="A91" s="266"/>
      <c r="B91" s="313" t="s">
        <v>216</v>
      </c>
      <c r="C91" s="179" t="s">
        <v>334</v>
      </c>
      <c r="D91" s="180">
        <v>25449</v>
      </c>
      <c r="E91" s="162"/>
      <c r="F91" s="162"/>
      <c r="G91" s="433"/>
    </row>
    <row r="92" spans="1:7" s="343" customFormat="1" hidden="1" x14ac:dyDescent="0.3">
      <c r="A92" s="266"/>
      <c r="B92" s="313"/>
      <c r="C92" s="313"/>
      <c r="D92" s="180"/>
      <c r="E92" s="181"/>
      <c r="F92" s="181"/>
      <c r="G92" s="433"/>
    </row>
    <row r="93" spans="1:7" s="343" customFormat="1" hidden="1" x14ac:dyDescent="0.3">
      <c r="A93" s="266"/>
      <c r="B93" s="313"/>
      <c r="C93" s="313"/>
      <c r="D93" s="184"/>
      <c r="E93" s="181"/>
      <c r="F93" s="181"/>
      <c r="G93" s="433"/>
    </row>
    <row r="94" spans="1:7" s="343" customFormat="1" hidden="1" x14ac:dyDescent="0.3">
      <c r="A94" s="266"/>
      <c r="B94" s="313"/>
      <c r="C94" s="313"/>
      <c r="D94" s="184"/>
      <c r="E94" s="181"/>
      <c r="F94" s="181"/>
      <c r="G94" s="433"/>
    </row>
    <row r="95" spans="1:7" s="343" customFormat="1" hidden="1" x14ac:dyDescent="0.3">
      <c r="A95" s="266"/>
      <c r="B95" s="313"/>
      <c r="C95" s="313"/>
      <c r="D95" s="184"/>
      <c r="E95" s="181"/>
      <c r="F95" s="181"/>
      <c r="G95" s="433"/>
    </row>
    <row r="96" spans="1:7" s="343" customFormat="1" hidden="1" x14ac:dyDescent="0.3">
      <c r="A96" s="266"/>
      <c r="B96" s="313"/>
      <c r="C96" s="313"/>
      <c r="D96" s="184"/>
      <c r="E96" s="181"/>
      <c r="F96" s="181"/>
      <c r="G96" s="330"/>
    </row>
    <row r="97" spans="1:7" s="343" customFormat="1" x14ac:dyDescent="0.25">
      <c r="A97" s="350"/>
      <c r="B97" s="350" t="s">
        <v>84</v>
      </c>
      <c r="C97" s="350"/>
      <c r="D97" s="185">
        <f>D98+D125+D126</f>
        <v>2765531</v>
      </c>
      <c r="E97" s="185">
        <f>E98+E126</f>
        <v>0</v>
      </c>
      <c r="F97" s="185">
        <f>F98+F126</f>
        <v>0</v>
      </c>
      <c r="G97" s="340"/>
    </row>
    <row r="98" spans="1:7" s="343" customFormat="1" ht="39.75" customHeight="1" x14ac:dyDescent="0.25">
      <c r="A98" s="351"/>
      <c r="B98" s="339" t="s">
        <v>187</v>
      </c>
      <c r="C98" s="339"/>
      <c r="D98" s="186">
        <f>D105+D106+D107+D108+D109+D110+D111+D112+D113+D114+D115+D116+D117+D118+D119+D120+D121+D122+D123+D124</f>
        <v>2774849</v>
      </c>
      <c r="E98" s="186">
        <f>SUM(E99:E124)</f>
        <v>0</v>
      </c>
      <c r="F98" s="186">
        <f>SUM(F99:F124)</f>
        <v>0</v>
      </c>
      <c r="G98" s="340"/>
    </row>
    <row r="99" spans="1:7" ht="26.25" hidden="1" x14ac:dyDescent="0.3">
      <c r="A99" s="352"/>
      <c r="B99" s="353" t="s">
        <v>245</v>
      </c>
      <c r="C99" s="137" t="s">
        <v>241</v>
      </c>
      <c r="D99" s="136"/>
      <c r="E99" s="136"/>
      <c r="F99" s="136"/>
      <c r="G99" s="424" t="s">
        <v>450</v>
      </c>
    </row>
    <row r="100" spans="1:7" ht="39.4" hidden="1" x14ac:dyDescent="0.3">
      <c r="A100" s="352"/>
      <c r="B100" s="353" t="s">
        <v>244</v>
      </c>
      <c r="C100" s="137" t="s">
        <v>242</v>
      </c>
      <c r="D100" s="136"/>
      <c r="E100" s="136"/>
      <c r="F100" s="136"/>
      <c r="G100" s="425"/>
    </row>
    <row r="101" spans="1:7" ht="39.4" hidden="1" x14ac:dyDescent="0.3">
      <c r="A101" s="352"/>
      <c r="B101" s="353" t="s">
        <v>248</v>
      </c>
      <c r="C101" s="137" t="s">
        <v>246</v>
      </c>
      <c r="D101" s="136"/>
      <c r="E101" s="136"/>
      <c r="F101" s="136"/>
      <c r="G101" s="425"/>
    </row>
    <row r="102" spans="1:7" ht="52.35" hidden="1" x14ac:dyDescent="0.3">
      <c r="A102" s="352"/>
      <c r="B102" s="353" t="s">
        <v>226</v>
      </c>
      <c r="C102" s="137" t="s">
        <v>240</v>
      </c>
      <c r="D102" s="136"/>
      <c r="E102" s="138"/>
      <c r="F102" s="138"/>
      <c r="G102" s="425"/>
    </row>
    <row r="103" spans="1:7" ht="26.25" hidden="1" x14ac:dyDescent="0.3">
      <c r="A103" s="352"/>
      <c r="B103" s="353" t="s">
        <v>249</v>
      </c>
      <c r="C103" s="137" t="s">
        <v>247</v>
      </c>
      <c r="D103" s="136"/>
      <c r="E103" s="138"/>
      <c r="F103" s="138"/>
      <c r="G103" s="425"/>
    </row>
    <row r="104" spans="1:7" ht="39.4" hidden="1" x14ac:dyDescent="0.3">
      <c r="A104" s="352"/>
      <c r="B104" s="353" t="s">
        <v>225</v>
      </c>
      <c r="C104" s="137" t="s">
        <v>243</v>
      </c>
      <c r="D104" s="136"/>
      <c r="E104" s="138"/>
      <c r="F104" s="138"/>
      <c r="G104" s="425"/>
    </row>
    <row r="105" spans="1:7" ht="26.25" hidden="1" x14ac:dyDescent="0.3">
      <c r="A105" s="352"/>
      <c r="B105" s="353" t="s">
        <v>429</v>
      </c>
      <c r="C105" s="137" t="s">
        <v>395</v>
      </c>
      <c r="D105" s="136"/>
      <c r="E105" s="138"/>
      <c r="F105" s="138"/>
      <c r="G105" s="425"/>
    </row>
    <row r="106" spans="1:7" s="343" customFormat="1" ht="38.25" x14ac:dyDescent="0.25">
      <c r="A106" s="362"/>
      <c r="B106" s="363" t="s">
        <v>430</v>
      </c>
      <c r="C106" s="364" t="s">
        <v>396</v>
      </c>
      <c r="D106" s="365">
        <v>-331925</v>
      </c>
      <c r="E106" s="366"/>
      <c r="F106" s="366"/>
      <c r="G106" s="425"/>
    </row>
    <row r="107" spans="1:7" s="343" customFormat="1" ht="39.4" hidden="1" x14ac:dyDescent="0.3">
      <c r="A107" s="351"/>
      <c r="B107" s="354" t="s">
        <v>431</v>
      </c>
      <c r="C107" s="187" t="s">
        <v>397</v>
      </c>
      <c r="D107" s="164"/>
      <c r="E107" s="188"/>
      <c r="F107" s="188"/>
      <c r="G107" s="425"/>
    </row>
    <row r="108" spans="1:7" s="343" customFormat="1" ht="25.5" x14ac:dyDescent="0.25">
      <c r="A108" s="351"/>
      <c r="B108" s="354" t="s">
        <v>432</v>
      </c>
      <c r="C108" s="187" t="s">
        <v>398</v>
      </c>
      <c r="D108" s="164">
        <v>1230</v>
      </c>
      <c r="E108" s="164"/>
      <c r="F108" s="188"/>
      <c r="G108" s="425"/>
    </row>
    <row r="109" spans="1:7" s="343" customFormat="1" ht="38.25" x14ac:dyDescent="0.25">
      <c r="A109" s="351"/>
      <c r="B109" s="354" t="s">
        <v>433</v>
      </c>
      <c r="C109" s="187" t="s">
        <v>399</v>
      </c>
      <c r="D109" s="164">
        <v>21557</v>
      </c>
      <c r="E109" s="188"/>
      <c r="F109" s="188"/>
      <c r="G109" s="425"/>
    </row>
    <row r="110" spans="1:7" s="343" customFormat="1" ht="25.5" x14ac:dyDescent="0.25">
      <c r="A110" s="266"/>
      <c r="B110" s="355" t="s">
        <v>434</v>
      </c>
      <c r="C110" s="189" t="s">
        <v>400</v>
      </c>
      <c r="D110" s="180">
        <v>55305</v>
      </c>
      <c r="E110" s="181"/>
      <c r="F110" s="181"/>
      <c r="G110" s="425"/>
    </row>
    <row r="111" spans="1:7" s="343" customFormat="1" ht="27.95" customHeight="1" x14ac:dyDescent="0.25">
      <c r="A111" s="266"/>
      <c r="B111" s="355" t="s">
        <v>435</v>
      </c>
      <c r="C111" s="189" t="s">
        <v>401</v>
      </c>
      <c r="D111" s="180">
        <v>-291</v>
      </c>
      <c r="E111" s="164"/>
      <c r="F111" s="181"/>
      <c r="G111" s="425"/>
    </row>
    <row r="112" spans="1:7" s="343" customFormat="1" ht="39.4" hidden="1" x14ac:dyDescent="0.3">
      <c r="A112" s="266"/>
      <c r="B112" s="355" t="s">
        <v>436</v>
      </c>
      <c r="C112" s="189" t="s">
        <v>402</v>
      </c>
      <c r="D112" s="180"/>
      <c r="E112" s="164"/>
      <c r="F112" s="181"/>
      <c r="G112" s="425"/>
    </row>
    <row r="113" spans="1:13" s="343" customFormat="1" ht="26.25" hidden="1" x14ac:dyDescent="0.3">
      <c r="A113" s="266"/>
      <c r="B113" s="355" t="s">
        <v>437</v>
      </c>
      <c r="C113" s="189" t="s">
        <v>403</v>
      </c>
      <c r="D113" s="180"/>
      <c r="E113" s="164"/>
      <c r="F113" s="181"/>
      <c r="G113" s="425"/>
    </row>
    <row r="114" spans="1:13" s="343" customFormat="1" ht="26.25" hidden="1" x14ac:dyDescent="0.3">
      <c r="A114" s="266"/>
      <c r="B114" s="313" t="s">
        <v>438</v>
      </c>
      <c r="C114" s="179" t="s">
        <v>404</v>
      </c>
      <c r="D114" s="180"/>
      <c r="E114" s="181"/>
      <c r="F114" s="181"/>
      <c r="G114" s="425"/>
    </row>
    <row r="115" spans="1:13" s="343" customFormat="1" ht="25.5" x14ac:dyDescent="0.25">
      <c r="A115" s="266"/>
      <c r="B115" s="313" t="s">
        <v>439</v>
      </c>
      <c r="C115" s="179" t="s">
        <v>405</v>
      </c>
      <c r="D115" s="180">
        <v>4940000</v>
      </c>
      <c r="E115" s="181"/>
      <c r="F115" s="181"/>
      <c r="G115" s="425"/>
    </row>
    <row r="116" spans="1:13" s="343" customFormat="1" ht="27" customHeight="1" x14ac:dyDescent="0.25">
      <c r="A116" s="266"/>
      <c r="B116" s="313" t="s">
        <v>440</v>
      </c>
      <c r="C116" s="179" t="s">
        <v>406</v>
      </c>
      <c r="D116" s="180">
        <v>-1719339</v>
      </c>
      <c r="E116" s="181"/>
      <c r="F116" s="181"/>
      <c r="G116" s="425"/>
    </row>
    <row r="117" spans="1:13" s="343" customFormat="1" ht="26.25" hidden="1" x14ac:dyDescent="0.3">
      <c r="A117" s="266"/>
      <c r="B117" s="313" t="s">
        <v>441</v>
      </c>
      <c r="C117" s="179" t="s">
        <v>407</v>
      </c>
      <c r="D117" s="180"/>
      <c r="E117" s="181"/>
      <c r="F117" s="181"/>
      <c r="G117" s="425"/>
    </row>
    <row r="118" spans="1:13" s="343" customFormat="1" ht="38.25" x14ac:dyDescent="0.25">
      <c r="A118" s="266"/>
      <c r="B118" s="313" t="s">
        <v>442</v>
      </c>
      <c r="C118" s="179" t="s">
        <v>408</v>
      </c>
      <c r="D118" s="180">
        <v>-54545</v>
      </c>
      <c r="E118" s="181"/>
      <c r="F118" s="181"/>
      <c r="G118" s="425"/>
    </row>
    <row r="119" spans="1:13" s="343" customFormat="1" ht="25.5" x14ac:dyDescent="0.25">
      <c r="A119" s="266"/>
      <c r="B119" s="313" t="s">
        <v>443</v>
      </c>
      <c r="C119" s="179" t="s">
        <v>409</v>
      </c>
      <c r="D119" s="190">
        <v>-22</v>
      </c>
      <c r="E119" s="181"/>
      <c r="F119" s="181"/>
      <c r="G119" s="425"/>
    </row>
    <row r="120" spans="1:13" s="343" customFormat="1" ht="26.25" hidden="1" x14ac:dyDescent="0.3">
      <c r="A120" s="266"/>
      <c r="B120" s="313" t="s">
        <v>444</v>
      </c>
      <c r="C120" s="179" t="s">
        <v>410</v>
      </c>
      <c r="D120" s="180"/>
      <c r="E120" s="181"/>
      <c r="F120" s="181"/>
      <c r="G120" s="425"/>
    </row>
    <row r="121" spans="1:13" s="343" customFormat="1" ht="31.7" customHeight="1" x14ac:dyDescent="0.25">
      <c r="A121" s="266"/>
      <c r="B121" s="313" t="s">
        <v>445</v>
      </c>
      <c r="C121" s="179" t="s">
        <v>411</v>
      </c>
      <c r="D121" s="180">
        <v>-32925</v>
      </c>
      <c r="E121" s="181"/>
      <c r="F121" s="181"/>
      <c r="G121" s="425"/>
    </row>
    <row r="122" spans="1:13" s="343" customFormat="1" ht="26.25" hidden="1" x14ac:dyDescent="0.3">
      <c r="A122" s="266"/>
      <c r="B122" s="313" t="s">
        <v>446</v>
      </c>
      <c r="C122" s="179" t="s">
        <v>412</v>
      </c>
      <c r="D122" s="180"/>
      <c r="E122" s="181"/>
      <c r="F122" s="181"/>
      <c r="G122" s="425"/>
    </row>
    <row r="123" spans="1:13" s="343" customFormat="1" ht="39.4" hidden="1" x14ac:dyDescent="0.3">
      <c r="A123" s="266"/>
      <c r="B123" s="313" t="s">
        <v>447</v>
      </c>
      <c r="C123" s="179" t="s">
        <v>413</v>
      </c>
      <c r="D123" s="180"/>
      <c r="E123" s="181"/>
      <c r="F123" s="181"/>
      <c r="G123" s="425"/>
    </row>
    <row r="124" spans="1:13" s="343" customFormat="1" ht="38.25" x14ac:dyDescent="0.25">
      <c r="A124" s="266"/>
      <c r="B124" s="313" t="s">
        <v>448</v>
      </c>
      <c r="C124" s="179" t="s">
        <v>414</v>
      </c>
      <c r="D124" s="180">
        <v>-104196</v>
      </c>
      <c r="E124" s="181"/>
      <c r="F124" s="181">
        <v>0</v>
      </c>
      <c r="G124" s="426"/>
    </row>
    <row r="125" spans="1:13" s="343" customFormat="1" ht="39" hidden="1" customHeight="1" x14ac:dyDescent="0.3">
      <c r="A125" s="266"/>
      <c r="B125" s="356" t="s">
        <v>470</v>
      </c>
      <c r="C125" s="191" t="s">
        <v>471</v>
      </c>
      <c r="D125" s="192"/>
      <c r="E125" s="193"/>
      <c r="F125" s="193"/>
      <c r="G125" s="357" t="s">
        <v>451</v>
      </c>
    </row>
    <row r="126" spans="1:13" s="343" customFormat="1" ht="33" customHeight="1" x14ac:dyDescent="0.25">
      <c r="A126" s="266"/>
      <c r="B126" s="356" t="s">
        <v>415</v>
      </c>
      <c r="C126" s="191" t="s">
        <v>416</v>
      </c>
      <c r="D126" s="192">
        <f>D130</f>
        <v>-9318</v>
      </c>
      <c r="E126" s="181"/>
      <c r="F126" s="181"/>
      <c r="G126" s="267"/>
    </row>
    <row r="127" spans="1:13" s="343" customFormat="1" ht="63" hidden="1" customHeight="1" x14ac:dyDescent="0.3">
      <c r="A127" s="266"/>
      <c r="B127" s="313" t="s">
        <v>473</v>
      </c>
      <c r="C127" s="179" t="s">
        <v>472</v>
      </c>
      <c r="D127" s="180"/>
      <c r="E127" s="181"/>
      <c r="F127" s="181"/>
      <c r="G127" s="267"/>
      <c r="M127" s="358"/>
    </row>
    <row r="128" spans="1:13" s="343" customFormat="1" ht="30.75" hidden="1" customHeight="1" x14ac:dyDescent="0.3">
      <c r="A128" s="266"/>
      <c r="B128" s="313" t="s">
        <v>449</v>
      </c>
      <c r="C128" s="179" t="s">
        <v>417</v>
      </c>
      <c r="D128" s="180"/>
      <c r="E128" s="181"/>
      <c r="F128" s="181"/>
      <c r="G128" s="267"/>
    </row>
    <row r="129" spans="1:7" s="343" customFormat="1" ht="59.25" hidden="1" customHeight="1" x14ac:dyDescent="0.3">
      <c r="A129" s="266"/>
      <c r="B129" s="313" t="s">
        <v>474</v>
      </c>
      <c r="C129" s="179" t="s">
        <v>475</v>
      </c>
      <c r="D129" s="180"/>
      <c r="E129" s="181"/>
      <c r="F129" s="181"/>
      <c r="G129" s="267"/>
    </row>
    <row r="130" spans="1:7" s="343" customFormat="1" ht="51" customHeight="1" x14ac:dyDescent="0.25">
      <c r="A130" s="266"/>
      <c r="B130" s="313" t="s">
        <v>476</v>
      </c>
      <c r="C130" s="179" t="s">
        <v>477</v>
      </c>
      <c r="D130" s="180">
        <v>-9318</v>
      </c>
      <c r="E130" s="181"/>
      <c r="F130" s="181"/>
      <c r="G130" s="267" t="s">
        <v>451</v>
      </c>
    </row>
    <row r="131" spans="1:7" s="343" customFormat="1" ht="45.95" customHeight="1" x14ac:dyDescent="0.25">
      <c r="A131" s="266"/>
      <c r="B131" s="356" t="s">
        <v>555</v>
      </c>
      <c r="C131" s="191" t="s">
        <v>556</v>
      </c>
      <c r="D131" s="192">
        <v>-6000000</v>
      </c>
      <c r="E131" s="193"/>
      <c r="F131" s="193"/>
      <c r="G131" s="268" t="s">
        <v>557</v>
      </c>
    </row>
    <row r="132" spans="1:7" s="343" customFormat="1" x14ac:dyDescent="0.25">
      <c r="A132" s="359"/>
      <c r="B132" s="360" t="s">
        <v>17</v>
      </c>
      <c r="C132" s="360"/>
      <c r="D132" s="194">
        <f>D6+D25</f>
        <v>12571339</v>
      </c>
      <c r="E132" s="194">
        <f>E6+E25</f>
        <v>0</v>
      </c>
      <c r="F132" s="194">
        <f>F6+F25</f>
        <v>0</v>
      </c>
      <c r="G132" s="360"/>
    </row>
    <row r="133" spans="1:7" x14ac:dyDescent="0.25">
      <c r="B133" s="361"/>
      <c r="C133" s="361"/>
      <c r="D133" s="361"/>
      <c r="E133" s="361"/>
      <c r="F133" s="361"/>
      <c r="G133" s="361"/>
    </row>
  </sheetData>
  <mergeCells count="13">
    <mergeCell ref="G99:G124"/>
    <mergeCell ref="A4:A5"/>
    <mergeCell ref="A1:G1"/>
    <mergeCell ref="A2:G2"/>
    <mergeCell ref="G4:G5"/>
    <mergeCell ref="A3:G3"/>
    <mergeCell ref="G66:G95"/>
    <mergeCell ref="B4:B5"/>
    <mergeCell ref="G51:G64"/>
    <mergeCell ref="G33:G49"/>
    <mergeCell ref="G16:G18"/>
    <mergeCell ref="G9:G14"/>
    <mergeCell ref="G28:G30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471" t="s">
        <v>85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</row>
    <row r="2" spans="1:31" x14ac:dyDescent="0.2">
      <c r="A2" s="473"/>
      <c r="B2" s="474"/>
      <c r="C2" s="486" t="s">
        <v>45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73" t="s">
        <v>17</v>
      </c>
      <c r="T2" s="447" t="s">
        <v>43</v>
      </c>
      <c r="U2" s="448"/>
      <c r="V2" s="448"/>
      <c r="W2" s="448"/>
      <c r="X2" s="448"/>
      <c r="Y2" s="449"/>
      <c r="Z2" s="447" t="s">
        <v>44</v>
      </c>
      <c r="AA2" s="448"/>
      <c r="AB2" s="448"/>
      <c r="AC2" s="448"/>
      <c r="AD2" s="448"/>
      <c r="AE2" s="449"/>
    </row>
    <row r="3" spans="1:31" ht="13.5" thickBot="1" x14ac:dyDescent="0.25">
      <c r="A3" s="475"/>
      <c r="B3" s="476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7" t="s">
        <v>21</v>
      </c>
      <c r="S3" s="484"/>
      <c r="T3" s="450" t="s">
        <v>40</v>
      </c>
      <c r="U3" s="451"/>
      <c r="V3" s="451"/>
      <c r="W3" s="451"/>
      <c r="X3" s="451"/>
      <c r="Y3" s="452"/>
      <c r="Z3" s="453" t="s">
        <v>40</v>
      </c>
      <c r="AA3" s="453"/>
      <c r="AB3" s="453"/>
      <c r="AC3" s="453"/>
      <c r="AD3" s="453"/>
      <c r="AE3" s="453"/>
    </row>
    <row r="4" spans="1:31" x14ac:dyDescent="0.2">
      <c r="A4" s="480" t="s">
        <v>0</v>
      </c>
      <c r="B4" s="478" t="s">
        <v>1</v>
      </c>
      <c r="C4" s="483" t="s">
        <v>18</v>
      </c>
      <c r="D4" s="483"/>
      <c r="E4" s="483"/>
      <c r="F4" s="472" t="s">
        <v>5</v>
      </c>
      <c r="G4" s="472"/>
      <c r="H4" s="472"/>
      <c r="I4" s="472"/>
      <c r="J4" s="472"/>
      <c r="K4" s="472" t="s">
        <v>16</v>
      </c>
      <c r="L4" s="472"/>
      <c r="M4" s="472"/>
      <c r="N4" s="472"/>
      <c r="O4" s="472"/>
      <c r="P4" s="472" t="s">
        <v>15</v>
      </c>
      <c r="Q4" s="472"/>
      <c r="R4" s="472"/>
      <c r="S4" s="485"/>
      <c r="T4" s="454" t="s">
        <v>46</v>
      </c>
      <c r="U4" s="455"/>
      <c r="V4" s="454" t="s">
        <v>41</v>
      </c>
      <c r="W4" s="455"/>
      <c r="X4" s="454" t="s">
        <v>42</v>
      </c>
      <c r="Y4" s="455"/>
      <c r="Z4" s="454" t="s">
        <v>46</v>
      </c>
      <c r="AA4" s="455"/>
      <c r="AB4" s="454" t="s">
        <v>41</v>
      </c>
      <c r="AC4" s="455"/>
      <c r="AD4" s="454" t="s">
        <v>42</v>
      </c>
      <c r="AE4" s="455"/>
    </row>
    <row r="5" spans="1:31" x14ac:dyDescent="0.2">
      <c r="A5" s="481"/>
      <c r="B5" s="478"/>
      <c r="C5" s="439" t="s">
        <v>27</v>
      </c>
      <c r="D5" s="439" t="s">
        <v>28</v>
      </c>
      <c r="E5" s="439" t="s">
        <v>29</v>
      </c>
      <c r="F5" s="439" t="s">
        <v>27</v>
      </c>
      <c r="G5" s="439" t="s">
        <v>28</v>
      </c>
      <c r="H5" s="439" t="s">
        <v>29</v>
      </c>
      <c r="I5" s="477" t="s">
        <v>4</v>
      </c>
      <c r="J5" s="477"/>
      <c r="K5" s="439" t="s">
        <v>27</v>
      </c>
      <c r="L5" s="439" t="s">
        <v>28</v>
      </c>
      <c r="M5" s="439" t="s">
        <v>29</v>
      </c>
      <c r="N5" s="477" t="s">
        <v>4</v>
      </c>
      <c r="O5" s="477"/>
      <c r="P5" s="439" t="s">
        <v>27</v>
      </c>
      <c r="Q5" s="439" t="s">
        <v>28</v>
      </c>
      <c r="R5" s="439" t="s">
        <v>29</v>
      </c>
      <c r="S5" s="485"/>
      <c r="T5" s="456" t="s">
        <v>2</v>
      </c>
      <c r="U5" s="458" t="s">
        <v>3</v>
      </c>
      <c r="V5" s="456" t="s">
        <v>2</v>
      </c>
      <c r="W5" s="458" t="s">
        <v>3</v>
      </c>
      <c r="X5" s="456" t="s">
        <v>2</v>
      </c>
      <c r="Y5" s="458" t="s">
        <v>3</v>
      </c>
      <c r="Z5" s="456" t="s">
        <v>2</v>
      </c>
      <c r="AA5" s="458" t="s">
        <v>3</v>
      </c>
      <c r="AB5" s="456" t="s">
        <v>2</v>
      </c>
      <c r="AC5" s="458" t="s">
        <v>3</v>
      </c>
      <c r="AD5" s="456" t="s">
        <v>2</v>
      </c>
      <c r="AE5" s="458" t="s">
        <v>3</v>
      </c>
    </row>
    <row r="6" spans="1:31" ht="52.5" customHeight="1" thickBot="1" x14ac:dyDescent="0.25">
      <c r="A6" s="482"/>
      <c r="B6" s="479"/>
      <c r="C6" s="469"/>
      <c r="D6" s="469"/>
      <c r="E6" s="469"/>
      <c r="F6" s="469"/>
      <c r="G6" s="469"/>
      <c r="H6" s="469"/>
      <c r="I6" s="28" t="s">
        <v>2</v>
      </c>
      <c r="J6" s="28" t="s">
        <v>3</v>
      </c>
      <c r="K6" s="469"/>
      <c r="L6" s="469"/>
      <c r="M6" s="469"/>
      <c r="N6" s="28" t="s">
        <v>2</v>
      </c>
      <c r="O6" s="28" t="s">
        <v>3</v>
      </c>
      <c r="P6" s="469"/>
      <c r="Q6" s="469"/>
      <c r="R6" s="469"/>
      <c r="S6" s="485"/>
      <c r="T6" s="457"/>
      <c r="U6" s="459"/>
      <c r="V6" s="457"/>
      <c r="W6" s="459"/>
      <c r="X6" s="457"/>
      <c r="Y6" s="459"/>
      <c r="Z6" s="457"/>
      <c r="AA6" s="459"/>
      <c r="AB6" s="457"/>
      <c r="AC6" s="459"/>
      <c r="AD6" s="457"/>
      <c r="AE6" s="459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6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491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463"/>
      <c r="T8" s="101"/>
      <c r="U8" s="102"/>
      <c r="V8" s="101"/>
      <c r="W8" s="102"/>
      <c r="X8" s="101">
        <v>600000</v>
      </c>
      <c r="Y8" s="102"/>
      <c r="Z8" s="101"/>
      <c r="AA8" s="102"/>
      <c r="AB8" s="101"/>
      <c r="AC8" s="102"/>
      <c r="AD8" s="101">
        <v>600000</v>
      </c>
      <c r="AE8" s="102"/>
    </row>
    <row r="9" spans="1:31" x14ac:dyDescent="0.2">
      <c r="A9" s="491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463"/>
      <c r="T9" s="57"/>
      <c r="U9" s="103"/>
      <c r="V9" s="57"/>
      <c r="W9" s="103"/>
      <c r="X9" s="57">
        <v>6000000</v>
      </c>
      <c r="Y9" s="103"/>
      <c r="Z9" s="57"/>
      <c r="AA9" s="103"/>
      <c r="AB9" s="57"/>
      <c r="AC9" s="103"/>
      <c r="AD9" s="57">
        <v>6600000</v>
      </c>
      <c r="AE9" s="103"/>
    </row>
    <row r="10" spans="1:31" x14ac:dyDescent="0.2">
      <c r="A10" s="491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463"/>
      <c r="T10" s="57"/>
      <c r="U10" s="103"/>
      <c r="V10" s="57"/>
      <c r="W10" s="103"/>
      <c r="X10" s="57"/>
      <c r="Y10" s="103"/>
      <c r="Z10" s="57"/>
      <c r="AA10" s="103"/>
      <c r="AB10" s="57"/>
      <c r="AC10" s="103"/>
      <c r="AD10" s="57"/>
      <c r="AE10" s="103"/>
    </row>
    <row r="11" spans="1:31" ht="25.5" x14ac:dyDescent="0.2">
      <c r="A11" s="491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5"/>
      <c r="L11" s="75"/>
      <c r="M11" s="76"/>
      <c r="N11" s="9"/>
      <c r="O11" s="9"/>
      <c r="P11" s="9">
        <v>0</v>
      </c>
      <c r="Q11" s="9">
        <v>2050048</v>
      </c>
      <c r="R11" s="1"/>
      <c r="S11" s="463"/>
      <c r="T11" s="57"/>
      <c r="U11" s="103"/>
      <c r="V11" s="57"/>
      <c r="W11" s="103"/>
      <c r="X11" s="57">
        <v>1500000</v>
      </c>
      <c r="Y11" s="103"/>
      <c r="Z11" s="57"/>
      <c r="AA11" s="103"/>
      <c r="AB11" s="57"/>
      <c r="AC11" s="103"/>
      <c r="AD11" s="57">
        <v>1500000</v>
      </c>
      <c r="AE11" s="103"/>
    </row>
    <row r="12" spans="1:31" ht="16.5" customHeight="1" x14ac:dyDescent="0.2">
      <c r="A12" s="491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463"/>
      <c r="T12" s="57"/>
      <c r="U12" s="103"/>
      <c r="V12" s="57"/>
      <c r="W12" s="103"/>
      <c r="X12" s="57"/>
      <c r="Y12" s="103"/>
      <c r="Z12" s="57"/>
      <c r="AA12" s="103"/>
      <c r="AB12" s="57"/>
      <c r="AC12" s="103"/>
      <c r="AD12" s="57"/>
      <c r="AE12" s="103"/>
    </row>
    <row r="13" spans="1:31" ht="25.5" x14ac:dyDescent="0.2">
      <c r="A13" s="491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463"/>
      <c r="T13" s="57"/>
      <c r="U13" s="103"/>
      <c r="V13" s="57"/>
      <c r="W13" s="103"/>
      <c r="X13" s="57"/>
      <c r="Y13" s="103"/>
      <c r="Z13" s="57"/>
      <c r="AA13" s="103"/>
      <c r="AB13" s="57"/>
      <c r="AC13" s="103"/>
      <c r="AD13" s="57"/>
      <c r="AE13" s="103"/>
    </row>
    <row r="14" spans="1:31" ht="25.5" x14ac:dyDescent="0.2">
      <c r="A14" s="491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463"/>
      <c r="T14" s="57"/>
      <c r="U14" s="103"/>
      <c r="V14" s="57"/>
      <c r="W14" s="103"/>
      <c r="X14" s="57"/>
      <c r="Y14" s="103"/>
      <c r="Z14" s="57"/>
      <c r="AA14" s="103"/>
      <c r="AB14" s="57"/>
      <c r="AC14" s="103"/>
      <c r="AD14" s="57"/>
      <c r="AE14" s="103"/>
    </row>
    <row r="15" spans="1:31" ht="20.25" customHeight="1" x14ac:dyDescent="0.2">
      <c r="A15" s="491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5"/>
      <c r="L15" s="77"/>
      <c r="M15" s="76"/>
      <c r="N15" s="9"/>
      <c r="O15" s="9"/>
      <c r="P15" s="9">
        <v>0</v>
      </c>
      <c r="Q15" s="9">
        <v>240000</v>
      </c>
      <c r="R15" s="1"/>
      <c r="S15" s="463"/>
      <c r="T15" s="57"/>
      <c r="U15" s="103"/>
      <c r="V15" s="57"/>
      <c r="W15" s="103"/>
      <c r="X15" s="57"/>
      <c r="Y15" s="103"/>
      <c r="Z15" s="57"/>
      <c r="AA15" s="103"/>
      <c r="AB15" s="57"/>
      <c r="AC15" s="103"/>
      <c r="AD15" s="57"/>
      <c r="AE15" s="103"/>
    </row>
    <row r="16" spans="1:31" x14ac:dyDescent="0.2">
      <c r="A16" s="491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5"/>
      <c r="L16" s="9"/>
      <c r="M16" s="76"/>
      <c r="N16" s="9"/>
      <c r="O16" s="9"/>
      <c r="P16" s="9">
        <v>0</v>
      </c>
      <c r="Q16" s="9">
        <v>1000000</v>
      </c>
      <c r="R16" s="1"/>
      <c r="S16" s="463"/>
      <c r="T16" s="57"/>
      <c r="U16" s="103"/>
      <c r="V16" s="57"/>
      <c r="W16" s="103"/>
      <c r="X16" s="57">
        <v>800000</v>
      </c>
      <c r="Y16" s="103"/>
      <c r="Z16" s="57"/>
      <c r="AA16" s="103"/>
      <c r="AB16" s="57"/>
      <c r="AC16" s="103"/>
      <c r="AD16" s="57">
        <v>800000</v>
      </c>
      <c r="AE16" s="103"/>
    </row>
    <row r="17" spans="1:31" x14ac:dyDescent="0.2">
      <c r="A17" s="491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5"/>
      <c r="L17" s="75"/>
      <c r="M17" s="76"/>
      <c r="N17" s="9"/>
      <c r="O17" s="9"/>
      <c r="P17" s="9">
        <v>0</v>
      </c>
      <c r="Q17" s="9">
        <v>500000</v>
      </c>
      <c r="R17" s="1"/>
      <c r="S17" s="463"/>
      <c r="T17" s="57"/>
      <c r="U17" s="103"/>
      <c r="V17" s="57"/>
      <c r="W17" s="103"/>
      <c r="X17" s="57">
        <v>500000</v>
      </c>
      <c r="Y17" s="103"/>
      <c r="Z17" s="57"/>
      <c r="AA17" s="103"/>
      <c r="AB17" s="57"/>
      <c r="AC17" s="103"/>
      <c r="AD17" s="57">
        <v>500000</v>
      </c>
      <c r="AE17" s="103"/>
    </row>
    <row r="18" spans="1:31" ht="14.25" customHeight="1" x14ac:dyDescent="0.2">
      <c r="A18" s="491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5"/>
      <c r="L18" s="75"/>
      <c r="M18" s="76"/>
      <c r="N18" s="9"/>
      <c r="O18" s="9"/>
      <c r="P18" s="9">
        <v>0</v>
      </c>
      <c r="Q18" s="9">
        <v>12000000</v>
      </c>
      <c r="R18" s="1"/>
      <c r="S18" s="463"/>
      <c r="T18" s="57"/>
      <c r="U18" s="103"/>
      <c r="V18" s="57"/>
      <c r="W18" s="103"/>
      <c r="X18" s="57">
        <v>12840000</v>
      </c>
      <c r="Y18" s="103"/>
      <c r="Z18" s="57"/>
      <c r="AA18" s="103"/>
      <c r="AB18" s="57"/>
      <c r="AC18" s="103"/>
      <c r="AD18" s="57">
        <v>13738800</v>
      </c>
      <c r="AE18" s="103"/>
    </row>
    <row r="19" spans="1:31" x14ac:dyDescent="0.2">
      <c r="A19" s="491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5"/>
      <c r="L19" s="75"/>
      <c r="M19" s="76"/>
      <c r="N19" s="9"/>
      <c r="O19" s="9"/>
      <c r="P19" s="9">
        <v>0</v>
      </c>
      <c r="Q19" s="9">
        <v>2000000</v>
      </c>
      <c r="R19" s="1"/>
      <c r="S19" s="463"/>
      <c r="T19" s="57"/>
      <c r="U19" s="103"/>
      <c r="V19" s="57"/>
      <c r="W19" s="103"/>
      <c r="X19" s="57">
        <v>2000000</v>
      </c>
      <c r="Y19" s="103"/>
      <c r="Z19" s="57"/>
      <c r="AA19" s="103"/>
      <c r="AB19" s="57"/>
      <c r="AC19" s="103"/>
      <c r="AD19" s="57">
        <v>2000000</v>
      </c>
      <c r="AE19" s="103"/>
    </row>
    <row r="20" spans="1:31" x14ac:dyDescent="0.2">
      <c r="A20" s="491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5"/>
      <c r="L20" s="75"/>
      <c r="M20" s="76"/>
      <c r="N20" s="9"/>
      <c r="O20" s="9"/>
      <c r="P20" s="9">
        <v>0</v>
      </c>
      <c r="Q20" s="23">
        <v>7235000</v>
      </c>
      <c r="R20" s="1"/>
      <c r="S20" s="463"/>
      <c r="T20" s="57"/>
      <c r="U20" s="103"/>
      <c r="V20" s="57"/>
      <c r="W20" s="103"/>
      <c r="X20" s="57">
        <v>7235000</v>
      </c>
      <c r="Y20" s="103"/>
      <c r="Z20" s="57"/>
      <c r="AA20" s="103"/>
      <c r="AB20" s="57"/>
      <c r="AC20" s="103"/>
      <c r="AD20" s="57">
        <v>7235000</v>
      </c>
      <c r="AE20" s="103"/>
    </row>
    <row r="21" spans="1:31" x14ac:dyDescent="0.2">
      <c r="A21" s="491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5"/>
      <c r="L21" s="75"/>
      <c r="M21" s="76"/>
      <c r="N21" s="9"/>
      <c r="O21" s="9"/>
      <c r="P21" s="9">
        <v>0</v>
      </c>
      <c r="Q21" s="23">
        <v>3420400</v>
      </c>
      <c r="R21" s="1"/>
      <c r="S21" s="463"/>
      <c r="T21" s="57"/>
      <c r="U21" s="103"/>
      <c r="V21" s="57"/>
      <c r="W21" s="103"/>
      <c r="X21" s="57">
        <v>3966767</v>
      </c>
      <c r="Y21" s="103"/>
      <c r="Z21" s="57"/>
      <c r="AA21" s="103"/>
      <c r="AB21" s="57"/>
      <c r="AC21" s="103"/>
      <c r="AD21" s="57">
        <v>4799018</v>
      </c>
      <c r="AE21" s="103"/>
    </row>
    <row r="22" spans="1:31" ht="25.5" x14ac:dyDescent="0.2">
      <c r="A22" s="491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5"/>
      <c r="L22" s="75"/>
      <c r="M22" s="76"/>
      <c r="N22" s="9"/>
      <c r="O22" s="9"/>
      <c r="P22" s="9">
        <v>0</v>
      </c>
      <c r="Q22" s="23">
        <v>21845000</v>
      </c>
      <c r="R22" s="1"/>
      <c r="S22" s="463"/>
      <c r="T22" s="57"/>
      <c r="U22" s="103"/>
      <c r="V22" s="57"/>
      <c r="W22" s="103"/>
      <c r="X22" s="57">
        <v>1500000</v>
      </c>
      <c r="Y22" s="103"/>
      <c r="Z22" s="57"/>
      <c r="AA22" s="103"/>
      <c r="AB22" s="57"/>
      <c r="AC22" s="103"/>
      <c r="AD22" s="57">
        <v>1500000</v>
      </c>
      <c r="AE22" s="103"/>
    </row>
    <row r="23" spans="1:31" x14ac:dyDescent="0.2">
      <c r="A23" s="491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5"/>
      <c r="L23" s="75"/>
      <c r="M23" s="76"/>
      <c r="N23" s="9"/>
      <c r="O23" s="9"/>
      <c r="P23" s="9"/>
      <c r="Q23" s="23"/>
      <c r="R23" s="1"/>
      <c r="S23" s="463"/>
      <c r="T23" s="57"/>
      <c r="U23" s="103"/>
      <c r="V23" s="57"/>
      <c r="W23" s="103"/>
      <c r="X23" s="57"/>
      <c r="Y23" s="103"/>
      <c r="Z23" s="57"/>
      <c r="AA23" s="103"/>
      <c r="AB23" s="57"/>
      <c r="AC23" s="103"/>
      <c r="AD23" s="57"/>
      <c r="AE23" s="103"/>
    </row>
    <row r="24" spans="1:31" x14ac:dyDescent="0.2">
      <c r="A24" s="491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08">
        <v>0</v>
      </c>
      <c r="L24" s="108">
        <v>1000000</v>
      </c>
      <c r="M24" s="109"/>
      <c r="N24" s="108"/>
      <c r="O24" s="108"/>
      <c r="P24" s="108"/>
      <c r="Q24" s="23"/>
      <c r="R24" s="1"/>
      <c r="S24" s="463"/>
      <c r="T24" s="57"/>
      <c r="U24" s="103"/>
      <c r="V24" s="57"/>
      <c r="W24" s="103"/>
      <c r="X24" s="57"/>
      <c r="Y24" s="103"/>
      <c r="Z24" s="57"/>
      <c r="AA24" s="103"/>
      <c r="AB24" s="57"/>
      <c r="AC24" s="103"/>
      <c r="AD24" s="57"/>
      <c r="AE24" s="103"/>
    </row>
    <row r="25" spans="1:31" x14ac:dyDescent="0.2">
      <c r="A25" s="491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08">
        <v>3256832</v>
      </c>
      <c r="L25" s="108">
        <v>-3256832</v>
      </c>
      <c r="M25" s="109">
        <v>1</v>
      </c>
      <c r="N25" s="108"/>
      <c r="O25" s="108"/>
      <c r="P25" s="108"/>
      <c r="Q25" s="23"/>
      <c r="R25" s="1"/>
      <c r="S25" s="463"/>
      <c r="T25" s="57"/>
      <c r="U25" s="103"/>
      <c r="V25" s="57"/>
      <c r="W25" s="103"/>
      <c r="X25" s="57"/>
      <c r="Y25" s="103"/>
      <c r="Z25" s="57"/>
      <c r="AA25" s="103"/>
      <c r="AB25" s="57"/>
      <c r="AC25" s="103"/>
      <c r="AD25" s="57"/>
      <c r="AE25" s="103"/>
    </row>
    <row r="26" spans="1:31" x14ac:dyDescent="0.2">
      <c r="A26" s="491"/>
      <c r="B26" s="31"/>
      <c r="C26" s="9"/>
      <c r="D26" s="9"/>
      <c r="E26" s="9"/>
      <c r="F26" s="9"/>
      <c r="G26" s="9"/>
      <c r="H26" s="1"/>
      <c r="I26" s="9"/>
      <c r="J26" s="9"/>
      <c r="K26" s="108"/>
      <c r="L26" s="108"/>
      <c r="M26" s="109"/>
      <c r="N26" s="108"/>
      <c r="O26" s="108"/>
      <c r="P26" s="108"/>
      <c r="Q26" s="23"/>
      <c r="R26" s="1"/>
      <c r="S26" s="463"/>
      <c r="T26" s="57"/>
      <c r="U26" s="103"/>
      <c r="V26" s="57"/>
      <c r="W26" s="103"/>
      <c r="X26" s="57"/>
      <c r="Y26" s="103"/>
      <c r="Z26" s="57"/>
      <c r="AA26" s="103"/>
      <c r="AB26" s="57"/>
      <c r="AC26" s="103"/>
      <c r="AD26" s="57"/>
      <c r="AE26" s="103"/>
    </row>
    <row r="27" spans="1:31" x14ac:dyDescent="0.2">
      <c r="A27" s="491"/>
      <c r="B27" s="31"/>
      <c r="C27" s="9"/>
      <c r="D27" s="9"/>
      <c r="E27" s="9"/>
      <c r="F27" s="9"/>
      <c r="G27" s="9"/>
      <c r="H27" s="1"/>
      <c r="I27" s="9"/>
      <c r="J27" s="9"/>
      <c r="K27" s="108"/>
      <c r="L27" s="108"/>
      <c r="M27" s="109"/>
      <c r="N27" s="108"/>
      <c r="O27" s="108"/>
      <c r="P27" s="108"/>
      <c r="Q27" s="23"/>
      <c r="R27" s="1"/>
      <c r="S27" s="463"/>
      <c r="T27" s="57"/>
      <c r="U27" s="103"/>
      <c r="V27" s="57"/>
      <c r="W27" s="103"/>
      <c r="X27" s="57"/>
      <c r="Y27" s="103"/>
      <c r="Z27" s="57"/>
      <c r="AA27" s="103"/>
      <c r="AB27" s="57"/>
      <c r="AC27" s="103"/>
      <c r="AD27" s="57"/>
      <c r="AE27" s="103"/>
    </row>
    <row r="28" spans="1:31" x14ac:dyDescent="0.2">
      <c r="A28" s="491"/>
      <c r="B28" s="31"/>
      <c r="C28" s="9"/>
      <c r="D28" s="9"/>
      <c r="E28" s="9"/>
      <c r="F28" s="9"/>
      <c r="G28" s="9"/>
      <c r="H28" s="1"/>
      <c r="I28" s="9"/>
      <c r="J28" s="9"/>
      <c r="K28" s="75"/>
      <c r="L28" s="75"/>
      <c r="M28" s="76"/>
      <c r="N28" s="9"/>
      <c r="O28" s="9"/>
      <c r="P28" s="9"/>
      <c r="Q28" s="23"/>
      <c r="R28" s="1"/>
      <c r="S28" s="463"/>
      <c r="T28" s="57"/>
      <c r="U28" s="103"/>
      <c r="V28" s="57"/>
      <c r="W28" s="103"/>
      <c r="X28" s="57"/>
      <c r="Y28" s="103"/>
      <c r="Z28" s="57"/>
      <c r="AA28" s="103"/>
      <c r="AB28" s="57"/>
      <c r="AC28" s="103"/>
      <c r="AD28" s="57"/>
      <c r="AE28" s="103"/>
    </row>
    <row r="29" spans="1:31" x14ac:dyDescent="0.2">
      <c r="A29" s="491"/>
      <c r="B29" s="31"/>
      <c r="C29" s="9"/>
      <c r="D29" s="9"/>
      <c r="E29" s="9"/>
      <c r="F29" s="9"/>
      <c r="G29" s="9"/>
      <c r="H29" s="1"/>
      <c r="I29" s="9"/>
      <c r="J29" s="9"/>
      <c r="K29" s="75"/>
      <c r="L29" s="75"/>
      <c r="M29" s="76"/>
      <c r="N29" s="9"/>
      <c r="O29" s="9"/>
      <c r="P29" s="9"/>
      <c r="Q29" s="23"/>
      <c r="R29" s="1"/>
      <c r="S29" s="463"/>
      <c r="T29" s="57"/>
      <c r="U29" s="103"/>
      <c r="V29" s="57"/>
      <c r="W29" s="103"/>
      <c r="X29" s="57"/>
      <c r="Y29" s="103"/>
      <c r="Z29" s="57"/>
      <c r="AA29" s="103"/>
      <c r="AB29" s="57"/>
      <c r="AC29" s="103"/>
      <c r="AD29" s="57"/>
      <c r="AE29" s="103"/>
    </row>
    <row r="30" spans="1:31" x14ac:dyDescent="0.2">
      <c r="A30" s="491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463"/>
      <c r="T30" s="57"/>
      <c r="U30" s="103"/>
      <c r="V30" s="57"/>
      <c r="W30" s="103"/>
      <c r="X30" s="57"/>
      <c r="Y30" s="103"/>
      <c r="Z30" s="57"/>
      <c r="AA30" s="103"/>
      <c r="AB30" s="57"/>
      <c r="AC30" s="103"/>
      <c r="AD30" s="57"/>
      <c r="AE30" s="103"/>
    </row>
    <row r="31" spans="1:31" x14ac:dyDescent="0.2">
      <c r="A31" s="491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0" t="e">
        <f>Q31/P31</f>
        <v>#DIV/0!</v>
      </c>
      <c r="S31" s="463"/>
      <c r="T31" s="96">
        <f>SUM(T32:T40)</f>
        <v>35000000</v>
      </c>
      <c r="U31" s="96">
        <f t="shared" ref="U31:AE31" si="2">SUM(U32:U40)</f>
        <v>0</v>
      </c>
      <c r="V31" s="96">
        <f t="shared" si="2"/>
        <v>0</v>
      </c>
      <c r="W31" s="96">
        <f t="shared" si="2"/>
        <v>0</v>
      </c>
      <c r="X31" s="96">
        <f t="shared" si="2"/>
        <v>38000000</v>
      </c>
      <c r="Y31" s="96">
        <f t="shared" si="2"/>
        <v>0</v>
      </c>
      <c r="Z31" s="96">
        <f t="shared" si="2"/>
        <v>30800000</v>
      </c>
      <c r="AA31" s="96">
        <f t="shared" si="2"/>
        <v>0</v>
      </c>
      <c r="AB31" s="96">
        <f t="shared" si="2"/>
        <v>0</v>
      </c>
      <c r="AC31" s="96">
        <f t="shared" si="2"/>
        <v>0</v>
      </c>
      <c r="AD31" s="96">
        <f t="shared" si="2"/>
        <v>40000000</v>
      </c>
      <c r="AE31" s="96">
        <f t="shared" si="2"/>
        <v>0</v>
      </c>
    </row>
    <row r="32" spans="1:31" ht="25.5" x14ac:dyDescent="0.2">
      <c r="A32" s="491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5"/>
      <c r="L32" s="75"/>
      <c r="M32" s="75"/>
      <c r="N32" s="9"/>
      <c r="O32" s="9"/>
      <c r="P32" s="9">
        <v>0</v>
      </c>
      <c r="Q32" s="23">
        <v>500000</v>
      </c>
      <c r="R32" s="1"/>
      <c r="S32" s="463"/>
      <c r="T32" s="57"/>
      <c r="U32" s="103"/>
      <c r="V32" s="57"/>
      <c r="W32" s="103"/>
      <c r="X32" s="57">
        <v>500000</v>
      </c>
      <c r="Y32" s="103"/>
      <c r="Z32" s="57"/>
      <c r="AA32" s="103"/>
      <c r="AB32" s="57"/>
      <c r="AC32" s="103"/>
      <c r="AD32" s="57">
        <v>500000</v>
      </c>
      <c r="AE32" s="103"/>
    </row>
    <row r="33" spans="1:31" ht="13.15" hidden="1" x14ac:dyDescent="0.25">
      <c r="A33" s="491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5"/>
      <c r="L33" s="75"/>
      <c r="M33" s="75"/>
      <c r="N33" s="9"/>
      <c r="O33" s="9"/>
      <c r="P33" s="9"/>
      <c r="Q33" s="23"/>
      <c r="R33" s="1"/>
      <c r="S33" s="463"/>
      <c r="T33" s="57"/>
      <c r="U33" s="103"/>
      <c r="V33" s="57"/>
      <c r="W33" s="103"/>
      <c r="X33" s="57"/>
      <c r="Y33" s="103"/>
      <c r="Z33" s="57"/>
      <c r="AA33" s="103"/>
      <c r="AB33" s="57"/>
      <c r="AC33" s="103"/>
      <c r="AD33" s="57"/>
      <c r="AE33" s="103"/>
    </row>
    <row r="34" spans="1:31" x14ac:dyDescent="0.2">
      <c r="A34" s="491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5"/>
      <c r="L34" s="75"/>
      <c r="M34" s="75"/>
      <c r="N34" s="9"/>
      <c r="O34" s="9"/>
      <c r="P34" s="9">
        <v>0</v>
      </c>
      <c r="Q34" s="23">
        <v>1265000</v>
      </c>
      <c r="R34" s="1"/>
      <c r="S34" s="463"/>
      <c r="T34" s="57"/>
      <c r="U34" s="103"/>
      <c r="V34" s="57"/>
      <c r="W34" s="103"/>
      <c r="X34" s="57">
        <v>1265000</v>
      </c>
      <c r="Y34" s="103"/>
      <c r="Z34" s="57"/>
      <c r="AA34" s="103"/>
      <c r="AB34" s="57"/>
      <c r="AC34" s="103"/>
      <c r="AD34" s="57">
        <v>1265000</v>
      </c>
      <c r="AE34" s="103"/>
    </row>
    <row r="35" spans="1:31" x14ac:dyDescent="0.2">
      <c r="A35" s="491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5"/>
      <c r="L35" s="75"/>
      <c r="M35" s="75"/>
      <c r="N35" s="9"/>
      <c r="O35" s="9"/>
      <c r="P35" s="9">
        <v>0</v>
      </c>
      <c r="Q35" s="23">
        <v>7000000</v>
      </c>
      <c r="R35" s="1"/>
      <c r="S35" s="463"/>
      <c r="T35" s="57"/>
      <c r="U35" s="103"/>
      <c r="V35" s="57"/>
      <c r="W35" s="103"/>
      <c r="X35" s="57">
        <v>23500000</v>
      </c>
      <c r="Y35" s="103"/>
      <c r="Z35" s="57"/>
      <c r="AA35" s="103"/>
      <c r="AB35" s="57"/>
      <c r="AC35" s="103"/>
      <c r="AD35" s="57">
        <v>24500000</v>
      </c>
      <c r="AE35" s="103"/>
    </row>
    <row r="36" spans="1:31" ht="13.15" hidden="1" x14ac:dyDescent="0.25">
      <c r="A36" s="491"/>
      <c r="B36" s="34"/>
      <c r="C36" s="9"/>
      <c r="D36" s="9"/>
      <c r="E36" s="9"/>
      <c r="F36" s="9"/>
      <c r="G36" s="9"/>
      <c r="H36" s="1"/>
      <c r="I36" s="9"/>
      <c r="J36" s="9"/>
      <c r="K36" s="75"/>
      <c r="L36" s="75"/>
      <c r="M36" s="75"/>
      <c r="N36" s="9"/>
      <c r="O36" s="9"/>
      <c r="P36" s="9"/>
      <c r="Q36" s="23"/>
      <c r="R36" s="1"/>
      <c r="S36" s="463"/>
      <c r="T36" s="57"/>
      <c r="U36" s="103"/>
      <c r="V36" s="57"/>
      <c r="W36" s="103"/>
      <c r="X36" s="57"/>
      <c r="Y36" s="103"/>
      <c r="Z36" s="57"/>
      <c r="AA36" s="103"/>
      <c r="AB36" s="57"/>
      <c r="AC36" s="103"/>
      <c r="AD36" s="57"/>
      <c r="AE36" s="103"/>
    </row>
    <row r="37" spans="1:31" ht="13.15" hidden="1" x14ac:dyDescent="0.25">
      <c r="A37" s="491"/>
      <c r="B37" s="34"/>
      <c r="C37" s="9"/>
      <c r="D37" s="9"/>
      <c r="E37" s="9"/>
      <c r="F37" s="9"/>
      <c r="G37" s="9"/>
      <c r="H37" s="1"/>
      <c r="I37" s="9"/>
      <c r="J37" s="9"/>
      <c r="K37" s="75"/>
      <c r="L37" s="75"/>
      <c r="M37" s="75"/>
      <c r="N37" s="9"/>
      <c r="O37" s="9"/>
      <c r="P37" s="9"/>
      <c r="Q37" s="23"/>
      <c r="R37" s="1"/>
      <c r="S37" s="464"/>
      <c r="T37" s="57"/>
      <c r="U37" s="103"/>
      <c r="V37" s="57"/>
      <c r="W37" s="103"/>
      <c r="X37" s="57"/>
      <c r="Y37" s="103"/>
      <c r="Z37" s="57"/>
      <c r="AA37" s="103"/>
      <c r="AB37" s="57"/>
      <c r="AC37" s="103"/>
      <c r="AD37" s="57"/>
      <c r="AE37" s="103"/>
    </row>
    <row r="38" spans="1:31" x14ac:dyDescent="0.2">
      <c r="A38" s="491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4"/>
      <c r="L38" s="74"/>
      <c r="M38" s="74"/>
      <c r="N38" s="13"/>
      <c r="O38" s="13"/>
      <c r="P38" s="13">
        <v>0</v>
      </c>
      <c r="Q38" s="36">
        <v>9568000</v>
      </c>
      <c r="R38" s="35"/>
      <c r="S38" s="465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491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4"/>
      <c r="L39" s="74"/>
      <c r="M39" s="74"/>
      <c r="N39" s="13"/>
      <c r="O39" s="13"/>
      <c r="P39" s="13">
        <v>0</v>
      </c>
      <c r="Q39" s="36">
        <f>42000000+4667000</f>
        <v>46667000</v>
      </c>
      <c r="R39" s="35"/>
      <c r="S39" s="465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491"/>
      <c r="B40" s="99" t="s">
        <v>52</v>
      </c>
      <c r="C40" s="13"/>
      <c r="D40" s="13"/>
      <c r="E40" s="13"/>
      <c r="F40" s="13"/>
      <c r="G40" s="13"/>
      <c r="H40" s="35"/>
      <c r="I40" s="13"/>
      <c r="J40" s="13"/>
      <c r="K40" s="74"/>
      <c r="L40" s="74"/>
      <c r="M40" s="74"/>
      <c r="N40" s="13"/>
      <c r="O40" s="13"/>
      <c r="P40" s="13">
        <v>0</v>
      </c>
      <c r="Q40" s="36">
        <v>3241571</v>
      </c>
      <c r="R40" s="35"/>
      <c r="S40" s="465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98" t="s">
        <v>7</v>
      </c>
      <c r="C41" s="42" t="s">
        <v>30</v>
      </c>
      <c r="D41" s="42">
        <f t="shared" ref="D41:O41" si="3">SUM(D42:D46)</f>
        <v>0</v>
      </c>
      <c r="E41" s="42" t="s">
        <v>30</v>
      </c>
      <c r="F41" s="42" t="s">
        <v>30</v>
      </c>
      <c r="G41" s="42">
        <f t="shared" si="3"/>
        <v>0</v>
      </c>
      <c r="H41" s="42" t="s">
        <v>30</v>
      </c>
      <c r="I41" s="42">
        <f t="shared" si="3"/>
        <v>0</v>
      </c>
      <c r="J41" s="42">
        <f t="shared" si="3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3"/>
        <v>0</v>
      </c>
      <c r="O41" s="42">
        <f t="shared" si="3"/>
        <v>0</v>
      </c>
      <c r="P41" s="42" t="s">
        <v>30</v>
      </c>
      <c r="Q41" s="42">
        <f>SUM(Q42:Q47)</f>
        <v>900000</v>
      </c>
      <c r="R41" s="42" t="s">
        <v>30</v>
      </c>
      <c r="S41" s="87">
        <f>SUM(C41:R41)</f>
        <v>900000</v>
      </c>
      <c r="T41" s="42">
        <f>SUM(T42:T47)</f>
        <v>0</v>
      </c>
      <c r="U41" s="100">
        <f t="shared" ref="U41:AE41" si="4">SUM(U42:U47)</f>
        <v>0</v>
      </c>
      <c r="V41" s="42">
        <f t="shared" si="4"/>
        <v>0</v>
      </c>
      <c r="W41" s="100">
        <f t="shared" si="4"/>
        <v>0</v>
      </c>
      <c r="X41" s="42">
        <f t="shared" si="4"/>
        <v>250000</v>
      </c>
      <c r="Y41" s="100">
        <f t="shared" si="4"/>
        <v>0</v>
      </c>
      <c r="Z41" s="42">
        <f t="shared" si="4"/>
        <v>0</v>
      </c>
      <c r="AA41" s="100">
        <f t="shared" si="4"/>
        <v>0</v>
      </c>
      <c r="AB41" s="42">
        <f t="shared" si="4"/>
        <v>0</v>
      </c>
      <c r="AC41" s="100">
        <f t="shared" si="4"/>
        <v>0</v>
      </c>
      <c r="AD41" s="42">
        <f t="shared" si="4"/>
        <v>250000</v>
      </c>
      <c r="AE41" s="100">
        <f t="shared" si="4"/>
        <v>0</v>
      </c>
    </row>
    <row r="42" spans="1:31" x14ac:dyDescent="0.2">
      <c r="A42" s="484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467"/>
      <c r="T42" s="101"/>
      <c r="U42" s="102"/>
      <c r="V42" s="101"/>
      <c r="W42" s="102"/>
      <c r="X42" s="101">
        <v>250000</v>
      </c>
      <c r="Y42" s="102"/>
      <c r="Z42" s="101"/>
      <c r="AA42" s="102"/>
      <c r="AB42" s="101"/>
      <c r="AC42" s="102"/>
      <c r="AD42" s="101">
        <v>250000</v>
      </c>
      <c r="AE42" s="102"/>
    </row>
    <row r="43" spans="1:31" x14ac:dyDescent="0.2">
      <c r="A43" s="484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467"/>
      <c r="T43" s="57"/>
      <c r="U43" s="103"/>
      <c r="V43" s="57"/>
      <c r="W43" s="103"/>
      <c r="X43" s="57"/>
      <c r="Y43" s="103"/>
      <c r="Z43" s="57"/>
      <c r="AA43" s="103"/>
      <c r="AB43" s="57"/>
      <c r="AC43" s="103"/>
      <c r="AD43" s="57"/>
      <c r="AE43" s="103"/>
    </row>
    <row r="44" spans="1:31" ht="13.15" hidden="1" x14ac:dyDescent="0.25">
      <c r="A44" s="484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6"/>
      <c r="N44" s="9"/>
      <c r="O44" s="9"/>
      <c r="P44" s="9"/>
      <c r="Q44" s="9"/>
      <c r="R44" s="17"/>
      <c r="S44" s="467"/>
      <c r="T44" s="57"/>
      <c r="U44" s="103"/>
      <c r="V44" s="57"/>
      <c r="W44" s="103"/>
      <c r="X44" s="57"/>
      <c r="Y44" s="103"/>
      <c r="Z44" s="57"/>
      <c r="AA44" s="103"/>
      <c r="AB44" s="57"/>
      <c r="AC44" s="103"/>
      <c r="AD44" s="57"/>
      <c r="AE44" s="103"/>
    </row>
    <row r="45" spans="1:31" ht="13.15" hidden="1" x14ac:dyDescent="0.25">
      <c r="A45" s="484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6"/>
      <c r="N45" s="9"/>
      <c r="O45" s="9"/>
      <c r="P45" s="9"/>
      <c r="Q45" s="9"/>
      <c r="R45" s="17"/>
      <c r="S45" s="467"/>
      <c r="T45" s="57"/>
      <c r="U45" s="103"/>
      <c r="V45" s="57"/>
      <c r="W45" s="103"/>
      <c r="X45" s="57"/>
      <c r="Y45" s="103"/>
      <c r="Z45" s="57"/>
      <c r="AA45" s="103"/>
      <c r="AB45" s="57"/>
      <c r="AC45" s="103"/>
      <c r="AD45" s="57"/>
      <c r="AE45" s="103"/>
    </row>
    <row r="46" spans="1:31" x14ac:dyDescent="0.2">
      <c r="A46" s="484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467"/>
      <c r="T46" s="57"/>
      <c r="U46" s="103"/>
      <c r="V46" s="57"/>
      <c r="W46" s="103"/>
      <c r="X46" s="57"/>
      <c r="Y46" s="103"/>
      <c r="Z46" s="57"/>
      <c r="AA46" s="103"/>
      <c r="AB46" s="57"/>
      <c r="AC46" s="103"/>
      <c r="AD46" s="57"/>
      <c r="AE46" s="103"/>
    </row>
    <row r="47" spans="1:31" ht="13.7" thickBot="1" x14ac:dyDescent="0.3">
      <c r="A47" s="84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88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7">
        <f>SUM(C48:R48)</f>
        <v>0</v>
      </c>
      <c r="T48" s="42">
        <f>SUM(T49:T63)</f>
        <v>0</v>
      </c>
      <c r="U48" s="100">
        <f t="shared" ref="U48:AE48" si="5">SUM(U49:U63)</f>
        <v>0</v>
      </c>
      <c r="V48" s="42">
        <f t="shared" si="5"/>
        <v>0</v>
      </c>
      <c r="W48" s="100">
        <f t="shared" si="5"/>
        <v>0</v>
      </c>
      <c r="X48" s="42">
        <f t="shared" si="5"/>
        <v>0</v>
      </c>
      <c r="Y48" s="100">
        <f t="shared" si="5"/>
        <v>0</v>
      </c>
      <c r="Z48" s="42">
        <f t="shared" si="5"/>
        <v>0</v>
      </c>
      <c r="AA48" s="100">
        <f t="shared" si="5"/>
        <v>0</v>
      </c>
      <c r="AB48" s="42">
        <f t="shared" si="5"/>
        <v>0</v>
      </c>
      <c r="AC48" s="100">
        <f t="shared" si="5"/>
        <v>0</v>
      </c>
      <c r="AD48" s="42">
        <f t="shared" si="5"/>
        <v>0</v>
      </c>
      <c r="AE48" s="100">
        <f t="shared" si="5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79"/>
      <c r="N49" s="6"/>
      <c r="O49" s="6"/>
      <c r="P49" s="6"/>
      <c r="Q49" s="6"/>
      <c r="R49" s="6"/>
      <c r="S49" s="470"/>
      <c r="T49" s="101"/>
      <c r="U49" s="102"/>
      <c r="V49" s="101"/>
      <c r="W49" s="102"/>
      <c r="X49" s="101"/>
      <c r="Y49" s="102"/>
      <c r="Z49" s="101"/>
      <c r="AA49" s="102"/>
      <c r="AB49" s="101"/>
      <c r="AC49" s="102"/>
      <c r="AD49" s="101"/>
      <c r="AE49" s="102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470"/>
      <c r="T50" s="57"/>
      <c r="U50" s="103"/>
      <c r="V50" s="57"/>
      <c r="W50" s="103"/>
      <c r="X50" s="57"/>
      <c r="Y50" s="103"/>
      <c r="Z50" s="57"/>
      <c r="AA50" s="103"/>
      <c r="AB50" s="57"/>
      <c r="AC50" s="103"/>
      <c r="AD50" s="57"/>
      <c r="AE50" s="103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467"/>
      <c r="T51" s="57"/>
      <c r="U51" s="103"/>
      <c r="V51" s="57"/>
      <c r="W51" s="103"/>
      <c r="X51" s="57"/>
      <c r="Y51" s="103"/>
      <c r="Z51" s="57"/>
      <c r="AA51" s="103"/>
      <c r="AB51" s="57"/>
      <c r="AC51" s="103"/>
      <c r="AD51" s="57"/>
      <c r="AE51" s="103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467"/>
      <c r="T52" s="57"/>
      <c r="U52" s="103"/>
      <c r="V52" s="57"/>
      <c r="W52" s="103"/>
      <c r="X52" s="57"/>
      <c r="Y52" s="103"/>
      <c r="Z52" s="57"/>
      <c r="AA52" s="103"/>
      <c r="AB52" s="57"/>
      <c r="AC52" s="103"/>
      <c r="AD52" s="57"/>
      <c r="AE52" s="103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467"/>
      <c r="T53" s="57"/>
      <c r="U53" s="103"/>
      <c r="V53" s="57"/>
      <c r="W53" s="103"/>
      <c r="X53" s="57"/>
      <c r="Y53" s="103"/>
      <c r="Z53" s="57"/>
      <c r="AA53" s="103"/>
      <c r="AB53" s="57"/>
      <c r="AC53" s="103"/>
      <c r="AD53" s="57"/>
      <c r="AE53" s="103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467"/>
      <c r="T54" s="57"/>
      <c r="U54" s="103"/>
      <c r="V54" s="57"/>
      <c r="W54" s="103"/>
      <c r="X54" s="57"/>
      <c r="Y54" s="103"/>
      <c r="Z54" s="57"/>
      <c r="AA54" s="103"/>
      <c r="AB54" s="57"/>
      <c r="AC54" s="103"/>
      <c r="AD54" s="57"/>
      <c r="AE54" s="103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467"/>
      <c r="T55" s="57"/>
      <c r="U55" s="103"/>
      <c r="V55" s="57"/>
      <c r="W55" s="103"/>
      <c r="X55" s="57"/>
      <c r="Y55" s="103"/>
      <c r="Z55" s="57"/>
      <c r="AA55" s="103"/>
      <c r="AB55" s="57"/>
      <c r="AC55" s="103"/>
      <c r="AD55" s="57"/>
      <c r="AE55" s="103"/>
    </row>
    <row r="56" spans="1:31" ht="13.15" hidden="1" x14ac:dyDescent="0.25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467"/>
      <c r="T56" s="57"/>
      <c r="U56" s="103"/>
      <c r="V56" s="57"/>
      <c r="W56" s="103"/>
      <c r="X56" s="57"/>
      <c r="Y56" s="103"/>
      <c r="Z56" s="57"/>
      <c r="AA56" s="103"/>
      <c r="AB56" s="57"/>
      <c r="AC56" s="103"/>
      <c r="AD56" s="57"/>
      <c r="AE56" s="103"/>
    </row>
    <row r="57" spans="1:31" ht="13.15" hidden="1" x14ac:dyDescent="0.25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467"/>
      <c r="T57" s="57"/>
      <c r="U57" s="103"/>
      <c r="V57" s="57"/>
      <c r="W57" s="103"/>
      <c r="X57" s="57"/>
      <c r="Y57" s="103"/>
      <c r="Z57" s="57"/>
      <c r="AA57" s="103"/>
      <c r="AB57" s="57"/>
      <c r="AC57" s="103"/>
      <c r="AD57" s="57"/>
      <c r="AE57" s="103"/>
    </row>
    <row r="58" spans="1:31" ht="13.15" hidden="1" x14ac:dyDescent="0.25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467"/>
      <c r="T58" s="57"/>
      <c r="U58" s="103"/>
      <c r="V58" s="57"/>
      <c r="W58" s="103"/>
      <c r="X58" s="57"/>
      <c r="Y58" s="103"/>
      <c r="Z58" s="57"/>
      <c r="AA58" s="103"/>
      <c r="AB58" s="57"/>
      <c r="AC58" s="103"/>
      <c r="AD58" s="57"/>
      <c r="AE58" s="103"/>
    </row>
    <row r="59" spans="1:31" ht="13.15" hidden="1" x14ac:dyDescent="0.25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467"/>
      <c r="T59" s="57"/>
      <c r="U59" s="103"/>
      <c r="V59" s="57"/>
      <c r="W59" s="103"/>
      <c r="X59" s="57"/>
      <c r="Y59" s="103"/>
      <c r="Z59" s="57"/>
      <c r="AA59" s="103"/>
      <c r="AB59" s="57"/>
      <c r="AC59" s="103"/>
      <c r="AD59" s="57"/>
      <c r="AE59" s="103"/>
    </row>
    <row r="60" spans="1:31" ht="13.15" hidden="1" x14ac:dyDescent="0.25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467"/>
      <c r="T60" s="57"/>
      <c r="U60" s="103"/>
      <c r="V60" s="57"/>
      <c r="W60" s="103"/>
      <c r="X60" s="57"/>
      <c r="Y60" s="103"/>
      <c r="Z60" s="57"/>
      <c r="AA60" s="103"/>
      <c r="AB60" s="57"/>
      <c r="AC60" s="103"/>
      <c r="AD60" s="57"/>
      <c r="AE60" s="103"/>
    </row>
    <row r="61" spans="1:31" ht="13.15" hidden="1" x14ac:dyDescent="0.25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467"/>
      <c r="T61" s="57"/>
      <c r="U61" s="103"/>
      <c r="V61" s="57"/>
      <c r="W61" s="103"/>
      <c r="X61" s="57"/>
      <c r="Y61" s="103"/>
      <c r="Z61" s="57"/>
      <c r="AA61" s="103"/>
      <c r="AB61" s="57"/>
      <c r="AC61" s="103"/>
      <c r="AD61" s="57"/>
      <c r="AE61" s="103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467"/>
      <c r="T62" s="57"/>
      <c r="U62" s="103"/>
      <c r="V62" s="57"/>
      <c r="W62" s="103"/>
      <c r="X62" s="57"/>
      <c r="Y62" s="103"/>
      <c r="Z62" s="57"/>
      <c r="AA62" s="103"/>
      <c r="AB62" s="57"/>
      <c r="AC62" s="103"/>
      <c r="AD62" s="57"/>
      <c r="AE62" s="103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467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7">
        <f>SUM(C64:R64)</f>
        <v>910718</v>
      </c>
      <c r="T64" s="42">
        <f>SUM(T65:T73)</f>
        <v>0</v>
      </c>
      <c r="U64" s="100">
        <f t="shared" ref="U64:AE64" si="6">SUM(U65:U73)</f>
        <v>0</v>
      </c>
      <c r="V64" s="42">
        <f t="shared" si="6"/>
        <v>0</v>
      </c>
      <c r="W64" s="100">
        <f t="shared" si="6"/>
        <v>0</v>
      </c>
      <c r="X64" s="42">
        <f t="shared" si="6"/>
        <v>0</v>
      </c>
      <c r="Y64" s="100">
        <f t="shared" si="6"/>
        <v>0</v>
      </c>
      <c r="Z64" s="42">
        <f t="shared" si="6"/>
        <v>0</v>
      </c>
      <c r="AA64" s="100">
        <f t="shared" si="6"/>
        <v>0</v>
      </c>
      <c r="AB64" s="42">
        <f t="shared" si="6"/>
        <v>0</v>
      </c>
      <c r="AC64" s="100">
        <f t="shared" si="6"/>
        <v>0</v>
      </c>
      <c r="AD64" s="42">
        <f t="shared" si="6"/>
        <v>0</v>
      </c>
      <c r="AE64" s="100">
        <f t="shared" si="6"/>
        <v>0</v>
      </c>
    </row>
    <row r="65" spans="1:31" ht="25.5" x14ac:dyDescent="0.2">
      <c r="A65" s="461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78"/>
      <c r="S65" s="470"/>
      <c r="T65" s="101"/>
      <c r="U65" s="102"/>
      <c r="V65" s="101"/>
      <c r="W65" s="102"/>
      <c r="X65" s="101"/>
      <c r="Y65" s="102"/>
      <c r="Z65" s="101"/>
      <c r="AA65" s="102"/>
      <c r="AB65" s="101"/>
      <c r="AC65" s="102"/>
      <c r="AD65" s="101"/>
      <c r="AE65" s="102"/>
    </row>
    <row r="66" spans="1:31" x14ac:dyDescent="0.2">
      <c r="A66" s="461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470"/>
      <c r="T66" s="57"/>
      <c r="U66" s="103"/>
      <c r="V66" s="57"/>
      <c r="W66" s="103"/>
      <c r="X66" s="57"/>
      <c r="Y66" s="103"/>
      <c r="Z66" s="57"/>
      <c r="AA66" s="103"/>
      <c r="AB66" s="57"/>
      <c r="AC66" s="103"/>
      <c r="AD66" s="57"/>
      <c r="AE66" s="103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470"/>
      <c r="T67" s="57"/>
      <c r="U67" s="103"/>
      <c r="V67" s="57"/>
      <c r="W67" s="103"/>
      <c r="X67" s="57"/>
      <c r="Y67" s="103"/>
      <c r="Z67" s="57"/>
      <c r="AA67" s="103"/>
      <c r="AB67" s="57"/>
      <c r="AC67" s="103"/>
      <c r="AD67" s="57"/>
      <c r="AE67" s="103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470"/>
      <c r="T68" s="57"/>
      <c r="U68" s="103"/>
      <c r="V68" s="57"/>
      <c r="W68" s="103"/>
      <c r="X68" s="57"/>
      <c r="Y68" s="103"/>
      <c r="Z68" s="57"/>
      <c r="AA68" s="103"/>
      <c r="AB68" s="57"/>
      <c r="AC68" s="103"/>
      <c r="AD68" s="57"/>
      <c r="AE68" s="103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470"/>
      <c r="T69" s="57"/>
      <c r="U69" s="103"/>
      <c r="V69" s="57"/>
      <c r="W69" s="103"/>
      <c r="X69" s="57"/>
      <c r="Y69" s="103"/>
      <c r="Z69" s="57"/>
      <c r="AA69" s="103"/>
      <c r="AB69" s="57"/>
      <c r="AC69" s="103"/>
      <c r="AD69" s="57"/>
      <c r="AE69" s="103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470"/>
      <c r="T70" s="57"/>
      <c r="U70" s="103"/>
      <c r="V70" s="57"/>
      <c r="W70" s="103"/>
      <c r="X70" s="57"/>
      <c r="Y70" s="103"/>
      <c r="Z70" s="57"/>
      <c r="AA70" s="103"/>
      <c r="AB70" s="57"/>
      <c r="AC70" s="103"/>
      <c r="AD70" s="57"/>
      <c r="AE70" s="103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470"/>
      <c r="T71" s="57"/>
      <c r="U71" s="103"/>
      <c r="V71" s="57"/>
      <c r="W71" s="103"/>
      <c r="X71" s="57"/>
      <c r="Y71" s="103"/>
      <c r="Z71" s="57"/>
      <c r="AA71" s="103"/>
      <c r="AB71" s="57"/>
      <c r="AC71" s="103"/>
      <c r="AD71" s="57"/>
      <c r="AE71" s="103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470"/>
      <c r="T72" s="57"/>
      <c r="U72" s="103"/>
      <c r="V72" s="57"/>
      <c r="W72" s="103"/>
      <c r="X72" s="57"/>
      <c r="Y72" s="103"/>
      <c r="Z72" s="57"/>
      <c r="AA72" s="103"/>
      <c r="AB72" s="57"/>
      <c r="AC72" s="103"/>
      <c r="AD72" s="57"/>
      <c r="AE72" s="103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470"/>
      <c r="T73" s="57"/>
      <c r="U73" s="103"/>
      <c r="V73" s="57"/>
      <c r="W73" s="103"/>
      <c r="X73" s="57"/>
      <c r="Y73" s="103"/>
      <c r="Z73" s="57"/>
      <c r="AA73" s="103"/>
      <c r="AB73" s="57"/>
      <c r="AC73" s="103"/>
      <c r="AD73" s="57"/>
      <c r="AE73" s="103"/>
    </row>
    <row r="74" spans="1:31" ht="13.7" hidden="1" thickBot="1" x14ac:dyDescent="0.3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470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89">
        <f>SUM(C75:R75)</f>
        <v>-55921000</v>
      </c>
      <c r="T75" s="42">
        <f>SUM(T76:T80)</f>
        <v>0</v>
      </c>
      <c r="U75" s="100">
        <f t="shared" ref="U75:AE75" si="7">SUM(U76:U80)</f>
        <v>-2665000</v>
      </c>
      <c r="V75" s="42">
        <f t="shared" si="7"/>
        <v>0</v>
      </c>
      <c r="W75" s="100">
        <f t="shared" si="7"/>
        <v>0</v>
      </c>
      <c r="X75" s="42">
        <f t="shared" si="7"/>
        <v>0</v>
      </c>
      <c r="Y75" s="100">
        <f t="shared" si="7"/>
        <v>0</v>
      </c>
      <c r="Z75" s="42">
        <f t="shared" si="7"/>
        <v>0</v>
      </c>
      <c r="AA75" s="100">
        <f t="shared" si="7"/>
        <v>0</v>
      </c>
      <c r="AB75" s="42">
        <f t="shared" si="7"/>
        <v>0</v>
      </c>
      <c r="AC75" s="100">
        <f t="shared" si="7"/>
        <v>0</v>
      </c>
      <c r="AD75" s="42">
        <f t="shared" si="7"/>
        <v>0</v>
      </c>
      <c r="AE75" s="100">
        <f t="shared" si="7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0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466"/>
      <c r="T76" s="101"/>
      <c r="U76" s="102">
        <v>-2665000</v>
      </c>
      <c r="V76" s="101"/>
      <c r="W76" s="102"/>
      <c r="X76" s="101"/>
      <c r="Y76" s="102"/>
      <c r="Z76" s="101"/>
      <c r="AA76" s="102"/>
      <c r="AB76" s="101"/>
      <c r="AC76" s="102"/>
      <c r="AD76" s="101"/>
      <c r="AE76" s="102"/>
    </row>
    <row r="77" spans="1:31" ht="18" customHeight="1" x14ac:dyDescent="0.2">
      <c r="A77" s="85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467"/>
      <c r="T77" s="57"/>
      <c r="U77" s="103"/>
      <c r="V77" s="57"/>
      <c r="W77" s="103"/>
      <c r="X77" s="57"/>
      <c r="Y77" s="103"/>
      <c r="Z77" s="57"/>
      <c r="AA77" s="103"/>
      <c r="AB77" s="57"/>
      <c r="AC77" s="103"/>
      <c r="AD77" s="57"/>
      <c r="AE77" s="103"/>
    </row>
    <row r="78" spans="1:31" x14ac:dyDescent="0.2">
      <c r="A78" s="85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467"/>
      <c r="T78" s="57"/>
      <c r="U78" s="103"/>
      <c r="V78" s="57"/>
      <c r="W78" s="103"/>
      <c r="X78" s="57"/>
      <c r="Y78" s="103"/>
      <c r="Z78" s="57"/>
      <c r="AA78" s="103"/>
      <c r="AB78" s="57"/>
      <c r="AC78" s="103"/>
      <c r="AD78" s="57"/>
      <c r="AE78" s="103"/>
    </row>
    <row r="79" spans="1:31" x14ac:dyDescent="0.2">
      <c r="A79" s="85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467"/>
      <c r="T79" s="57"/>
      <c r="U79" s="103"/>
      <c r="V79" s="57"/>
      <c r="W79" s="103"/>
      <c r="X79" s="57"/>
      <c r="Y79" s="103"/>
      <c r="Z79" s="57"/>
      <c r="AA79" s="103"/>
      <c r="AB79" s="57"/>
      <c r="AC79" s="103"/>
      <c r="AD79" s="57"/>
      <c r="AE79" s="103"/>
    </row>
    <row r="80" spans="1:31" ht="13.5" thickBot="1" x14ac:dyDescent="0.25">
      <c r="A80" s="85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467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89">
        <f>SUM(C81:R81)</f>
        <v>0</v>
      </c>
      <c r="T81" s="42">
        <f>SUM(T88:T97)</f>
        <v>0</v>
      </c>
      <c r="U81" s="100">
        <f t="shared" ref="U81:AE81" si="8">SUM(U88:U97)</f>
        <v>0</v>
      </c>
      <c r="V81" s="42">
        <f t="shared" si="8"/>
        <v>0</v>
      </c>
      <c r="W81" s="100">
        <f t="shared" si="8"/>
        <v>0</v>
      </c>
      <c r="X81" s="42">
        <f t="shared" si="8"/>
        <v>0</v>
      </c>
      <c r="Y81" s="100">
        <f t="shared" si="8"/>
        <v>0</v>
      </c>
      <c r="Z81" s="42">
        <f t="shared" si="8"/>
        <v>0</v>
      </c>
      <c r="AA81" s="100">
        <f t="shared" si="8"/>
        <v>0</v>
      </c>
      <c r="AB81" s="42">
        <f t="shared" si="8"/>
        <v>0</v>
      </c>
      <c r="AC81" s="100">
        <f t="shared" si="8"/>
        <v>0</v>
      </c>
      <c r="AD81" s="42">
        <f t="shared" si="8"/>
        <v>0</v>
      </c>
      <c r="AE81" s="100">
        <f t="shared" si="8"/>
        <v>0</v>
      </c>
    </row>
    <row r="82" spans="1:31" ht="18.95" hidden="1" customHeight="1" x14ac:dyDescent="0.25">
      <c r="A82" s="460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466"/>
      <c r="T82" s="101"/>
      <c r="U82" s="102"/>
      <c r="V82" s="101"/>
      <c r="W82" s="102"/>
      <c r="X82" s="101"/>
      <c r="Y82" s="102"/>
      <c r="Z82" s="101"/>
      <c r="AA82" s="102"/>
      <c r="AB82" s="101"/>
      <c r="AC82" s="102"/>
      <c r="AD82" s="101"/>
      <c r="AE82" s="102"/>
    </row>
    <row r="83" spans="1:31" ht="25.5" hidden="1" customHeight="1" x14ac:dyDescent="0.25">
      <c r="A83" s="461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467"/>
      <c r="T83" s="57"/>
      <c r="U83" s="103"/>
      <c r="V83" s="57"/>
      <c r="W83" s="103"/>
      <c r="X83" s="57"/>
      <c r="Y83" s="103"/>
      <c r="Z83" s="57"/>
      <c r="AA83" s="103"/>
      <c r="AB83" s="57"/>
      <c r="AC83" s="103"/>
      <c r="AD83" s="57"/>
      <c r="AE83" s="103"/>
    </row>
    <row r="84" spans="1:31" ht="12.75" hidden="1" customHeight="1" x14ac:dyDescent="0.25">
      <c r="A84" s="461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467"/>
      <c r="T84" s="57"/>
      <c r="U84" s="103"/>
      <c r="V84" s="57"/>
      <c r="W84" s="103"/>
      <c r="X84" s="57"/>
      <c r="Y84" s="103"/>
      <c r="Z84" s="57"/>
      <c r="AA84" s="103"/>
      <c r="AB84" s="57"/>
      <c r="AC84" s="103"/>
      <c r="AD84" s="57"/>
      <c r="AE84" s="103"/>
    </row>
    <row r="85" spans="1:31" ht="25.5" hidden="1" customHeight="1" x14ac:dyDescent="0.25">
      <c r="A85" s="461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467"/>
      <c r="T85" s="57"/>
      <c r="U85" s="103"/>
      <c r="V85" s="57"/>
      <c r="W85" s="103"/>
      <c r="X85" s="57"/>
      <c r="Y85" s="103"/>
      <c r="Z85" s="57"/>
      <c r="AA85" s="103"/>
      <c r="AB85" s="57"/>
      <c r="AC85" s="103"/>
      <c r="AD85" s="57"/>
      <c r="AE85" s="103"/>
    </row>
    <row r="86" spans="1:31" ht="12.75" hidden="1" customHeight="1" x14ac:dyDescent="0.25">
      <c r="A86" s="461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467"/>
      <c r="T86" s="57"/>
      <c r="U86" s="103"/>
      <c r="V86" s="57"/>
      <c r="W86" s="103"/>
      <c r="X86" s="57"/>
      <c r="Y86" s="103"/>
      <c r="Z86" s="57"/>
      <c r="AA86" s="103"/>
      <c r="AB86" s="57"/>
      <c r="AC86" s="103"/>
      <c r="AD86" s="57"/>
      <c r="AE86" s="103"/>
    </row>
    <row r="87" spans="1:31" ht="12.75" hidden="1" customHeight="1" x14ac:dyDescent="0.25">
      <c r="A87" s="461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>L87/K87</f>
        <v>#DIV/0!</v>
      </c>
      <c r="N87" s="9"/>
      <c r="O87" s="9"/>
      <c r="P87" s="9"/>
      <c r="Q87" s="9"/>
      <c r="R87" s="9"/>
      <c r="S87" s="467"/>
      <c r="T87" s="57"/>
      <c r="U87" s="103"/>
      <c r="V87" s="57"/>
      <c r="W87" s="103"/>
      <c r="X87" s="57"/>
      <c r="Y87" s="103"/>
      <c r="Z87" s="57"/>
      <c r="AA87" s="103"/>
      <c r="AB87" s="57"/>
      <c r="AC87" s="103"/>
      <c r="AD87" s="57"/>
      <c r="AE87" s="103"/>
    </row>
    <row r="88" spans="1:31" x14ac:dyDescent="0.2">
      <c r="A88" s="461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467"/>
      <c r="T88" s="57"/>
      <c r="U88" s="103"/>
      <c r="V88" s="57"/>
      <c r="W88" s="103"/>
      <c r="X88" s="57"/>
      <c r="Y88" s="103"/>
      <c r="Z88" s="57"/>
      <c r="AA88" s="103"/>
      <c r="AB88" s="57"/>
      <c r="AC88" s="103"/>
      <c r="AD88" s="57"/>
      <c r="AE88" s="103"/>
    </row>
    <row r="89" spans="1:31" x14ac:dyDescent="0.2">
      <c r="A89" s="461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467"/>
      <c r="T89" s="57"/>
      <c r="U89" s="103"/>
      <c r="V89" s="57"/>
      <c r="W89" s="103"/>
      <c r="X89" s="57"/>
      <c r="Y89" s="103"/>
      <c r="Z89" s="57"/>
      <c r="AA89" s="103"/>
      <c r="AB89" s="57"/>
      <c r="AC89" s="103"/>
      <c r="AD89" s="57"/>
      <c r="AE89" s="103"/>
    </row>
    <row r="90" spans="1:31" x14ac:dyDescent="0.2">
      <c r="A90" s="461"/>
      <c r="B90" s="14"/>
      <c r="C90" s="9"/>
      <c r="D90" s="9"/>
      <c r="E90" s="1"/>
      <c r="F90" s="9"/>
      <c r="G90" s="9"/>
      <c r="H90" s="76"/>
      <c r="I90" s="9"/>
      <c r="J90" s="9"/>
      <c r="K90" s="9"/>
      <c r="L90" s="9"/>
      <c r="M90" s="1"/>
      <c r="N90" s="9"/>
      <c r="O90" s="9"/>
      <c r="P90" s="9"/>
      <c r="Q90" s="9"/>
      <c r="R90" s="9"/>
      <c r="S90" s="467"/>
      <c r="T90" s="57"/>
      <c r="U90" s="103"/>
      <c r="V90" s="57"/>
      <c r="W90" s="103"/>
      <c r="X90" s="57"/>
      <c r="Y90" s="103"/>
      <c r="Z90" s="57"/>
      <c r="AA90" s="103"/>
      <c r="AB90" s="57"/>
      <c r="AC90" s="103"/>
      <c r="AD90" s="57"/>
      <c r="AE90" s="103"/>
    </row>
    <row r="91" spans="1:31" x14ac:dyDescent="0.2">
      <c r="A91" s="461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467"/>
      <c r="T91" s="57"/>
      <c r="U91" s="103"/>
      <c r="V91" s="57"/>
      <c r="W91" s="103"/>
      <c r="X91" s="57"/>
      <c r="Y91" s="103"/>
      <c r="Z91" s="57"/>
      <c r="AA91" s="103"/>
      <c r="AB91" s="57"/>
      <c r="AC91" s="103"/>
      <c r="AD91" s="57"/>
      <c r="AE91" s="103"/>
    </row>
    <row r="92" spans="1:31" x14ac:dyDescent="0.2">
      <c r="A92" s="461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467"/>
      <c r="T92" s="57"/>
      <c r="U92" s="103"/>
      <c r="V92" s="57"/>
      <c r="W92" s="103"/>
      <c r="X92" s="57"/>
      <c r="Y92" s="103"/>
      <c r="Z92" s="57"/>
      <c r="AA92" s="103"/>
      <c r="AB92" s="57"/>
      <c r="AC92" s="103"/>
      <c r="AD92" s="57"/>
      <c r="AE92" s="103"/>
    </row>
    <row r="93" spans="1:31" x14ac:dyDescent="0.2">
      <c r="A93" s="461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467"/>
      <c r="T93" s="57"/>
      <c r="U93" s="103"/>
      <c r="V93" s="57"/>
      <c r="W93" s="103"/>
      <c r="X93" s="57"/>
      <c r="Y93" s="103"/>
      <c r="Z93" s="57"/>
      <c r="AA93" s="103"/>
      <c r="AB93" s="57"/>
      <c r="AC93" s="103"/>
      <c r="AD93" s="57"/>
      <c r="AE93" s="103"/>
    </row>
    <row r="94" spans="1:31" x14ac:dyDescent="0.2">
      <c r="A94" s="461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467"/>
      <c r="T94" s="57"/>
      <c r="U94" s="103"/>
      <c r="V94" s="57"/>
      <c r="W94" s="103"/>
      <c r="X94" s="57"/>
      <c r="Y94" s="103"/>
      <c r="Z94" s="57"/>
      <c r="AA94" s="103"/>
      <c r="AB94" s="57"/>
      <c r="AC94" s="103"/>
      <c r="AD94" s="57"/>
      <c r="AE94" s="103"/>
    </row>
    <row r="95" spans="1:31" x14ac:dyDescent="0.2">
      <c r="A95" s="461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6"/>
      <c r="N95" s="9"/>
      <c r="O95" s="9"/>
      <c r="P95" s="9"/>
      <c r="Q95" s="9"/>
      <c r="R95" s="9"/>
      <c r="S95" s="467"/>
      <c r="T95" s="57"/>
      <c r="U95" s="103"/>
      <c r="V95" s="57"/>
      <c r="W95" s="103"/>
      <c r="X95" s="57"/>
      <c r="Y95" s="103"/>
      <c r="Z95" s="57"/>
      <c r="AA95" s="103"/>
      <c r="AB95" s="57"/>
      <c r="AC95" s="103"/>
      <c r="AD95" s="57"/>
      <c r="AE95" s="103"/>
    </row>
    <row r="96" spans="1:31" x14ac:dyDescent="0.2">
      <c r="A96" s="461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467"/>
      <c r="T96" s="57"/>
      <c r="U96" s="103"/>
      <c r="V96" s="57"/>
      <c r="W96" s="103"/>
      <c r="X96" s="57"/>
      <c r="Y96" s="103"/>
      <c r="Z96" s="57"/>
      <c r="AA96" s="103"/>
      <c r="AB96" s="57"/>
      <c r="AC96" s="103"/>
      <c r="AD96" s="57"/>
      <c r="AE96" s="103"/>
    </row>
    <row r="97" spans="1:31" ht="13.5" thickBot="1" x14ac:dyDescent="0.25">
      <c r="A97" s="461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468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2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89">
        <f>SUM(C98:R98)</f>
        <v>32082</v>
      </c>
      <c r="T98" s="42">
        <f>SUM(T99:T102)</f>
        <v>0</v>
      </c>
      <c r="U98" s="100">
        <f t="shared" ref="U98:AE98" si="9">SUM(U99:U102)</f>
        <v>0</v>
      </c>
      <c r="V98" s="42">
        <f t="shared" si="9"/>
        <v>0</v>
      </c>
      <c r="W98" s="100">
        <f t="shared" si="9"/>
        <v>0</v>
      </c>
      <c r="X98" s="42">
        <f t="shared" si="9"/>
        <v>0</v>
      </c>
      <c r="Y98" s="100">
        <f t="shared" si="9"/>
        <v>0</v>
      </c>
      <c r="Z98" s="42">
        <f t="shared" si="9"/>
        <v>0</v>
      </c>
      <c r="AA98" s="100">
        <f t="shared" si="9"/>
        <v>0</v>
      </c>
      <c r="AB98" s="42">
        <f t="shared" si="9"/>
        <v>0</v>
      </c>
      <c r="AC98" s="100">
        <f t="shared" si="9"/>
        <v>0</v>
      </c>
      <c r="AD98" s="42">
        <f t="shared" si="9"/>
        <v>0</v>
      </c>
      <c r="AE98" s="100">
        <f t="shared" si="9"/>
        <v>0</v>
      </c>
    </row>
    <row r="99" spans="1:31" x14ac:dyDescent="0.2">
      <c r="A99" s="461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59"/>
      <c r="S99" s="466"/>
      <c r="T99" s="101"/>
      <c r="U99" s="102"/>
      <c r="V99" s="101"/>
      <c r="W99" s="102"/>
      <c r="X99" s="101"/>
      <c r="Y99" s="102"/>
      <c r="Z99" s="101"/>
      <c r="AA99" s="102"/>
      <c r="AB99" s="101"/>
      <c r="AC99" s="102"/>
      <c r="AD99" s="101"/>
      <c r="AE99" s="102"/>
    </row>
    <row r="100" spans="1:31" ht="13.9" customHeight="1" x14ac:dyDescent="0.2">
      <c r="A100" s="461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59"/>
      <c r="S100" s="467"/>
      <c r="T100" s="57"/>
      <c r="U100" s="103"/>
      <c r="V100" s="57"/>
      <c r="W100" s="103"/>
      <c r="X100" s="57"/>
      <c r="Y100" s="103"/>
      <c r="Z100" s="57"/>
      <c r="AA100" s="103"/>
      <c r="AB100" s="57"/>
      <c r="AC100" s="103"/>
      <c r="AD100" s="57"/>
      <c r="AE100" s="103"/>
    </row>
    <row r="101" spans="1:31" ht="15.75" customHeight="1" x14ac:dyDescent="0.2">
      <c r="A101" s="461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467"/>
      <c r="T101" s="57"/>
      <c r="U101" s="103"/>
      <c r="V101" s="57"/>
      <c r="W101" s="103"/>
      <c r="X101" s="57"/>
      <c r="Y101" s="103"/>
      <c r="Z101" s="57"/>
      <c r="AA101" s="103"/>
      <c r="AB101" s="57"/>
      <c r="AC101" s="103"/>
      <c r="AD101" s="57"/>
      <c r="AE101" s="103"/>
    </row>
    <row r="102" spans="1:31" ht="13.7" customHeight="1" thickBot="1" x14ac:dyDescent="0.25">
      <c r="A102" s="461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468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0">SUM(D104:D104)</f>
        <v>0</v>
      </c>
      <c r="E103" s="10" t="s">
        <v>30</v>
      </c>
      <c r="F103" s="10" t="s">
        <v>30</v>
      </c>
      <c r="G103" s="10">
        <f t="shared" si="10"/>
        <v>0</v>
      </c>
      <c r="H103" s="10" t="s">
        <v>30</v>
      </c>
      <c r="I103" s="10">
        <f t="shared" si="10"/>
        <v>0</v>
      </c>
      <c r="J103" s="10">
        <f t="shared" si="10"/>
        <v>0</v>
      </c>
      <c r="K103" s="10" t="s">
        <v>30</v>
      </c>
      <c r="L103" s="10">
        <f t="shared" si="10"/>
        <v>0</v>
      </c>
      <c r="M103" s="10" t="s">
        <v>30</v>
      </c>
      <c r="N103" s="10">
        <f t="shared" si="10"/>
        <v>0</v>
      </c>
      <c r="O103" s="10">
        <f t="shared" si="10"/>
        <v>0</v>
      </c>
      <c r="P103" s="10" t="s">
        <v>30</v>
      </c>
      <c r="Q103" s="10">
        <f t="shared" si="10"/>
        <v>0</v>
      </c>
      <c r="R103" s="10" t="s">
        <v>30</v>
      </c>
      <c r="S103" s="89">
        <f>SUM(C103:R103)</f>
        <v>0</v>
      </c>
      <c r="T103" s="42">
        <f>T104</f>
        <v>0</v>
      </c>
      <c r="U103" s="100">
        <f t="shared" ref="U103:AE103" si="11">U104</f>
        <v>0</v>
      </c>
      <c r="V103" s="42">
        <f t="shared" si="11"/>
        <v>0</v>
      </c>
      <c r="W103" s="100">
        <f t="shared" si="11"/>
        <v>0</v>
      </c>
      <c r="X103" s="42">
        <f t="shared" si="11"/>
        <v>0</v>
      </c>
      <c r="Y103" s="100">
        <f t="shared" si="11"/>
        <v>0</v>
      </c>
      <c r="Z103" s="42">
        <f t="shared" si="11"/>
        <v>0</v>
      </c>
      <c r="AA103" s="100">
        <f t="shared" si="11"/>
        <v>0</v>
      </c>
      <c r="AB103" s="42">
        <f t="shared" si="11"/>
        <v>0</v>
      </c>
      <c r="AC103" s="100">
        <f t="shared" si="11"/>
        <v>0</v>
      </c>
      <c r="AD103" s="42">
        <f t="shared" si="11"/>
        <v>0</v>
      </c>
      <c r="AE103" s="100">
        <f t="shared" si="11"/>
        <v>0</v>
      </c>
    </row>
    <row r="104" spans="1:31" ht="13.5" thickBot="1" x14ac:dyDescent="0.25">
      <c r="A104" s="60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0"/>
      <c r="T104" s="101"/>
      <c r="U104" s="102"/>
      <c r="V104" s="101"/>
      <c r="W104" s="102"/>
      <c r="X104" s="101"/>
      <c r="Y104" s="102"/>
      <c r="Z104" s="101"/>
      <c r="AA104" s="102"/>
      <c r="AB104" s="101"/>
      <c r="AC104" s="102"/>
      <c r="AD104" s="101"/>
      <c r="AE104" s="102"/>
    </row>
    <row r="105" spans="1:31" ht="13.7" hidden="1" thickBot="1" x14ac:dyDescent="0.3">
      <c r="A105" s="61"/>
      <c r="B105" s="62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1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493" t="s">
        <v>13</v>
      </c>
      <c r="B106" s="494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89">
        <f>SUM(S7+S41+S48+S64+S75+S81+S98+S103)</f>
        <v>81327085</v>
      </c>
      <c r="T106" s="42">
        <f t="shared" ref="T106:AE106" si="12">SUM(T7+T41+T48+T64+T75+T81+T98+T103)</f>
        <v>35000000</v>
      </c>
      <c r="U106" s="11">
        <f t="shared" si="12"/>
        <v>-2665000</v>
      </c>
      <c r="V106" s="42">
        <f t="shared" si="12"/>
        <v>0</v>
      </c>
      <c r="W106" s="11">
        <f t="shared" si="12"/>
        <v>0</v>
      </c>
      <c r="X106" s="42">
        <f t="shared" si="12"/>
        <v>75191767</v>
      </c>
      <c r="Y106" s="11">
        <f t="shared" si="12"/>
        <v>0</v>
      </c>
      <c r="Z106" s="42">
        <f t="shared" si="12"/>
        <v>30800000</v>
      </c>
      <c r="AA106" s="11">
        <f t="shared" si="12"/>
        <v>0</v>
      </c>
      <c r="AB106" s="42">
        <f t="shared" si="12"/>
        <v>0</v>
      </c>
      <c r="AC106" s="11">
        <f t="shared" si="12"/>
        <v>0</v>
      </c>
      <c r="AD106" s="42">
        <f t="shared" si="12"/>
        <v>79522818</v>
      </c>
      <c r="AE106" s="11">
        <f t="shared" si="12"/>
        <v>0</v>
      </c>
    </row>
    <row r="107" spans="1:31" ht="13.7" thickBot="1" x14ac:dyDescent="0.3">
      <c r="A107" s="496"/>
      <c r="B107" s="497"/>
      <c r="C107" s="489"/>
      <c r="D107" s="490"/>
      <c r="E107" s="462"/>
      <c r="F107" s="462"/>
      <c r="G107" s="462"/>
      <c r="H107" s="462"/>
      <c r="I107" s="63"/>
      <c r="J107" s="63"/>
      <c r="K107" s="462"/>
      <c r="L107" s="462"/>
      <c r="M107" s="462"/>
      <c r="N107" s="63"/>
      <c r="O107" s="63"/>
      <c r="P107" s="462"/>
      <c r="Q107" s="462"/>
      <c r="R107" s="462"/>
      <c r="S107" s="92"/>
      <c r="T107" s="104"/>
      <c r="U107" s="105"/>
      <c r="V107" s="104"/>
      <c r="W107" s="105"/>
      <c r="X107" s="104"/>
      <c r="Y107" s="105"/>
      <c r="Z107" s="104"/>
      <c r="AA107" s="105"/>
      <c r="AB107" s="104"/>
      <c r="AC107" s="105"/>
      <c r="AD107" s="104"/>
      <c r="AE107" s="105"/>
    </row>
    <row r="108" spans="1:31" x14ac:dyDescent="0.2">
      <c r="A108" s="461" t="s">
        <v>14</v>
      </c>
      <c r="B108" s="492"/>
      <c r="C108" s="495">
        <f>D106+G106</f>
        <v>-53664200</v>
      </c>
      <c r="D108" s="488"/>
      <c r="E108" s="488"/>
      <c r="F108" s="488"/>
      <c r="G108" s="488"/>
      <c r="H108" s="488"/>
      <c r="I108" s="64"/>
      <c r="J108" s="64"/>
      <c r="K108" s="488">
        <f>L106</f>
        <v>-2256832</v>
      </c>
      <c r="L108" s="488"/>
      <c r="M108" s="488"/>
      <c r="N108" s="64"/>
      <c r="O108" s="64"/>
      <c r="P108" s="488">
        <f>Q106</f>
        <v>137248117</v>
      </c>
      <c r="Q108" s="488"/>
      <c r="R108" s="488"/>
      <c r="S108" s="64">
        <f>C108+K108+P108</f>
        <v>81327085</v>
      </c>
      <c r="T108" s="106"/>
      <c r="U108" s="107"/>
      <c r="V108" s="106"/>
      <c r="W108" s="107"/>
      <c r="X108" s="106"/>
      <c r="Y108" s="107"/>
      <c r="Z108" s="106"/>
      <c r="AA108" s="107"/>
      <c r="AB108" s="106"/>
      <c r="AC108" s="107"/>
      <c r="AD108" s="106"/>
      <c r="AE108" s="107"/>
    </row>
    <row r="109" spans="1:31" ht="13.15" hidden="1" x14ac:dyDescent="0.25">
      <c r="A109" s="65">
        <v>9</v>
      </c>
      <c r="B109" s="66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3">
        <f>P109+R109</f>
        <v>0</v>
      </c>
      <c r="T109" s="57"/>
      <c r="U109" s="103"/>
      <c r="V109" s="57"/>
      <c r="W109" s="103"/>
      <c r="X109" s="57"/>
      <c r="Y109" s="103"/>
      <c r="Z109" s="57"/>
      <c r="AA109" s="103"/>
      <c r="AB109" s="57"/>
      <c r="AC109" s="103"/>
      <c r="AD109" s="57"/>
      <c r="AE109" s="103"/>
    </row>
    <row r="110" spans="1:31" x14ac:dyDescent="0.2">
      <c r="A110" s="67"/>
      <c r="B110" s="68" t="s">
        <v>22</v>
      </c>
      <c r="C110" s="81"/>
      <c r="D110" s="81"/>
      <c r="E110" s="81"/>
      <c r="F110" s="81"/>
      <c r="G110" s="81">
        <v>0</v>
      </c>
      <c r="H110" s="81">
        <v>0</v>
      </c>
      <c r="I110" s="81"/>
      <c r="J110" s="81"/>
      <c r="K110" s="81"/>
      <c r="L110" s="81"/>
      <c r="M110" s="82"/>
      <c r="N110" s="81"/>
      <c r="O110" s="81"/>
      <c r="P110" s="81"/>
      <c r="Q110" s="81"/>
      <c r="R110" s="81"/>
      <c r="S110" s="94">
        <f>F110+K110+L110</f>
        <v>0</v>
      </c>
      <c r="T110" s="57"/>
      <c r="U110" s="103"/>
      <c r="V110" s="57"/>
      <c r="W110" s="103"/>
      <c r="X110" s="57"/>
      <c r="Y110" s="103"/>
      <c r="Z110" s="57"/>
      <c r="AA110" s="103"/>
      <c r="AB110" s="57"/>
      <c r="AC110" s="103"/>
      <c r="AD110" s="57"/>
      <c r="AE110" s="103"/>
    </row>
    <row r="111" spans="1:31" x14ac:dyDescent="0.2">
      <c r="A111" s="67"/>
      <c r="B111" s="68" t="s">
        <v>25</v>
      </c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3"/>
      <c r="N111" s="81"/>
      <c r="O111" s="81"/>
      <c r="P111" s="81"/>
      <c r="Q111" s="81"/>
      <c r="R111" s="81"/>
      <c r="S111" s="94"/>
      <c r="T111" s="57"/>
      <c r="U111" s="103"/>
      <c r="V111" s="57"/>
      <c r="W111" s="103"/>
      <c r="X111" s="57"/>
      <c r="Y111" s="103"/>
      <c r="Z111" s="57"/>
      <c r="AA111" s="103"/>
      <c r="AB111" s="57"/>
      <c r="AC111" s="103"/>
      <c r="AD111" s="57"/>
      <c r="AE111" s="103"/>
    </row>
    <row r="112" spans="1:31" ht="13.5" thickBot="1" x14ac:dyDescent="0.25">
      <c r="A112" s="67"/>
      <c r="B112" s="68" t="s">
        <v>39</v>
      </c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2"/>
      <c r="N112" s="81"/>
      <c r="O112" s="81"/>
      <c r="P112" s="81"/>
      <c r="Q112" s="81"/>
      <c r="R112" s="81"/>
      <c r="S112" s="94"/>
      <c r="T112" s="95"/>
      <c r="U112" s="72"/>
      <c r="V112" s="95"/>
      <c r="W112" s="72"/>
      <c r="X112" s="95"/>
      <c r="Y112" s="72"/>
      <c r="Z112" s="95"/>
      <c r="AA112" s="72"/>
      <c r="AB112" s="95"/>
      <c r="AC112" s="72"/>
      <c r="AD112" s="95"/>
      <c r="AE112" s="72"/>
    </row>
    <row r="113" spans="1:19" ht="13.7" hidden="1" thickBot="1" x14ac:dyDescent="0.3">
      <c r="A113" s="69">
        <v>10</v>
      </c>
      <c r="B113" s="21" t="s">
        <v>23</v>
      </c>
      <c r="C113" s="70"/>
      <c r="D113" s="70"/>
      <c r="E113" s="70"/>
      <c r="F113" s="70"/>
      <c r="G113" s="70"/>
      <c r="H113" s="70"/>
      <c r="I113" s="70"/>
      <c r="J113" s="70"/>
      <c r="K113" s="22"/>
      <c r="L113" s="22"/>
      <c r="M113" s="71"/>
      <c r="N113" s="70"/>
      <c r="O113" s="70"/>
      <c r="P113" s="70"/>
      <c r="Q113" s="70"/>
      <c r="R113" s="70"/>
      <c r="S113" s="72"/>
    </row>
    <row r="114" spans="1:19" ht="13.15" x14ac:dyDescent="0.25">
      <c r="B114" s="73"/>
    </row>
  </sheetData>
  <mergeCells count="68"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4"/>
  <sheetViews>
    <sheetView view="pageBreakPreview" topLeftCell="B196" zoomScaleSheetLayoutView="100" workbookViewId="0">
      <selection activeCell="H29" sqref="H29"/>
    </sheetView>
  </sheetViews>
  <sheetFormatPr defaultColWidth="9.140625" defaultRowHeight="12.75" x14ac:dyDescent="0.2"/>
  <cols>
    <col min="1" max="1" width="8.7109375" style="119" hidden="1" customWidth="1"/>
    <col min="2" max="2" width="4" style="118" customWidth="1"/>
    <col min="3" max="3" width="58" style="115" customWidth="1"/>
    <col min="4" max="4" width="8.85546875" style="139" customWidth="1"/>
    <col min="5" max="5" width="14.5703125" style="422" customWidth="1"/>
    <col min="6" max="6" width="13.7109375" style="422" customWidth="1"/>
    <col min="7" max="7" width="12.5703125" style="392" customWidth="1"/>
    <col min="8" max="8" width="13.5703125" style="422" customWidth="1"/>
    <col min="9" max="9" width="14.85546875" style="422" hidden="1" customWidth="1"/>
    <col min="10" max="10" width="14.85546875" style="422" customWidth="1"/>
    <col min="11" max="11" width="14" style="392" customWidth="1"/>
    <col min="12" max="12" width="13.85546875" style="422" customWidth="1"/>
    <col min="13" max="13" width="18.7109375" style="422" customWidth="1"/>
    <col min="14" max="14" width="13.7109375" style="392" customWidth="1"/>
    <col min="15" max="15" width="15.28515625" style="139" hidden="1" customWidth="1"/>
    <col min="16" max="16" width="14.85546875" style="139" hidden="1" customWidth="1"/>
    <col min="17" max="17" width="38.42578125" style="144" hidden="1" customWidth="1"/>
    <col min="18" max="18" width="12" style="115" hidden="1" customWidth="1"/>
    <col min="19" max="19" width="9.140625" style="115" customWidth="1"/>
    <col min="20" max="16384" width="9.140625" style="115"/>
  </cols>
  <sheetData>
    <row r="1" spans="1:17" ht="38.85" customHeight="1" x14ac:dyDescent="0.25">
      <c r="A1" s="505" t="s">
        <v>620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</row>
    <row r="2" spans="1:17" ht="13.15" x14ac:dyDescent="0.25">
      <c r="A2" s="259"/>
      <c r="B2" s="259"/>
      <c r="C2" s="260"/>
      <c r="D2" s="261"/>
      <c r="E2" s="506"/>
      <c r="F2" s="506"/>
      <c r="G2" s="506"/>
      <c r="H2" s="506"/>
      <c r="I2" s="506"/>
      <c r="J2" s="506"/>
      <c r="K2" s="506"/>
      <c r="L2" s="506"/>
      <c r="M2" s="402"/>
      <c r="N2" s="370"/>
      <c r="O2" s="261"/>
      <c r="P2" s="261"/>
    </row>
    <row r="3" spans="1:17" ht="13.15" x14ac:dyDescent="0.25">
      <c r="A3" s="259"/>
      <c r="B3" s="259"/>
      <c r="C3" s="260"/>
      <c r="D3" s="261"/>
      <c r="E3" s="402"/>
      <c r="F3" s="402"/>
      <c r="G3" s="370"/>
      <c r="H3" s="402"/>
      <c r="I3" s="402"/>
      <c r="J3" s="402"/>
      <c r="K3" s="370"/>
      <c r="L3" s="402"/>
      <c r="M3" s="402"/>
      <c r="N3" s="370"/>
      <c r="O3" s="261"/>
      <c r="P3" s="261"/>
    </row>
    <row r="4" spans="1:17" ht="18.600000000000001" customHeight="1" x14ac:dyDescent="0.2">
      <c r="A4" s="507" t="s">
        <v>92</v>
      </c>
      <c r="B4" s="507" t="s">
        <v>267</v>
      </c>
      <c r="C4" s="508" t="s">
        <v>93</v>
      </c>
      <c r="D4" s="509" t="s">
        <v>144</v>
      </c>
      <c r="E4" s="510" t="s">
        <v>94</v>
      </c>
      <c r="F4" s="510"/>
      <c r="G4" s="510"/>
      <c r="H4" s="510" t="s">
        <v>178</v>
      </c>
      <c r="I4" s="510"/>
      <c r="J4" s="510"/>
      <c r="K4" s="510"/>
      <c r="L4" s="511" t="s">
        <v>546</v>
      </c>
      <c r="M4" s="511"/>
      <c r="N4" s="511"/>
      <c r="O4" s="262" t="s">
        <v>235</v>
      </c>
      <c r="P4" s="262" t="s">
        <v>363</v>
      </c>
      <c r="Q4" s="263"/>
    </row>
    <row r="5" spans="1:17" ht="51" x14ac:dyDescent="0.2">
      <c r="A5" s="507"/>
      <c r="B5" s="507"/>
      <c r="C5" s="508"/>
      <c r="D5" s="509"/>
      <c r="E5" s="403" t="s">
        <v>95</v>
      </c>
      <c r="F5" s="403" t="s">
        <v>96</v>
      </c>
      <c r="G5" s="371" t="s">
        <v>97</v>
      </c>
      <c r="H5" s="403" t="s">
        <v>95</v>
      </c>
      <c r="I5" s="403" t="s">
        <v>495</v>
      </c>
      <c r="J5" s="403" t="s">
        <v>537</v>
      </c>
      <c r="K5" s="371" t="s">
        <v>97</v>
      </c>
      <c r="L5" s="403" t="s">
        <v>95</v>
      </c>
      <c r="M5" s="403" t="s">
        <v>96</v>
      </c>
      <c r="N5" s="371" t="s">
        <v>97</v>
      </c>
      <c r="O5" s="264" t="s">
        <v>77</v>
      </c>
      <c r="P5" s="264" t="s">
        <v>77</v>
      </c>
      <c r="Q5" s="263" t="s">
        <v>500</v>
      </c>
    </row>
    <row r="6" spans="1:17" s="117" customFormat="1" ht="13.15" x14ac:dyDescent="0.25">
      <c r="A6" s="504"/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195"/>
      <c r="P6" s="195"/>
      <c r="Q6" s="125"/>
    </row>
    <row r="7" spans="1:17" s="248" customFormat="1" ht="25.5" x14ac:dyDescent="0.2">
      <c r="A7" s="243">
        <v>1</v>
      </c>
      <c r="B7" s="243" t="s">
        <v>250</v>
      </c>
      <c r="C7" s="244" t="s">
        <v>104</v>
      </c>
      <c r="D7" s="245" t="s">
        <v>251</v>
      </c>
      <c r="E7" s="246" t="s">
        <v>30</v>
      </c>
      <c r="F7" s="246">
        <f>F8+F13+F16+F19</f>
        <v>0</v>
      </c>
      <c r="G7" s="372" t="s">
        <v>30</v>
      </c>
      <c r="H7" s="246" t="s">
        <v>30</v>
      </c>
      <c r="I7" s="246">
        <f>I8+I13+I16+I19</f>
        <v>8429676</v>
      </c>
      <c r="J7" s="246">
        <f>J8+J13+J16+J19</f>
        <v>1059961</v>
      </c>
      <c r="K7" s="372" t="s">
        <v>30</v>
      </c>
      <c r="L7" s="246" t="s">
        <v>30</v>
      </c>
      <c r="M7" s="246">
        <f>M8+M13+M16+M19</f>
        <v>-74850</v>
      </c>
      <c r="N7" s="372" t="s">
        <v>30</v>
      </c>
      <c r="O7" s="246">
        <f>O8+O13+O16+O19</f>
        <v>0</v>
      </c>
      <c r="P7" s="246">
        <f>P8+P13+P16+P19</f>
        <v>0</v>
      </c>
      <c r="Q7" s="247"/>
    </row>
    <row r="8" spans="1:17" s="255" customFormat="1" ht="13.15" hidden="1" x14ac:dyDescent="0.25">
      <c r="A8" s="249" t="s">
        <v>139</v>
      </c>
      <c r="B8" s="249"/>
      <c r="C8" s="250" t="s">
        <v>105</v>
      </c>
      <c r="D8" s="251"/>
      <c r="E8" s="369" t="s">
        <v>176</v>
      </c>
      <c r="F8" s="369">
        <f>SUM(F9:F12)</f>
        <v>0</v>
      </c>
      <c r="G8" s="373" t="s">
        <v>30</v>
      </c>
      <c r="H8" s="369" t="s">
        <v>176</v>
      </c>
      <c r="I8" s="369">
        <f>SUM(I9:I12)</f>
        <v>0</v>
      </c>
      <c r="J8" s="369">
        <f>SUM(J9:J12)</f>
        <v>0</v>
      </c>
      <c r="K8" s="373" t="s">
        <v>30</v>
      </c>
      <c r="L8" s="369" t="s">
        <v>176</v>
      </c>
      <c r="M8" s="369">
        <f>SUM(M9:M12)</f>
        <v>0</v>
      </c>
      <c r="N8" s="373" t="s">
        <v>30</v>
      </c>
      <c r="O8" s="252">
        <f>SUM(O9:O12)</f>
        <v>0</v>
      </c>
      <c r="P8" s="252">
        <f>SUM(P9:P12)</f>
        <v>0</v>
      </c>
      <c r="Q8" s="254"/>
    </row>
    <row r="9" spans="1:17" s="248" customFormat="1" ht="13.15" hidden="1" x14ac:dyDescent="0.25">
      <c r="A9" s="243"/>
      <c r="B9" s="243"/>
      <c r="C9" s="247" t="s">
        <v>287</v>
      </c>
      <c r="D9" s="256" t="s">
        <v>180</v>
      </c>
      <c r="E9" s="404"/>
      <c r="F9" s="404"/>
      <c r="G9" s="374"/>
      <c r="H9" s="404"/>
      <c r="I9" s="404"/>
      <c r="J9" s="404"/>
      <c r="K9" s="374"/>
      <c r="L9" s="404"/>
      <c r="M9" s="404"/>
      <c r="N9" s="374"/>
      <c r="O9" s="200"/>
      <c r="P9" s="200"/>
      <c r="Q9" s="247"/>
    </row>
    <row r="10" spans="1:17" s="248" customFormat="1" ht="13.15" hidden="1" x14ac:dyDescent="0.25">
      <c r="A10" s="243"/>
      <c r="B10" s="243"/>
      <c r="C10" s="247" t="s">
        <v>202</v>
      </c>
      <c r="D10" s="256" t="s">
        <v>180</v>
      </c>
      <c r="E10" s="404">
        <v>0</v>
      </c>
      <c r="F10" s="404"/>
      <c r="G10" s="374">
        <v>1</v>
      </c>
      <c r="H10" s="404"/>
      <c r="I10" s="404"/>
      <c r="J10" s="404"/>
      <c r="K10" s="374"/>
      <c r="L10" s="404"/>
      <c r="M10" s="404"/>
      <c r="N10" s="374"/>
      <c r="O10" s="200"/>
      <c r="P10" s="200"/>
      <c r="Q10" s="247"/>
    </row>
    <row r="11" spans="1:17" s="248" customFormat="1" ht="13.15" hidden="1" x14ac:dyDescent="0.25">
      <c r="A11" s="243"/>
      <c r="B11" s="243"/>
      <c r="C11" s="247" t="s">
        <v>201</v>
      </c>
      <c r="D11" s="256" t="s">
        <v>180</v>
      </c>
      <c r="E11" s="404"/>
      <c r="F11" s="404"/>
      <c r="G11" s="374"/>
      <c r="H11" s="404"/>
      <c r="I11" s="404"/>
      <c r="J11" s="404"/>
      <c r="K11" s="374"/>
      <c r="L11" s="404"/>
      <c r="M11" s="404"/>
      <c r="N11" s="374"/>
      <c r="O11" s="200"/>
      <c r="P11" s="200"/>
      <c r="Q11" s="247"/>
    </row>
    <row r="12" spans="1:17" s="248" customFormat="1" ht="13.15" hidden="1" x14ac:dyDescent="0.25">
      <c r="A12" s="243"/>
      <c r="B12" s="243"/>
      <c r="C12" s="247" t="s">
        <v>215</v>
      </c>
      <c r="D12" s="256" t="s">
        <v>180</v>
      </c>
      <c r="E12" s="404"/>
      <c r="F12" s="404"/>
      <c r="G12" s="374"/>
      <c r="H12" s="404"/>
      <c r="I12" s="404"/>
      <c r="J12" s="404"/>
      <c r="K12" s="374"/>
      <c r="L12" s="404"/>
      <c r="M12" s="404"/>
      <c r="N12" s="374"/>
      <c r="O12" s="200"/>
      <c r="P12" s="200"/>
      <c r="Q12" s="247"/>
    </row>
    <row r="13" spans="1:17" s="255" customFormat="1" ht="54" x14ac:dyDescent="0.25">
      <c r="A13" s="249" t="s">
        <v>140</v>
      </c>
      <c r="B13" s="249"/>
      <c r="C13" s="250" t="s">
        <v>106</v>
      </c>
      <c r="D13" s="251"/>
      <c r="E13" s="369" t="s">
        <v>30</v>
      </c>
      <c r="F13" s="369">
        <f>SUM(F14:F14)</f>
        <v>0</v>
      </c>
      <c r="G13" s="373" t="s">
        <v>30</v>
      </c>
      <c r="H13" s="369" t="s">
        <v>30</v>
      </c>
      <c r="I13" s="369">
        <f>SUM(I14:I14)</f>
        <v>0</v>
      </c>
      <c r="J13" s="369">
        <f>SUM(J14:J15)</f>
        <v>50000</v>
      </c>
      <c r="K13" s="373" t="s">
        <v>30</v>
      </c>
      <c r="L13" s="369" t="s">
        <v>30</v>
      </c>
      <c r="M13" s="369">
        <f>SUM(M14:M14)</f>
        <v>-32925</v>
      </c>
      <c r="N13" s="373" t="s">
        <v>30</v>
      </c>
      <c r="O13" s="252">
        <f>SUM(O14:O14)</f>
        <v>0</v>
      </c>
      <c r="P13" s="252">
        <f>SUM(P14:P14)</f>
        <v>0</v>
      </c>
      <c r="Q13" s="311" t="s">
        <v>593</v>
      </c>
    </row>
    <row r="14" spans="1:17" s="248" customFormat="1" x14ac:dyDescent="0.2">
      <c r="A14" s="243"/>
      <c r="B14" s="243"/>
      <c r="C14" s="257" t="s">
        <v>576</v>
      </c>
      <c r="D14" s="256" t="s">
        <v>180</v>
      </c>
      <c r="E14" s="404">
        <v>0</v>
      </c>
      <c r="F14" s="404">
        <v>0</v>
      </c>
      <c r="G14" s="374">
        <v>0</v>
      </c>
      <c r="H14" s="404">
        <v>0</v>
      </c>
      <c r="I14" s="404"/>
      <c r="J14" s="404">
        <v>0</v>
      </c>
      <c r="K14" s="374">
        <v>0</v>
      </c>
      <c r="L14" s="404">
        <v>130000</v>
      </c>
      <c r="M14" s="404">
        <v>-32925</v>
      </c>
      <c r="N14" s="374">
        <f>M14/L14</f>
        <v>-0.25326923076923075</v>
      </c>
      <c r="O14" s="200"/>
      <c r="P14" s="200"/>
      <c r="Q14" s="247"/>
    </row>
    <row r="15" spans="1:17" s="248" customFormat="1" x14ac:dyDescent="0.2">
      <c r="A15" s="243"/>
      <c r="B15" s="243"/>
      <c r="C15" s="257" t="s">
        <v>594</v>
      </c>
      <c r="D15" s="256"/>
      <c r="E15" s="404">
        <v>0</v>
      </c>
      <c r="F15" s="404">
        <v>0</v>
      </c>
      <c r="G15" s="374">
        <v>0</v>
      </c>
      <c r="H15" s="404">
        <v>257000</v>
      </c>
      <c r="I15" s="423"/>
      <c r="J15" s="404">
        <v>50000</v>
      </c>
      <c r="K15" s="374">
        <f>J15/H15</f>
        <v>0.19455252918287938</v>
      </c>
      <c r="L15" s="404">
        <v>0</v>
      </c>
      <c r="M15" s="404">
        <v>0</v>
      </c>
      <c r="N15" s="374">
        <v>0</v>
      </c>
      <c r="O15" s="200"/>
      <c r="P15" s="200"/>
      <c r="Q15" s="247"/>
    </row>
    <row r="16" spans="1:17" s="255" customFormat="1" ht="39.4" hidden="1" x14ac:dyDescent="0.25">
      <c r="A16" s="249" t="s">
        <v>141</v>
      </c>
      <c r="B16" s="249"/>
      <c r="C16" s="250" t="s">
        <v>107</v>
      </c>
      <c r="D16" s="251"/>
      <c r="E16" s="369" t="s">
        <v>30</v>
      </c>
      <c r="F16" s="369">
        <f>SUM(F17:F18)</f>
        <v>0</v>
      </c>
      <c r="G16" s="373" t="s">
        <v>30</v>
      </c>
      <c r="H16" s="369" t="s">
        <v>30</v>
      </c>
      <c r="I16" s="369">
        <f>SUM(I17:I18)</f>
        <v>0</v>
      </c>
      <c r="J16" s="369">
        <f>SUM(J17:J18)</f>
        <v>0</v>
      </c>
      <c r="K16" s="373" t="s">
        <v>30</v>
      </c>
      <c r="L16" s="369" t="s">
        <v>30</v>
      </c>
      <c r="M16" s="369">
        <f>SUM(M17:M18)</f>
        <v>0</v>
      </c>
      <c r="N16" s="373" t="s">
        <v>30</v>
      </c>
      <c r="O16" s="252">
        <f>SUM(O17:O18)</f>
        <v>0</v>
      </c>
      <c r="P16" s="252">
        <f>SUM(P17:P18)</f>
        <v>0</v>
      </c>
      <c r="Q16" s="254"/>
    </row>
    <row r="17" spans="1:18" s="248" customFormat="1" ht="13.15" hidden="1" x14ac:dyDescent="0.25">
      <c r="A17" s="243"/>
      <c r="B17" s="243"/>
      <c r="C17" s="247" t="s">
        <v>183</v>
      </c>
      <c r="D17" s="256" t="s">
        <v>181</v>
      </c>
      <c r="E17" s="404"/>
      <c r="F17" s="404"/>
      <c r="G17" s="374"/>
      <c r="H17" s="404"/>
      <c r="I17" s="404"/>
      <c r="J17" s="404"/>
      <c r="K17" s="374">
        <v>1</v>
      </c>
      <c r="L17" s="404"/>
      <c r="M17" s="404"/>
      <c r="N17" s="374"/>
      <c r="O17" s="200"/>
      <c r="P17" s="200"/>
      <c r="Q17" s="247"/>
    </row>
    <row r="18" spans="1:18" s="248" customFormat="1" ht="13.15" hidden="1" x14ac:dyDescent="0.25">
      <c r="A18" s="243"/>
      <c r="B18" s="243"/>
      <c r="C18" s="247"/>
      <c r="D18" s="256"/>
      <c r="E18" s="404"/>
      <c r="F18" s="404"/>
      <c r="G18" s="374"/>
      <c r="H18" s="404"/>
      <c r="I18" s="404"/>
      <c r="J18" s="404"/>
      <c r="K18" s="374"/>
      <c r="L18" s="404"/>
      <c r="M18" s="404"/>
      <c r="N18" s="374"/>
      <c r="O18" s="200"/>
      <c r="P18" s="200"/>
      <c r="Q18" s="247"/>
    </row>
    <row r="19" spans="1:18" s="255" customFormat="1" ht="27" x14ac:dyDescent="0.25">
      <c r="A19" s="249" t="s">
        <v>142</v>
      </c>
      <c r="B19" s="249"/>
      <c r="C19" s="250" t="s">
        <v>108</v>
      </c>
      <c r="D19" s="251"/>
      <c r="E19" s="369" t="s">
        <v>30</v>
      </c>
      <c r="F19" s="369">
        <f>SUM(F20:F23)</f>
        <v>0</v>
      </c>
      <c r="G19" s="373" t="s">
        <v>30</v>
      </c>
      <c r="H19" s="369" t="s">
        <v>30</v>
      </c>
      <c r="I19" s="369">
        <f>SUM(I20:I23)</f>
        <v>8429676</v>
      </c>
      <c r="J19" s="369">
        <f>SUM(J20:J23)</f>
        <v>1009961</v>
      </c>
      <c r="K19" s="373" t="s">
        <v>30</v>
      </c>
      <c r="L19" s="369" t="s">
        <v>30</v>
      </c>
      <c r="M19" s="369">
        <f>SUM(M20:M23)</f>
        <v>-41925</v>
      </c>
      <c r="N19" s="373" t="s">
        <v>30</v>
      </c>
      <c r="O19" s="253">
        <f>SUM(O20:O23)</f>
        <v>0</v>
      </c>
      <c r="P19" s="253">
        <f>SUM(P20:P23)</f>
        <v>0</v>
      </c>
      <c r="Q19" s="4"/>
    </row>
    <row r="20" spans="1:18" s="248" customFormat="1" ht="13.15" hidden="1" x14ac:dyDescent="0.25">
      <c r="A20" s="243"/>
      <c r="B20" s="243"/>
      <c r="C20" s="258" t="s">
        <v>455</v>
      </c>
      <c r="D20" s="256" t="s">
        <v>180</v>
      </c>
      <c r="E20" s="404">
        <v>0</v>
      </c>
      <c r="F20" s="404">
        <v>0</v>
      </c>
      <c r="G20" s="374">
        <v>1</v>
      </c>
      <c r="H20" s="404">
        <v>0</v>
      </c>
      <c r="I20" s="404">
        <f>3450000+1067000+520000+1214300+50000</f>
        <v>6301300</v>
      </c>
      <c r="J20" s="404">
        <v>0</v>
      </c>
      <c r="K20" s="374">
        <v>0</v>
      </c>
      <c r="L20" s="404">
        <v>0</v>
      </c>
      <c r="M20" s="404">
        <v>0</v>
      </c>
      <c r="N20" s="374">
        <v>0</v>
      </c>
      <c r="O20" s="200">
        <v>0</v>
      </c>
      <c r="P20" s="200">
        <v>0</v>
      </c>
      <c r="Q20" s="247"/>
    </row>
    <row r="21" spans="1:18" s="231" customFormat="1" ht="38.25" x14ac:dyDescent="0.2">
      <c r="A21" s="227"/>
      <c r="B21" s="227"/>
      <c r="C21" s="228" t="s">
        <v>541</v>
      </c>
      <c r="D21" s="229" t="s">
        <v>180</v>
      </c>
      <c r="E21" s="405">
        <v>0</v>
      </c>
      <c r="F21" s="405">
        <v>0</v>
      </c>
      <c r="G21" s="375">
        <v>0</v>
      </c>
      <c r="H21" s="405">
        <v>32933638</v>
      </c>
      <c r="I21" s="405">
        <f>135988-125000+1509423</f>
        <v>1520411</v>
      </c>
      <c r="J21" s="405">
        <f>860199+112308.39-37454+75000-92.39</f>
        <v>1009961</v>
      </c>
      <c r="K21" s="375">
        <f>I21/H21</f>
        <v>4.6165898829640381E-2</v>
      </c>
      <c r="L21" s="405">
        <v>0</v>
      </c>
      <c r="M21" s="405">
        <v>0</v>
      </c>
      <c r="N21" s="375">
        <v>0</v>
      </c>
      <c r="O21" s="230">
        <v>0</v>
      </c>
      <c r="P21" s="230">
        <v>0</v>
      </c>
      <c r="Q21" s="4" t="s">
        <v>611</v>
      </c>
    </row>
    <row r="22" spans="1:18" s="231" customFormat="1" ht="25.5" x14ac:dyDescent="0.2">
      <c r="A22" s="227"/>
      <c r="B22" s="227"/>
      <c r="C22" s="258" t="s">
        <v>577</v>
      </c>
      <c r="D22" s="229"/>
      <c r="E22" s="405">
        <v>0</v>
      </c>
      <c r="F22" s="405">
        <v>0</v>
      </c>
      <c r="G22" s="375">
        <v>0</v>
      </c>
      <c r="H22" s="405">
        <v>0</v>
      </c>
      <c r="I22" s="405"/>
      <c r="J22" s="405">
        <v>0</v>
      </c>
      <c r="K22" s="375">
        <v>0</v>
      </c>
      <c r="L22" s="405">
        <v>215000</v>
      </c>
      <c r="M22" s="405">
        <v>-41925</v>
      </c>
      <c r="N22" s="375">
        <f>M22/L22</f>
        <v>-0.19500000000000001</v>
      </c>
      <c r="O22" s="230"/>
      <c r="P22" s="230"/>
      <c r="Q22" s="4" t="s">
        <v>595</v>
      </c>
    </row>
    <row r="23" spans="1:18" s="117" customFormat="1" ht="23.25" hidden="1" customHeight="1" x14ac:dyDescent="0.25">
      <c r="A23" s="159"/>
      <c r="B23" s="159"/>
      <c r="C23" s="153" t="s">
        <v>492</v>
      </c>
      <c r="D23" s="141" t="s">
        <v>180</v>
      </c>
      <c r="E23" s="406">
        <v>0</v>
      </c>
      <c r="F23" s="406">
        <v>0</v>
      </c>
      <c r="G23" s="376">
        <v>0</v>
      </c>
      <c r="H23" s="406">
        <v>0</v>
      </c>
      <c r="I23" s="406">
        <f>551965+56000</f>
        <v>607965</v>
      </c>
      <c r="J23" s="406">
        <v>0</v>
      </c>
      <c r="K23" s="376" t="e">
        <f>I23/H23</f>
        <v>#DIV/0!</v>
      </c>
      <c r="L23" s="406">
        <v>0</v>
      </c>
      <c r="M23" s="406">
        <v>0</v>
      </c>
      <c r="N23" s="376">
        <v>0</v>
      </c>
      <c r="O23" s="120">
        <v>0</v>
      </c>
      <c r="P23" s="120">
        <v>0</v>
      </c>
      <c r="Q23" s="125"/>
    </row>
    <row r="24" spans="1:18" s="19" customFormat="1" ht="25.5" x14ac:dyDescent="0.2">
      <c r="A24" s="232" t="s">
        <v>143</v>
      </c>
      <c r="B24" s="232" t="s">
        <v>143</v>
      </c>
      <c r="C24" s="233" t="s">
        <v>103</v>
      </c>
      <c r="D24" s="234" t="s">
        <v>291</v>
      </c>
      <c r="E24" s="407" t="s">
        <v>30</v>
      </c>
      <c r="F24" s="407">
        <f>F25+F41+F44+F51</f>
        <v>-8577640</v>
      </c>
      <c r="G24" s="377" t="s">
        <v>30</v>
      </c>
      <c r="H24" s="407" t="s">
        <v>30</v>
      </c>
      <c r="I24" s="407">
        <f>I25+I41+I44+I51</f>
        <v>2317407</v>
      </c>
      <c r="J24" s="407">
        <f>J25+J41+J44+J51</f>
        <v>4702472</v>
      </c>
      <c r="K24" s="377" t="s">
        <v>30</v>
      </c>
      <c r="L24" s="407" t="s">
        <v>30</v>
      </c>
      <c r="M24" s="407">
        <f>M25+M41+M44+M51</f>
        <v>0</v>
      </c>
      <c r="N24" s="377" t="s">
        <v>30</v>
      </c>
      <c r="O24" s="235">
        <f>O25+O41+O44+O51</f>
        <v>0</v>
      </c>
      <c r="P24" s="235">
        <f>P25+P41+P44+P51</f>
        <v>0</v>
      </c>
      <c r="Q24" s="312"/>
      <c r="R24" s="368">
        <f>F24+J24</f>
        <v>-3875168</v>
      </c>
    </row>
    <row r="25" spans="1:18" s="308" customFormat="1" ht="27" x14ac:dyDescent="0.25">
      <c r="A25" s="269" t="s">
        <v>145</v>
      </c>
      <c r="B25" s="269"/>
      <c r="C25" s="270" t="s">
        <v>109</v>
      </c>
      <c r="D25" s="271"/>
      <c r="E25" s="272" t="s">
        <v>30</v>
      </c>
      <c r="F25" s="272">
        <f>SUM(F26:F40)</f>
        <v>-8577640</v>
      </c>
      <c r="G25" s="378" t="s">
        <v>30</v>
      </c>
      <c r="H25" s="272" t="s">
        <v>30</v>
      </c>
      <c r="I25" s="272">
        <f>SUM(I26:I40)</f>
        <v>2317407</v>
      </c>
      <c r="J25" s="272">
        <f>SUM(J26:J40)</f>
        <v>3731558</v>
      </c>
      <c r="K25" s="378" t="s">
        <v>30</v>
      </c>
      <c r="L25" s="272" t="s">
        <v>30</v>
      </c>
      <c r="M25" s="272">
        <f>SUM(M26:M40)</f>
        <v>0</v>
      </c>
      <c r="N25" s="378" t="s">
        <v>30</v>
      </c>
      <c r="O25" s="273">
        <f>SUM(O26:O40)</f>
        <v>0</v>
      </c>
      <c r="P25" s="273">
        <f>SUM(P26:P40)</f>
        <v>0</v>
      </c>
      <c r="Q25" s="4"/>
      <c r="R25" s="367">
        <f>F25+J25</f>
        <v>-4846082</v>
      </c>
    </row>
    <row r="26" spans="1:18" s="19" customFormat="1" ht="78.599999999999994" customHeight="1" x14ac:dyDescent="0.2">
      <c r="A26" s="236"/>
      <c r="B26" s="236"/>
      <c r="C26" s="313" t="s">
        <v>203</v>
      </c>
      <c r="D26" s="237" t="s">
        <v>181</v>
      </c>
      <c r="E26" s="408">
        <v>0</v>
      </c>
      <c r="F26" s="408">
        <v>0</v>
      </c>
      <c r="G26" s="379">
        <v>0</v>
      </c>
      <c r="H26" s="408">
        <f>29350311+33510451</f>
        <v>62860762</v>
      </c>
      <c r="I26" s="408">
        <v>0</v>
      </c>
      <c r="J26" s="405">
        <f>515205+109295</f>
        <v>624500</v>
      </c>
      <c r="K26" s="379">
        <f>J26/H26</f>
        <v>9.9346552623717794E-3</v>
      </c>
      <c r="L26" s="408">
        <v>0</v>
      </c>
      <c r="M26" s="408">
        <v>0</v>
      </c>
      <c r="N26" s="379">
        <v>0</v>
      </c>
      <c r="O26" s="238"/>
      <c r="P26" s="238"/>
      <c r="Q26" s="498" t="s">
        <v>621</v>
      </c>
    </row>
    <row r="27" spans="1:18" s="19" customFormat="1" x14ac:dyDescent="0.2">
      <c r="A27" s="236"/>
      <c r="B27" s="236"/>
      <c r="C27" s="313" t="s">
        <v>217</v>
      </c>
      <c r="D27" s="237" t="s">
        <v>181</v>
      </c>
      <c r="E27" s="408">
        <v>0</v>
      </c>
      <c r="F27" s="408">
        <v>0</v>
      </c>
      <c r="G27" s="379">
        <v>0</v>
      </c>
      <c r="H27" s="408">
        <f>5469866+15336350</f>
        <v>20806216</v>
      </c>
      <c r="I27" s="408">
        <v>0</v>
      </c>
      <c r="J27" s="405">
        <f>417498+22603+282272</f>
        <v>722373</v>
      </c>
      <c r="K27" s="379">
        <f t="shared" ref="K27:K32" si="0">J27/H27</f>
        <v>3.4719095485695239E-2</v>
      </c>
      <c r="L27" s="408">
        <v>0</v>
      </c>
      <c r="M27" s="408">
        <v>0</v>
      </c>
      <c r="N27" s="379">
        <v>0</v>
      </c>
      <c r="O27" s="238"/>
      <c r="P27" s="238"/>
      <c r="Q27" s="499"/>
    </row>
    <row r="28" spans="1:18" s="19" customFormat="1" x14ac:dyDescent="0.2">
      <c r="A28" s="236"/>
      <c r="B28" s="236"/>
      <c r="C28" s="313" t="s">
        <v>598</v>
      </c>
      <c r="D28" s="237" t="s">
        <v>181</v>
      </c>
      <c r="E28" s="408">
        <v>0</v>
      </c>
      <c r="F28" s="408">
        <v>0</v>
      </c>
      <c r="G28" s="379">
        <v>0</v>
      </c>
      <c r="H28" s="408">
        <f>30989130.52</f>
        <v>30989130.52</v>
      </c>
      <c r="I28" s="408">
        <v>0</v>
      </c>
      <c r="J28" s="405">
        <v>223617</v>
      </c>
      <c r="K28" s="379">
        <f t="shared" si="0"/>
        <v>7.2159817409423723E-3</v>
      </c>
      <c r="L28" s="408">
        <v>0</v>
      </c>
      <c r="M28" s="408">
        <v>0</v>
      </c>
      <c r="N28" s="379">
        <v>0</v>
      </c>
      <c r="O28" s="238"/>
      <c r="P28" s="238"/>
      <c r="Q28" s="500"/>
    </row>
    <row r="29" spans="1:18" s="19" customFormat="1" x14ac:dyDescent="0.2">
      <c r="A29" s="236"/>
      <c r="B29" s="236"/>
      <c r="C29" s="313" t="s">
        <v>600</v>
      </c>
      <c r="D29" s="237" t="s">
        <v>181</v>
      </c>
      <c r="E29" s="408">
        <v>0</v>
      </c>
      <c r="F29" s="408">
        <v>0</v>
      </c>
      <c r="G29" s="379">
        <v>0</v>
      </c>
      <c r="H29" s="405">
        <v>15249370</v>
      </c>
      <c r="I29" s="408"/>
      <c r="J29" s="405">
        <v>324900</v>
      </c>
      <c r="K29" s="379">
        <v>0</v>
      </c>
      <c r="L29" s="408">
        <v>0</v>
      </c>
      <c r="M29" s="408">
        <v>0</v>
      </c>
      <c r="N29" s="379">
        <v>0</v>
      </c>
      <c r="O29" s="238"/>
      <c r="P29" s="238"/>
      <c r="Q29" s="14" t="s">
        <v>612</v>
      </c>
    </row>
    <row r="30" spans="1:18" s="19" customFormat="1" ht="27.6" customHeight="1" x14ac:dyDescent="0.2">
      <c r="A30" s="236"/>
      <c r="B30" s="236"/>
      <c r="C30" s="14" t="s">
        <v>536</v>
      </c>
      <c r="D30" s="237" t="s">
        <v>181</v>
      </c>
      <c r="E30" s="408">
        <v>232458391</v>
      </c>
      <c r="F30" s="408">
        <f>-9318-685951</f>
        <v>-695269</v>
      </c>
      <c r="G30" s="379">
        <f>F30/E30</f>
        <v>-2.9909395699121051E-3</v>
      </c>
      <c r="H30" s="408">
        <v>0</v>
      </c>
      <c r="I30" s="408">
        <v>0</v>
      </c>
      <c r="J30" s="405">
        <v>0</v>
      </c>
      <c r="K30" s="379">
        <v>0</v>
      </c>
      <c r="L30" s="408">
        <v>0</v>
      </c>
      <c r="M30" s="408">
        <v>0</v>
      </c>
      <c r="N30" s="379">
        <v>0</v>
      </c>
      <c r="O30" s="238"/>
      <c r="P30" s="238"/>
      <c r="Q30" s="14"/>
    </row>
    <row r="31" spans="1:18" s="19" customFormat="1" ht="38.25" x14ac:dyDescent="0.2">
      <c r="A31" s="236"/>
      <c r="B31" s="236"/>
      <c r="C31" s="14" t="s">
        <v>454</v>
      </c>
      <c r="D31" s="237" t="s">
        <v>181</v>
      </c>
      <c r="E31" s="408">
        <v>2000000</v>
      </c>
      <c r="F31" s="408">
        <v>-246748</v>
      </c>
      <c r="G31" s="379">
        <f t="shared" ref="G31:G40" si="1">F31/E31</f>
        <v>-0.123374</v>
      </c>
      <c r="H31" s="408">
        <v>0</v>
      </c>
      <c r="I31" s="408">
        <v>0</v>
      </c>
      <c r="J31" s="408">
        <v>0</v>
      </c>
      <c r="K31" s="379">
        <v>0</v>
      </c>
      <c r="L31" s="408">
        <v>0</v>
      </c>
      <c r="M31" s="408">
        <v>0</v>
      </c>
      <c r="N31" s="379">
        <v>0</v>
      </c>
      <c r="O31" s="238"/>
      <c r="P31" s="238"/>
      <c r="Q31" s="14"/>
    </row>
    <row r="32" spans="1:18" s="117" customFormat="1" ht="26.25" hidden="1" x14ac:dyDescent="0.25">
      <c r="A32" s="159"/>
      <c r="B32" s="159"/>
      <c r="C32" s="125" t="s">
        <v>298</v>
      </c>
      <c r="D32" s="141" t="s">
        <v>181</v>
      </c>
      <c r="E32" s="406">
        <v>0</v>
      </c>
      <c r="F32" s="406">
        <v>0</v>
      </c>
      <c r="G32" s="379" t="e">
        <f t="shared" si="1"/>
        <v>#DIV/0!</v>
      </c>
      <c r="H32" s="406">
        <v>0</v>
      </c>
      <c r="I32" s="406">
        <v>0</v>
      </c>
      <c r="J32" s="406">
        <v>0</v>
      </c>
      <c r="K32" s="376" t="e">
        <f t="shared" si="0"/>
        <v>#DIV/0!</v>
      </c>
      <c r="L32" s="406">
        <v>0</v>
      </c>
      <c r="M32" s="406">
        <v>0</v>
      </c>
      <c r="N32" s="376">
        <v>0</v>
      </c>
      <c r="O32" s="120"/>
      <c r="P32" s="120"/>
      <c r="Q32" s="125"/>
    </row>
    <row r="33" spans="1:17" s="117" customFormat="1" x14ac:dyDescent="0.2">
      <c r="A33" s="159"/>
      <c r="B33" s="159"/>
      <c r="C33" s="14" t="s">
        <v>597</v>
      </c>
      <c r="D33" s="237" t="s">
        <v>181</v>
      </c>
      <c r="E33" s="408">
        <v>29002134</v>
      </c>
      <c r="F33" s="408">
        <v>-2271439</v>
      </c>
      <c r="G33" s="379">
        <f t="shared" si="1"/>
        <v>-7.8319719507536925E-2</v>
      </c>
      <c r="H33" s="406"/>
      <c r="I33" s="406"/>
      <c r="J33" s="406"/>
      <c r="K33" s="376"/>
      <c r="L33" s="406"/>
      <c r="M33" s="406"/>
      <c r="N33" s="376"/>
      <c r="O33" s="120"/>
      <c r="P33" s="120"/>
      <c r="Q33" s="125"/>
    </row>
    <row r="34" spans="1:17" s="19" customFormat="1" x14ac:dyDescent="0.2">
      <c r="A34" s="236"/>
      <c r="B34" s="236"/>
      <c r="C34" s="14" t="s">
        <v>599</v>
      </c>
      <c r="D34" s="237" t="s">
        <v>181</v>
      </c>
      <c r="E34" s="408">
        <v>22323234</v>
      </c>
      <c r="F34" s="408">
        <v>-2798468</v>
      </c>
      <c r="G34" s="379">
        <f t="shared" si="1"/>
        <v>-0.12536122678282188</v>
      </c>
      <c r="H34" s="408">
        <v>0</v>
      </c>
      <c r="I34" s="408">
        <v>0</v>
      </c>
      <c r="J34" s="408">
        <v>0</v>
      </c>
      <c r="K34" s="379">
        <v>0</v>
      </c>
      <c r="L34" s="408">
        <v>0</v>
      </c>
      <c r="M34" s="408">
        <v>0</v>
      </c>
      <c r="N34" s="379">
        <v>0</v>
      </c>
      <c r="O34" s="238"/>
      <c r="P34" s="238"/>
      <c r="Q34" s="14"/>
    </row>
    <row r="35" spans="1:17" s="19" customFormat="1" x14ac:dyDescent="0.2">
      <c r="A35" s="236"/>
      <c r="B35" s="236"/>
      <c r="C35" s="14" t="s">
        <v>534</v>
      </c>
      <c r="D35" s="237" t="s">
        <v>181</v>
      </c>
      <c r="E35" s="408">
        <v>249601</v>
      </c>
      <c r="F35" s="408">
        <v>80000</v>
      </c>
      <c r="G35" s="379">
        <f t="shared" si="1"/>
        <v>0.32051153641211372</v>
      </c>
      <c r="H35" s="408">
        <v>0</v>
      </c>
      <c r="I35" s="408">
        <v>0</v>
      </c>
      <c r="J35" s="408">
        <v>0</v>
      </c>
      <c r="K35" s="379">
        <v>0</v>
      </c>
      <c r="L35" s="408">
        <v>0</v>
      </c>
      <c r="M35" s="408">
        <v>0</v>
      </c>
      <c r="N35" s="379">
        <v>0</v>
      </c>
      <c r="O35" s="238"/>
      <c r="P35" s="238"/>
      <c r="Q35" s="14"/>
    </row>
    <row r="36" spans="1:17" s="19" customFormat="1" x14ac:dyDescent="0.2">
      <c r="A36" s="236"/>
      <c r="B36" s="236"/>
      <c r="C36" s="14" t="s">
        <v>596</v>
      </c>
      <c r="D36" s="237" t="s">
        <v>181</v>
      </c>
      <c r="E36" s="408">
        <v>23922670</v>
      </c>
      <c r="F36" s="408">
        <v>-787234</v>
      </c>
      <c r="G36" s="379">
        <f t="shared" si="1"/>
        <v>-3.2907447203844718E-2</v>
      </c>
      <c r="H36" s="408">
        <v>0</v>
      </c>
      <c r="I36" s="408">
        <v>0</v>
      </c>
      <c r="J36" s="408">
        <v>0</v>
      </c>
      <c r="K36" s="379">
        <v>0</v>
      </c>
      <c r="L36" s="408">
        <v>0</v>
      </c>
      <c r="M36" s="408">
        <v>0</v>
      </c>
      <c r="N36" s="379">
        <v>0</v>
      </c>
      <c r="O36" s="239">
        <v>0</v>
      </c>
      <c r="P36" s="238"/>
      <c r="Q36" s="14"/>
    </row>
    <row r="37" spans="1:17" s="19" customFormat="1" ht="38.25" x14ac:dyDescent="0.2">
      <c r="A37" s="236"/>
      <c r="B37" s="236"/>
      <c r="C37" s="14" t="s">
        <v>193</v>
      </c>
      <c r="D37" s="237" t="s">
        <v>181</v>
      </c>
      <c r="E37" s="408">
        <v>0</v>
      </c>
      <c r="F37" s="408">
        <v>0</v>
      </c>
      <c r="G37" s="379">
        <v>0</v>
      </c>
      <c r="H37" s="405">
        <v>6163999</v>
      </c>
      <c r="I37" s="408">
        <f>-155583+2472990</f>
        <v>2317407</v>
      </c>
      <c r="J37" s="408">
        <f>1506044+330124</f>
        <v>1836168</v>
      </c>
      <c r="K37" s="379">
        <v>0</v>
      </c>
      <c r="L37" s="408">
        <v>0</v>
      </c>
      <c r="M37" s="408">
        <v>0</v>
      </c>
      <c r="N37" s="379">
        <v>0</v>
      </c>
      <c r="O37" s="238"/>
      <c r="P37" s="238"/>
      <c r="Q37" s="4" t="s">
        <v>611</v>
      </c>
    </row>
    <row r="38" spans="1:17" s="19" customFormat="1" ht="13.15" hidden="1" x14ac:dyDescent="0.25">
      <c r="A38" s="236"/>
      <c r="B38" s="236"/>
      <c r="C38" s="14" t="s">
        <v>526</v>
      </c>
      <c r="D38" s="237" t="s">
        <v>181</v>
      </c>
      <c r="E38" s="406"/>
      <c r="F38" s="409">
        <f>101485-101485</f>
        <v>0</v>
      </c>
      <c r="G38" s="379" t="e">
        <f t="shared" si="1"/>
        <v>#DIV/0!</v>
      </c>
      <c r="H38" s="408">
        <v>0</v>
      </c>
      <c r="I38" s="408">
        <v>0</v>
      </c>
      <c r="J38" s="408">
        <v>0</v>
      </c>
      <c r="K38" s="379">
        <v>0</v>
      </c>
      <c r="L38" s="408">
        <v>0</v>
      </c>
      <c r="M38" s="408">
        <v>0</v>
      </c>
      <c r="N38" s="379">
        <v>0</v>
      </c>
      <c r="O38" s="238"/>
      <c r="P38" s="238"/>
      <c r="Q38" s="14"/>
    </row>
    <row r="39" spans="1:17" s="19" customFormat="1" x14ac:dyDescent="0.2">
      <c r="A39" s="236"/>
      <c r="B39" s="236"/>
      <c r="C39" s="14" t="s">
        <v>528</v>
      </c>
      <c r="D39" s="237" t="s">
        <v>181</v>
      </c>
      <c r="E39" s="408">
        <v>25872991</v>
      </c>
      <c r="F39" s="405">
        <v>-1801353</v>
      </c>
      <c r="G39" s="379">
        <f t="shared" si="1"/>
        <v>-6.9622912944235935E-2</v>
      </c>
      <c r="H39" s="408">
        <v>0</v>
      </c>
      <c r="I39" s="408">
        <v>0</v>
      </c>
      <c r="J39" s="408">
        <v>0</v>
      </c>
      <c r="K39" s="379">
        <v>0</v>
      </c>
      <c r="L39" s="408">
        <v>0</v>
      </c>
      <c r="M39" s="408">
        <v>0</v>
      </c>
      <c r="N39" s="379">
        <v>0</v>
      </c>
      <c r="O39" s="238"/>
      <c r="P39" s="238"/>
      <c r="Q39" s="14"/>
    </row>
    <row r="40" spans="1:17" s="19" customFormat="1" x14ac:dyDescent="0.2">
      <c r="A40" s="236"/>
      <c r="B40" s="236"/>
      <c r="C40" s="14" t="s">
        <v>529</v>
      </c>
      <c r="D40" s="237" t="s">
        <v>181</v>
      </c>
      <c r="E40" s="408">
        <v>3070427</v>
      </c>
      <c r="F40" s="405">
        <f>-613987+556858</f>
        <v>-57129</v>
      </c>
      <c r="G40" s="379">
        <f t="shared" si="1"/>
        <v>-1.8606206889139523E-2</v>
      </c>
      <c r="H40" s="408">
        <v>0</v>
      </c>
      <c r="I40" s="408">
        <v>0</v>
      </c>
      <c r="J40" s="408">
        <v>0</v>
      </c>
      <c r="K40" s="379">
        <v>0</v>
      </c>
      <c r="L40" s="408">
        <v>0</v>
      </c>
      <c r="M40" s="408">
        <v>0</v>
      </c>
      <c r="N40" s="379">
        <v>0</v>
      </c>
      <c r="O40" s="238"/>
      <c r="P40" s="238"/>
      <c r="Q40" s="14"/>
    </row>
    <row r="41" spans="1:17" s="117" customFormat="1" ht="26.25" hidden="1" x14ac:dyDescent="0.25">
      <c r="A41" s="148" t="s">
        <v>146</v>
      </c>
      <c r="B41" s="148"/>
      <c r="C41" s="149" t="s">
        <v>110</v>
      </c>
      <c r="D41" s="150"/>
      <c r="E41" s="410" t="s">
        <v>30</v>
      </c>
      <c r="F41" s="410">
        <f>SUM(F42:F43)</f>
        <v>0</v>
      </c>
      <c r="G41" s="380" t="s">
        <v>30</v>
      </c>
      <c r="H41" s="410" t="s">
        <v>30</v>
      </c>
      <c r="I41" s="410">
        <f>SUM(I42:I43)</f>
        <v>0</v>
      </c>
      <c r="J41" s="410">
        <f>SUM(J42:J43)</f>
        <v>0</v>
      </c>
      <c r="K41" s="376" t="e">
        <f>I41/H41</f>
        <v>#VALUE!</v>
      </c>
      <c r="L41" s="410" t="s">
        <v>30</v>
      </c>
      <c r="M41" s="410">
        <f>SUM(M42:M43)</f>
        <v>0</v>
      </c>
      <c r="N41" s="380" t="s">
        <v>30</v>
      </c>
      <c r="O41" s="140">
        <f>SUM(O42:O43)</f>
        <v>0</v>
      </c>
      <c r="P41" s="140">
        <f>SUM(P42:P43)</f>
        <v>0</v>
      </c>
      <c r="Q41" s="197"/>
    </row>
    <row r="42" spans="1:17" s="117" customFormat="1" ht="13.15" hidden="1" x14ac:dyDescent="0.25">
      <c r="A42" s="159"/>
      <c r="B42" s="159"/>
      <c r="C42" s="125"/>
      <c r="D42" s="141"/>
      <c r="E42" s="406"/>
      <c r="F42" s="406"/>
      <c r="G42" s="376"/>
      <c r="H42" s="406"/>
      <c r="I42" s="406"/>
      <c r="J42" s="406"/>
      <c r="K42" s="376" t="e">
        <f>I42/H42</f>
        <v>#DIV/0!</v>
      </c>
      <c r="L42" s="406"/>
      <c r="M42" s="406"/>
      <c r="N42" s="376"/>
      <c r="O42" s="120"/>
      <c r="P42" s="120"/>
      <c r="Q42" s="125"/>
    </row>
    <row r="43" spans="1:17" s="117" customFormat="1" ht="13.15" hidden="1" x14ac:dyDescent="0.25">
      <c r="A43" s="159"/>
      <c r="B43" s="159"/>
      <c r="C43" s="125"/>
      <c r="D43" s="141"/>
      <c r="E43" s="406"/>
      <c r="F43" s="406"/>
      <c r="G43" s="376"/>
      <c r="H43" s="406"/>
      <c r="I43" s="406"/>
      <c r="J43" s="406"/>
      <c r="K43" s="376" t="e">
        <f>I43/H43</f>
        <v>#DIV/0!</v>
      </c>
      <c r="L43" s="406"/>
      <c r="M43" s="406"/>
      <c r="N43" s="376"/>
      <c r="O43" s="120"/>
      <c r="P43" s="120"/>
      <c r="Q43" s="125"/>
    </row>
    <row r="44" spans="1:17" s="308" customFormat="1" ht="27" x14ac:dyDescent="0.25">
      <c r="A44" s="269" t="s">
        <v>147</v>
      </c>
      <c r="B44" s="269"/>
      <c r="C44" s="270" t="s">
        <v>111</v>
      </c>
      <c r="D44" s="271"/>
      <c r="E44" s="272" t="s">
        <v>30</v>
      </c>
      <c r="F44" s="272">
        <f>SUM(F45:F50)</f>
        <v>0</v>
      </c>
      <c r="G44" s="378" t="s">
        <v>30</v>
      </c>
      <c r="H44" s="272" t="s">
        <v>30</v>
      </c>
      <c r="I44" s="272">
        <f>SUM(I45:I50)</f>
        <v>0</v>
      </c>
      <c r="J44" s="272">
        <f>SUM(J45:J50)</f>
        <v>970914</v>
      </c>
      <c r="K44" s="378" t="s">
        <v>30</v>
      </c>
      <c r="L44" s="272" t="s">
        <v>299</v>
      </c>
      <c r="M44" s="272">
        <f>SUM(M45:M50)</f>
        <v>0</v>
      </c>
      <c r="N44" s="378" t="s">
        <v>30</v>
      </c>
      <c r="O44" s="273">
        <f>SUM(O45:O50)</f>
        <v>0</v>
      </c>
      <c r="P44" s="273">
        <f>SUM(P45:P50)</f>
        <v>0</v>
      </c>
      <c r="Q44" s="307"/>
    </row>
    <row r="45" spans="1:17" s="19" customFormat="1" x14ac:dyDescent="0.2">
      <c r="A45" s="236"/>
      <c r="B45" s="236"/>
      <c r="C45" s="14" t="s">
        <v>487</v>
      </c>
      <c r="D45" s="237" t="s">
        <v>184</v>
      </c>
      <c r="E45" s="408">
        <v>0</v>
      </c>
      <c r="F45" s="408">
        <v>0</v>
      </c>
      <c r="G45" s="379">
        <v>0</v>
      </c>
      <c r="H45" s="405">
        <v>9120000</v>
      </c>
      <c r="I45" s="408"/>
      <c r="J45" s="408">
        <v>880000</v>
      </c>
      <c r="K45" s="379">
        <v>1</v>
      </c>
      <c r="L45" s="408">
        <v>0</v>
      </c>
      <c r="M45" s="408">
        <v>0</v>
      </c>
      <c r="N45" s="379">
        <v>0</v>
      </c>
      <c r="O45" s="238"/>
      <c r="P45" s="238"/>
      <c r="Q45" s="14" t="s">
        <v>610</v>
      </c>
    </row>
    <row r="46" spans="1:17" s="19" customFormat="1" x14ac:dyDescent="0.2">
      <c r="A46" s="236"/>
      <c r="B46" s="236"/>
      <c r="C46" s="14" t="s">
        <v>357</v>
      </c>
      <c r="D46" s="237" t="s">
        <v>181</v>
      </c>
      <c r="E46" s="408">
        <v>0</v>
      </c>
      <c r="F46" s="408">
        <v>0</v>
      </c>
      <c r="G46" s="379">
        <v>0</v>
      </c>
      <c r="H46" s="408">
        <v>41554678</v>
      </c>
      <c r="I46" s="408"/>
      <c r="J46" s="408">
        <v>90914</v>
      </c>
      <c r="K46" s="379">
        <f>J46/H46</f>
        <v>2.1878162550074388E-3</v>
      </c>
      <c r="L46" s="408">
        <v>0</v>
      </c>
      <c r="M46" s="408">
        <v>0</v>
      </c>
      <c r="N46" s="379">
        <v>0</v>
      </c>
      <c r="O46" s="238"/>
      <c r="P46" s="238"/>
      <c r="Q46" s="4" t="s">
        <v>613</v>
      </c>
    </row>
    <row r="47" spans="1:17" s="117" customFormat="1" ht="13.15" hidden="1" x14ac:dyDescent="0.25">
      <c r="A47" s="159"/>
      <c r="B47" s="159"/>
      <c r="C47" s="125" t="s">
        <v>201</v>
      </c>
      <c r="D47" s="141" t="s">
        <v>181</v>
      </c>
      <c r="E47" s="406">
        <v>0</v>
      </c>
      <c r="F47" s="406"/>
      <c r="G47" s="376">
        <v>1</v>
      </c>
      <c r="H47" s="406"/>
      <c r="I47" s="406"/>
      <c r="J47" s="406"/>
      <c r="K47" s="376"/>
      <c r="L47" s="406"/>
      <c r="M47" s="406"/>
      <c r="N47" s="376"/>
      <c r="O47" s="120"/>
      <c r="P47" s="120"/>
      <c r="Q47" s="125"/>
    </row>
    <row r="48" spans="1:17" s="117" customFormat="1" ht="13.15" hidden="1" x14ac:dyDescent="0.25">
      <c r="A48" s="159"/>
      <c r="B48" s="159"/>
      <c r="C48" s="153" t="s">
        <v>230</v>
      </c>
      <c r="D48" s="141" t="s">
        <v>181</v>
      </c>
      <c r="E48" s="406"/>
      <c r="F48" s="406"/>
      <c r="G48" s="376"/>
      <c r="H48" s="406"/>
      <c r="I48" s="406"/>
      <c r="J48" s="406"/>
      <c r="K48" s="376">
        <v>1</v>
      </c>
      <c r="L48" s="406">
        <v>0</v>
      </c>
      <c r="M48" s="406"/>
      <c r="N48" s="376">
        <v>1</v>
      </c>
      <c r="O48" s="120"/>
      <c r="P48" s="120"/>
      <c r="Q48" s="125"/>
    </row>
    <row r="49" spans="1:17" s="117" customFormat="1" ht="13.15" hidden="1" x14ac:dyDescent="0.25">
      <c r="A49" s="159"/>
      <c r="B49" s="159"/>
      <c r="C49" s="125" t="s">
        <v>228</v>
      </c>
      <c r="D49" s="141" t="s">
        <v>181</v>
      </c>
      <c r="E49" s="406">
        <v>0</v>
      </c>
      <c r="F49" s="406"/>
      <c r="G49" s="376">
        <v>1</v>
      </c>
      <c r="H49" s="406"/>
      <c r="I49" s="406"/>
      <c r="J49" s="406"/>
      <c r="K49" s="376">
        <v>1</v>
      </c>
      <c r="L49" s="406"/>
      <c r="M49" s="406"/>
      <c r="N49" s="376"/>
      <c r="O49" s="120"/>
      <c r="P49" s="120"/>
      <c r="Q49" s="125"/>
    </row>
    <row r="50" spans="1:17" s="117" customFormat="1" ht="13.15" hidden="1" x14ac:dyDescent="0.25">
      <c r="A50" s="159"/>
      <c r="B50" s="159"/>
      <c r="C50" s="125" t="s">
        <v>229</v>
      </c>
      <c r="D50" s="141" t="s">
        <v>181</v>
      </c>
      <c r="E50" s="406"/>
      <c r="F50" s="406"/>
      <c r="G50" s="376"/>
      <c r="H50" s="406"/>
      <c r="I50" s="406"/>
      <c r="J50" s="406"/>
      <c r="K50" s="376">
        <v>1</v>
      </c>
      <c r="L50" s="406"/>
      <c r="M50" s="406"/>
      <c r="N50" s="376"/>
      <c r="O50" s="120"/>
      <c r="P50" s="120"/>
      <c r="Q50" s="125"/>
    </row>
    <row r="51" spans="1:17" s="117" customFormat="1" ht="26.25" hidden="1" x14ac:dyDescent="0.25">
      <c r="A51" s="159"/>
      <c r="B51" s="147"/>
      <c r="C51" s="151" t="s">
        <v>111</v>
      </c>
      <c r="D51" s="152"/>
      <c r="E51" s="411" t="s">
        <v>30</v>
      </c>
      <c r="F51" s="411">
        <f>SUM(F52:F55)</f>
        <v>0</v>
      </c>
      <c r="G51" s="381" t="s">
        <v>30</v>
      </c>
      <c r="H51" s="411" t="s">
        <v>30</v>
      </c>
      <c r="I51" s="411">
        <f>SUM(I52:I55)</f>
        <v>0</v>
      </c>
      <c r="J51" s="411">
        <f>SUM(J52:J55)</f>
        <v>0</v>
      </c>
      <c r="K51" s="381" t="s">
        <v>30</v>
      </c>
      <c r="L51" s="411" t="s">
        <v>299</v>
      </c>
      <c r="M51" s="411">
        <f>SUM(M52:M55)</f>
        <v>0</v>
      </c>
      <c r="N51" s="381" t="s">
        <v>30</v>
      </c>
      <c r="O51" s="121">
        <f>SUM(O52:O55)</f>
        <v>0</v>
      </c>
      <c r="P51" s="121">
        <f>SUM(P52:P55)</f>
        <v>0</v>
      </c>
      <c r="Q51" s="198"/>
    </row>
    <row r="52" spans="1:17" s="117" customFormat="1" ht="13.15" hidden="1" x14ac:dyDescent="0.25">
      <c r="A52" s="159"/>
      <c r="B52" s="159"/>
      <c r="C52" s="153" t="s">
        <v>230</v>
      </c>
      <c r="D52" s="141" t="s">
        <v>181</v>
      </c>
      <c r="E52" s="406"/>
      <c r="F52" s="406"/>
      <c r="G52" s="376"/>
      <c r="H52" s="406">
        <v>0</v>
      </c>
      <c r="I52" s="406"/>
      <c r="J52" s="406"/>
      <c r="K52" s="376">
        <v>1</v>
      </c>
      <c r="L52" s="406">
        <v>0</v>
      </c>
      <c r="M52" s="406">
        <v>0</v>
      </c>
      <c r="N52" s="376">
        <v>1</v>
      </c>
      <c r="O52" s="120"/>
      <c r="P52" s="120"/>
      <c r="Q52" s="125"/>
    </row>
    <row r="53" spans="1:17" s="117" customFormat="1" ht="13.15" hidden="1" x14ac:dyDescent="0.25">
      <c r="A53" s="159"/>
      <c r="B53" s="159"/>
      <c r="C53" s="125"/>
      <c r="D53" s="141"/>
      <c r="E53" s="406"/>
      <c r="F53" s="406"/>
      <c r="G53" s="376"/>
      <c r="H53" s="406"/>
      <c r="I53" s="406"/>
      <c r="J53" s="406"/>
      <c r="K53" s="376"/>
      <c r="L53" s="406"/>
      <c r="M53" s="406"/>
      <c r="N53" s="376"/>
      <c r="O53" s="120"/>
      <c r="P53" s="120"/>
      <c r="Q53" s="125"/>
    </row>
    <row r="54" spans="1:17" s="117" customFormat="1" ht="13.15" hidden="1" x14ac:dyDescent="0.25">
      <c r="A54" s="159"/>
      <c r="B54" s="159"/>
      <c r="C54" s="125"/>
      <c r="D54" s="141"/>
      <c r="E54" s="406"/>
      <c r="F54" s="406"/>
      <c r="G54" s="376"/>
      <c r="H54" s="406"/>
      <c r="I54" s="406"/>
      <c r="J54" s="406"/>
      <c r="K54" s="376"/>
      <c r="L54" s="406"/>
      <c r="M54" s="406"/>
      <c r="N54" s="376"/>
      <c r="O54" s="120"/>
      <c r="P54" s="120"/>
      <c r="Q54" s="125"/>
    </row>
    <row r="55" spans="1:17" s="117" customFormat="1" ht="13.15" hidden="1" x14ac:dyDescent="0.25">
      <c r="A55" s="159"/>
      <c r="B55" s="159"/>
      <c r="C55" s="125"/>
      <c r="D55" s="141"/>
      <c r="E55" s="406"/>
      <c r="F55" s="406"/>
      <c r="G55" s="376"/>
      <c r="H55" s="406"/>
      <c r="I55" s="406"/>
      <c r="J55" s="406"/>
      <c r="K55" s="376"/>
      <c r="L55" s="406"/>
      <c r="M55" s="406"/>
      <c r="N55" s="376"/>
      <c r="O55" s="120"/>
      <c r="P55" s="120"/>
      <c r="Q55" s="125"/>
    </row>
    <row r="56" spans="1:17" s="117" customFormat="1" ht="25.5" x14ac:dyDescent="0.2">
      <c r="A56" s="146" t="s">
        <v>148</v>
      </c>
      <c r="B56" s="232" t="s">
        <v>148</v>
      </c>
      <c r="C56" s="233" t="s">
        <v>112</v>
      </c>
      <c r="D56" s="234" t="s">
        <v>292</v>
      </c>
      <c r="E56" s="407" t="s">
        <v>30</v>
      </c>
      <c r="F56" s="407">
        <f>F57+F86</f>
        <v>8569795</v>
      </c>
      <c r="G56" s="377" t="s">
        <v>30</v>
      </c>
      <c r="H56" s="407" t="s">
        <v>30</v>
      </c>
      <c r="I56" s="407">
        <f>I57+I86</f>
        <v>0</v>
      </c>
      <c r="J56" s="407">
        <f>J57+J86+J89</f>
        <v>-32897</v>
      </c>
      <c r="K56" s="377" t="s">
        <v>30</v>
      </c>
      <c r="L56" s="407" t="s">
        <v>30</v>
      </c>
      <c r="M56" s="407">
        <f>M57+M86</f>
        <v>0</v>
      </c>
      <c r="N56" s="377" t="s">
        <v>30</v>
      </c>
      <c r="O56" s="235">
        <f>O57+O86</f>
        <v>0</v>
      </c>
      <c r="P56" s="124">
        <f>P57+P86</f>
        <v>0</v>
      </c>
      <c r="Q56" s="125"/>
    </row>
    <row r="57" spans="1:17" s="213" customFormat="1" ht="27" x14ac:dyDescent="0.25">
      <c r="A57" s="147" t="s">
        <v>149</v>
      </c>
      <c r="B57" s="269"/>
      <c r="C57" s="270" t="s">
        <v>113</v>
      </c>
      <c r="D57" s="271"/>
      <c r="E57" s="272" t="s">
        <v>30</v>
      </c>
      <c r="F57" s="272">
        <f>SUM(F58:F85)</f>
        <v>8569795</v>
      </c>
      <c r="G57" s="378" t="s">
        <v>30</v>
      </c>
      <c r="H57" s="272" t="s">
        <v>30</v>
      </c>
      <c r="I57" s="272">
        <f>SUM(I58:I85)</f>
        <v>0</v>
      </c>
      <c r="J57" s="272">
        <f>SUM(J58:J85)</f>
        <v>4557</v>
      </c>
      <c r="K57" s="378" t="s">
        <v>30</v>
      </c>
      <c r="L57" s="272" t="s">
        <v>30</v>
      </c>
      <c r="M57" s="272">
        <f>SUM(M58:M85)</f>
        <v>0</v>
      </c>
      <c r="N57" s="378" t="s">
        <v>30</v>
      </c>
      <c r="O57" s="273">
        <f>SUM(O58:O85)</f>
        <v>0</v>
      </c>
      <c r="P57" s="121">
        <f>SUM(P58:P85)</f>
        <v>0</v>
      </c>
      <c r="Q57" s="212"/>
    </row>
    <row r="58" spans="1:17" s="19" customFormat="1" x14ac:dyDescent="0.2">
      <c r="A58" s="236"/>
      <c r="B58" s="236"/>
      <c r="C58" s="14" t="s">
        <v>272</v>
      </c>
      <c r="D58" s="237" t="s">
        <v>186</v>
      </c>
      <c r="E58" s="408">
        <v>0</v>
      </c>
      <c r="F58" s="405">
        <v>0</v>
      </c>
      <c r="G58" s="375"/>
      <c r="H58" s="405">
        <v>5389726</v>
      </c>
      <c r="I58" s="405"/>
      <c r="J58" s="405">
        <v>-41266</v>
      </c>
      <c r="K58" s="379">
        <v>0</v>
      </c>
      <c r="L58" s="408">
        <v>0</v>
      </c>
      <c r="M58" s="408">
        <v>0</v>
      </c>
      <c r="N58" s="379">
        <v>1</v>
      </c>
      <c r="O58" s="238"/>
      <c r="P58" s="238"/>
      <c r="Q58" s="14" t="s">
        <v>538</v>
      </c>
    </row>
    <row r="59" spans="1:17" s="19" customFormat="1" x14ac:dyDescent="0.2">
      <c r="A59" s="236"/>
      <c r="B59" s="236"/>
      <c r="C59" s="14" t="s">
        <v>592</v>
      </c>
      <c r="D59" s="237" t="s">
        <v>186</v>
      </c>
      <c r="E59" s="408">
        <v>0</v>
      </c>
      <c r="F59" s="405">
        <v>0</v>
      </c>
      <c r="G59" s="375">
        <v>0</v>
      </c>
      <c r="H59" s="405">
        <v>573876</v>
      </c>
      <c r="I59" s="405">
        <v>0</v>
      </c>
      <c r="J59" s="405">
        <v>45823</v>
      </c>
      <c r="K59" s="379">
        <v>0</v>
      </c>
      <c r="L59" s="408">
        <v>0</v>
      </c>
      <c r="M59" s="408">
        <v>0</v>
      </c>
      <c r="N59" s="379">
        <v>0</v>
      </c>
      <c r="O59" s="238"/>
      <c r="P59" s="238"/>
      <c r="Q59" s="14" t="s">
        <v>584</v>
      </c>
    </row>
    <row r="60" spans="1:17" s="117" customFormat="1" ht="38.25" x14ac:dyDescent="0.2">
      <c r="A60" s="159"/>
      <c r="B60" s="159"/>
      <c r="C60" s="14" t="s">
        <v>560</v>
      </c>
      <c r="D60" s="237" t="s">
        <v>186</v>
      </c>
      <c r="E60" s="408">
        <v>30317</v>
      </c>
      <c r="F60" s="408">
        <v>-700</v>
      </c>
      <c r="G60" s="379">
        <f>F60/E60</f>
        <v>-2.3089355806972984E-2</v>
      </c>
      <c r="H60" s="408">
        <v>0</v>
      </c>
      <c r="I60" s="408">
        <v>0</v>
      </c>
      <c r="J60" s="408">
        <v>0</v>
      </c>
      <c r="K60" s="379">
        <v>0</v>
      </c>
      <c r="L60" s="408">
        <v>0</v>
      </c>
      <c r="M60" s="408">
        <v>0</v>
      </c>
      <c r="N60" s="379">
        <v>0</v>
      </c>
      <c r="O60" s="238"/>
      <c r="P60" s="238"/>
      <c r="Q60" s="14"/>
    </row>
    <row r="61" spans="1:17" s="117" customFormat="1" ht="14.45" hidden="1" customHeight="1" x14ac:dyDescent="0.25">
      <c r="A61" s="159"/>
      <c r="B61" s="159"/>
      <c r="C61" s="125" t="s">
        <v>273</v>
      </c>
      <c r="D61" s="141" t="s">
        <v>186</v>
      </c>
      <c r="E61" s="406">
        <v>0</v>
      </c>
      <c r="F61" s="406">
        <v>0</v>
      </c>
      <c r="G61" s="379" t="e">
        <f t="shared" ref="G61:G78" si="2">F61/E61</f>
        <v>#DIV/0!</v>
      </c>
      <c r="H61" s="406">
        <v>0</v>
      </c>
      <c r="I61" s="406">
        <v>0</v>
      </c>
      <c r="J61" s="406">
        <v>0</v>
      </c>
      <c r="K61" s="376">
        <v>0</v>
      </c>
      <c r="L61" s="406">
        <v>0</v>
      </c>
      <c r="M61" s="408">
        <v>0</v>
      </c>
      <c r="N61" s="379">
        <v>0</v>
      </c>
      <c r="O61" s="238"/>
      <c r="P61" s="238"/>
      <c r="Q61" s="14"/>
    </row>
    <row r="62" spans="1:17" s="117" customFormat="1" ht="13.15" hidden="1" x14ac:dyDescent="0.25">
      <c r="A62" s="159"/>
      <c r="B62" s="159"/>
      <c r="C62" s="125" t="s">
        <v>197</v>
      </c>
      <c r="D62" s="141" t="s">
        <v>198</v>
      </c>
      <c r="E62" s="406">
        <v>0</v>
      </c>
      <c r="F62" s="406">
        <v>0</v>
      </c>
      <c r="G62" s="379" t="e">
        <f t="shared" si="2"/>
        <v>#DIV/0!</v>
      </c>
      <c r="H62" s="406">
        <v>0</v>
      </c>
      <c r="I62" s="406">
        <v>0</v>
      </c>
      <c r="J62" s="406">
        <v>0</v>
      </c>
      <c r="K62" s="376">
        <v>0</v>
      </c>
      <c r="L62" s="406">
        <v>0</v>
      </c>
      <c r="M62" s="408">
        <v>0</v>
      </c>
      <c r="N62" s="379">
        <v>0</v>
      </c>
      <c r="O62" s="238"/>
      <c r="P62" s="238"/>
      <c r="Q62" s="14" t="s">
        <v>527</v>
      </c>
    </row>
    <row r="63" spans="1:17" s="117" customFormat="1" ht="25.5" x14ac:dyDescent="0.2">
      <c r="A63" s="159"/>
      <c r="B63" s="159"/>
      <c r="C63" s="14" t="s">
        <v>566</v>
      </c>
      <c r="D63" s="237" t="s">
        <v>186</v>
      </c>
      <c r="E63" s="405">
        <v>6163</v>
      </c>
      <c r="F63" s="408">
        <v>3586477</v>
      </c>
      <c r="G63" s="379">
        <v>1</v>
      </c>
      <c r="H63" s="408">
        <v>0</v>
      </c>
      <c r="I63" s="408">
        <v>0</v>
      </c>
      <c r="J63" s="408">
        <v>0</v>
      </c>
      <c r="K63" s="379">
        <v>0</v>
      </c>
      <c r="L63" s="408">
        <v>0</v>
      </c>
      <c r="M63" s="408">
        <v>0</v>
      </c>
      <c r="N63" s="379">
        <v>0</v>
      </c>
      <c r="O63" s="238"/>
      <c r="P63" s="238"/>
      <c r="Q63" s="14"/>
    </row>
    <row r="64" spans="1:17" s="117" customFormat="1" ht="25.5" x14ac:dyDescent="0.2">
      <c r="A64" s="159"/>
      <c r="B64" s="159"/>
      <c r="C64" s="14" t="s">
        <v>565</v>
      </c>
      <c r="D64" s="237" t="s">
        <v>186</v>
      </c>
      <c r="E64" s="405">
        <v>0</v>
      </c>
      <c r="F64" s="408">
        <v>9040683</v>
      </c>
      <c r="G64" s="379">
        <v>1</v>
      </c>
      <c r="H64" s="408">
        <v>0</v>
      </c>
      <c r="I64" s="408">
        <v>0</v>
      </c>
      <c r="J64" s="408">
        <v>0</v>
      </c>
      <c r="K64" s="379">
        <v>0</v>
      </c>
      <c r="L64" s="408">
        <v>0</v>
      </c>
      <c r="M64" s="408">
        <v>0</v>
      </c>
      <c r="N64" s="379">
        <v>0</v>
      </c>
      <c r="O64" s="238"/>
      <c r="P64" s="238"/>
      <c r="Q64" s="14"/>
    </row>
    <row r="65" spans="1:17" s="117" customFormat="1" x14ac:dyDescent="0.2">
      <c r="A65" s="159"/>
      <c r="B65" s="159"/>
      <c r="C65" s="14" t="s">
        <v>532</v>
      </c>
      <c r="D65" s="237" t="s">
        <v>186</v>
      </c>
      <c r="E65" s="408">
        <v>1815852</v>
      </c>
      <c r="F65" s="408">
        <v>-30800</v>
      </c>
      <c r="G65" s="379">
        <f t="shared" si="2"/>
        <v>-1.6961734766930345E-2</v>
      </c>
      <c r="H65" s="408">
        <v>0</v>
      </c>
      <c r="I65" s="408">
        <v>0</v>
      </c>
      <c r="J65" s="408">
        <v>0</v>
      </c>
      <c r="K65" s="379">
        <v>0</v>
      </c>
      <c r="L65" s="408">
        <v>0</v>
      </c>
      <c r="M65" s="408">
        <v>0</v>
      </c>
      <c r="N65" s="379">
        <v>0</v>
      </c>
      <c r="O65" s="238"/>
      <c r="P65" s="238"/>
      <c r="Q65" s="14"/>
    </row>
    <row r="66" spans="1:17" s="117" customFormat="1" x14ac:dyDescent="0.2">
      <c r="A66" s="159"/>
      <c r="B66" s="159"/>
      <c r="C66" s="14" t="s">
        <v>531</v>
      </c>
      <c r="D66" s="237" t="s">
        <v>186</v>
      </c>
      <c r="E66" s="408">
        <v>630000</v>
      </c>
      <c r="F66" s="408">
        <v>-10000</v>
      </c>
      <c r="G66" s="379">
        <f t="shared" si="2"/>
        <v>-1.5873015873015872E-2</v>
      </c>
      <c r="H66" s="408">
        <v>0</v>
      </c>
      <c r="I66" s="408">
        <v>0</v>
      </c>
      <c r="J66" s="408">
        <v>0</v>
      </c>
      <c r="K66" s="379">
        <v>0</v>
      </c>
      <c r="L66" s="408">
        <v>0</v>
      </c>
      <c r="M66" s="408">
        <v>0</v>
      </c>
      <c r="N66" s="379">
        <v>0</v>
      </c>
      <c r="O66" s="238"/>
      <c r="P66" s="238"/>
      <c r="Q66" s="14"/>
    </row>
    <row r="67" spans="1:17" s="117" customFormat="1" ht="26.25" hidden="1" x14ac:dyDescent="0.25">
      <c r="A67" s="159"/>
      <c r="B67" s="159"/>
      <c r="C67" s="125" t="s">
        <v>535</v>
      </c>
      <c r="D67" s="141" t="s">
        <v>186</v>
      </c>
      <c r="E67" s="406">
        <v>0</v>
      </c>
      <c r="F67" s="406">
        <v>0</v>
      </c>
      <c r="G67" s="379" t="e">
        <f t="shared" si="2"/>
        <v>#DIV/0!</v>
      </c>
      <c r="H67" s="406">
        <v>0</v>
      </c>
      <c r="I67" s="406">
        <v>0</v>
      </c>
      <c r="J67" s="406">
        <v>0</v>
      </c>
      <c r="K67" s="376">
        <v>0</v>
      </c>
      <c r="L67" s="406">
        <v>0</v>
      </c>
      <c r="M67" s="408">
        <v>0</v>
      </c>
      <c r="N67" s="379">
        <v>0</v>
      </c>
      <c r="O67" s="238"/>
      <c r="P67" s="238"/>
      <c r="Q67" s="14"/>
    </row>
    <row r="68" spans="1:17" s="117" customFormat="1" ht="25.5" x14ac:dyDescent="0.2">
      <c r="A68" s="159"/>
      <c r="B68" s="159"/>
      <c r="C68" s="14" t="s">
        <v>563</v>
      </c>
      <c r="D68" s="237" t="s">
        <v>186</v>
      </c>
      <c r="E68" s="408">
        <v>1596448</v>
      </c>
      <c r="F68" s="408">
        <f>78919</f>
        <v>78919</v>
      </c>
      <c r="G68" s="379">
        <f t="shared" si="2"/>
        <v>4.9434118743610818E-2</v>
      </c>
      <c r="H68" s="408">
        <v>0</v>
      </c>
      <c r="I68" s="408"/>
      <c r="J68" s="408">
        <v>0</v>
      </c>
      <c r="K68" s="379">
        <v>0</v>
      </c>
      <c r="L68" s="408">
        <v>0</v>
      </c>
      <c r="M68" s="408">
        <v>0</v>
      </c>
      <c r="N68" s="379">
        <v>0</v>
      </c>
      <c r="O68" s="238"/>
      <c r="P68" s="238"/>
      <c r="Q68" s="14"/>
    </row>
    <row r="69" spans="1:17" s="117" customFormat="1" x14ac:dyDescent="0.2">
      <c r="A69" s="159"/>
      <c r="B69" s="159"/>
      <c r="C69" s="14" t="s">
        <v>533</v>
      </c>
      <c r="D69" s="237" t="s">
        <v>186</v>
      </c>
      <c r="E69" s="408">
        <v>15696961</v>
      </c>
      <c r="F69" s="408">
        <v>11448</v>
      </c>
      <c r="G69" s="379">
        <f t="shared" si="2"/>
        <v>7.2931314539164619E-4</v>
      </c>
      <c r="H69" s="408"/>
      <c r="I69" s="408"/>
      <c r="J69" s="408"/>
      <c r="K69" s="376"/>
      <c r="L69" s="406"/>
      <c r="M69" s="408"/>
      <c r="N69" s="379"/>
      <c r="O69" s="238"/>
      <c r="P69" s="238"/>
      <c r="Q69" s="14"/>
    </row>
    <row r="70" spans="1:17" s="117" customFormat="1" ht="25.5" x14ac:dyDescent="0.2">
      <c r="A70" s="159"/>
      <c r="B70" s="159"/>
      <c r="C70" s="14" t="s">
        <v>562</v>
      </c>
      <c r="D70" s="237" t="s">
        <v>186</v>
      </c>
      <c r="E70" s="408">
        <v>275038</v>
      </c>
      <c r="F70" s="408">
        <v>-68840</v>
      </c>
      <c r="G70" s="379">
        <f t="shared" si="2"/>
        <v>-0.25029268682872913</v>
      </c>
      <c r="H70" s="408">
        <v>0</v>
      </c>
      <c r="I70" s="408">
        <v>0</v>
      </c>
      <c r="J70" s="408">
        <v>0</v>
      </c>
      <c r="K70" s="379">
        <v>0</v>
      </c>
      <c r="L70" s="408">
        <v>0</v>
      </c>
      <c r="M70" s="408">
        <v>0</v>
      </c>
      <c r="N70" s="379">
        <v>0</v>
      </c>
      <c r="O70" s="238"/>
      <c r="P70" s="238"/>
      <c r="Q70" s="14"/>
    </row>
    <row r="71" spans="1:17" s="117" customFormat="1" ht="25.5" x14ac:dyDescent="0.2">
      <c r="A71" s="159"/>
      <c r="B71" s="159"/>
      <c r="C71" s="14" t="s">
        <v>208</v>
      </c>
      <c r="D71" s="237" t="s">
        <v>186</v>
      </c>
      <c r="E71" s="408">
        <v>89767705</v>
      </c>
      <c r="F71" s="408">
        <f>-620272-45823</f>
        <v>-666095</v>
      </c>
      <c r="G71" s="379">
        <f t="shared" si="2"/>
        <v>-7.4202075234072211E-3</v>
      </c>
      <c r="H71" s="408">
        <v>0</v>
      </c>
      <c r="I71" s="408">
        <v>0</v>
      </c>
      <c r="J71" s="408">
        <v>0</v>
      </c>
      <c r="K71" s="379">
        <v>0</v>
      </c>
      <c r="L71" s="408">
        <v>0</v>
      </c>
      <c r="M71" s="408">
        <v>0</v>
      </c>
      <c r="N71" s="379">
        <v>0</v>
      </c>
      <c r="O71" s="238"/>
      <c r="P71" s="238"/>
      <c r="Q71" s="14"/>
    </row>
    <row r="72" spans="1:17" s="117" customFormat="1" ht="25.5" x14ac:dyDescent="0.2">
      <c r="A72" s="159"/>
      <c r="B72" s="159"/>
      <c r="C72" s="14" t="s">
        <v>559</v>
      </c>
      <c r="D72" s="237" t="s">
        <v>186</v>
      </c>
      <c r="E72" s="408">
        <v>68101000</v>
      </c>
      <c r="F72" s="408">
        <v>-1372537</v>
      </c>
      <c r="G72" s="379">
        <f t="shared" si="2"/>
        <v>-2.0154432387189617E-2</v>
      </c>
      <c r="H72" s="408"/>
      <c r="I72" s="408"/>
      <c r="J72" s="408"/>
      <c r="K72" s="379"/>
      <c r="L72" s="408"/>
      <c r="M72" s="408"/>
      <c r="N72" s="379"/>
      <c r="O72" s="238"/>
      <c r="P72" s="238"/>
      <c r="Q72" s="14"/>
    </row>
    <row r="73" spans="1:17" s="117" customFormat="1" ht="25.5" x14ac:dyDescent="0.2">
      <c r="A73" s="159"/>
      <c r="B73" s="159"/>
      <c r="C73" s="14" t="s">
        <v>558</v>
      </c>
      <c r="D73" s="237" t="s">
        <v>186</v>
      </c>
      <c r="E73" s="408">
        <v>33985534</v>
      </c>
      <c r="F73" s="408">
        <v>-1553000</v>
      </c>
      <c r="G73" s="379">
        <f t="shared" si="2"/>
        <v>-4.5695912855157728E-2</v>
      </c>
      <c r="H73" s="408">
        <v>0</v>
      </c>
      <c r="I73" s="408">
        <v>0</v>
      </c>
      <c r="J73" s="408">
        <v>0</v>
      </c>
      <c r="K73" s="379">
        <v>0</v>
      </c>
      <c r="L73" s="408">
        <v>0</v>
      </c>
      <c r="M73" s="408">
        <v>0</v>
      </c>
      <c r="N73" s="379">
        <v>0</v>
      </c>
      <c r="O73" s="238"/>
      <c r="P73" s="238"/>
      <c r="Q73" s="14"/>
    </row>
    <row r="74" spans="1:17" s="117" customFormat="1" ht="25.5" x14ac:dyDescent="0.2">
      <c r="A74" s="159"/>
      <c r="B74" s="159"/>
      <c r="C74" s="14" t="s">
        <v>209</v>
      </c>
      <c r="D74" s="237" t="s">
        <v>186</v>
      </c>
      <c r="E74" s="408">
        <v>37253000</v>
      </c>
      <c r="F74" s="408">
        <v>-280000</v>
      </c>
      <c r="G74" s="379">
        <f t="shared" si="2"/>
        <v>-7.516173194105173E-3</v>
      </c>
      <c r="H74" s="408">
        <v>0</v>
      </c>
      <c r="I74" s="408">
        <v>0</v>
      </c>
      <c r="J74" s="408">
        <v>0</v>
      </c>
      <c r="K74" s="379">
        <v>0</v>
      </c>
      <c r="L74" s="408">
        <v>0</v>
      </c>
      <c r="M74" s="408">
        <v>0</v>
      </c>
      <c r="N74" s="379">
        <v>0</v>
      </c>
      <c r="O74" s="238"/>
      <c r="P74" s="238"/>
      <c r="Q74" s="14"/>
    </row>
    <row r="75" spans="1:17" s="117" customFormat="1" x14ac:dyDescent="0.2">
      <c r="A75" s="159"/>
      <c r="B75" s="159"/>
      <c r="C75" s="14" t="s">
        <v>210</v>
      </c>
      <c r="D75" s="237" t="s">
        <v>186</v>
      </c>
      <c r="E75" s="408">
        <v>19156800</v>
      </c>
      <c r="F75" s="408">
        <v>-315000</v>
      </c>
      <c r="G75" s="379">
        <f t="shared" si="2"/>
        <v>-1.6443247306439489E-2</v>
      </c>
      <c r="H75" s="408">
        <v>0</v>
      </c>
      <c r="I75" s="408">
        <v>0</v>
      </c>
      <c r="J75" s="408">
        <v>0</v>
      </c>
      <c r="K75" s="379">
        <v>0</v>
      </c>
      <c r="L75" s="408">
        <v>0</v>
      </c>
      <c r="M75" s="408">
        <v>0</v>
      </c>
      <c r="N75" s="379">
        <v>0</v>
      </c>
      <c r="O75" s="238"/>
      <c r="P75" s="238"/>
      <c r="Q75" s="14" t="s">
        <v>527</v>
      </c>
    </row>
    <row r="76" spans="1:17" s="117" customFormat="1" ht="13.15" hidden="1" x14ac:dyDescent="0.25">
      <c r="A76" s="159"/>
      <c r="B76" s="159"/>
      <c r="C76" s="125" t="s">
        <v>211</v>
      </c>
      <c r="D76" s="141" t="s">
        <v>186</v>
      </c>
      <c r="E76" s="406">
        <v>0</v>
      </c>
      <c r="F76" s="406">
        <v>0</v>
      </c>
      <c r="G76" s="379" t="e">
        <f t="shared" si="2"/>
        <v>#DIV/0!</v>
      </c>
      <c r="H76" s="406">
        <v>0</v>
      </c>
      <c r="I76" s="406">
        <v>0</v>
      </c>
      <c r="J76" s="406">
        <v>0</v>
      </c>
      <c r="K76" s="376">
        <v>0</v>
      </c>
      <c r="L76" s="406">
        <v>0</v>
      </c>
      <c r="M76" s="408">
        <v>0</v>
      </c>
      <c r="N76" s="379">
        <v>0</v>
      </c>
      <c r="O76" s="238"/>
      <c r="P76" s="238"/>
      <c r="Q76" s="14"/>
    </row>
    <row r="77" spans="1:17" s="117" customFormat="1" x14ac:dyDescent="0.2">
      <c r="A77" s="159"/>
      <c r="B77" s="159"/>
      <c r="C77" s="14" t="s">
        <v>564</v>
      </c>
      <c r="D77" s="237" t="s">
        <v>199</v>
      </c>
      <c r="E77" s="408">
        <v>16450279</v>
      </c>
      <c r="F77" s="408">
        <v>-437000</v>
      </c>
      <c r="G77" s="379">
        <f t="shared" si="2"/>
        <v>-2.6564898990466969E-2</v>
      </c>
      <c r="H77" s="408">
        <v>0</v>
      </c>
      <c r="I77" s="408">
        <v>0</v>
      </c>
      <c r="J77" s="408">
        <v>0</v>
      </c>
      <c r="K77" s="379">
        <v>0</v>
      </c>
      <c r="L77" s="408">
        <v>0</v>
      </c>
      <c r="M77" s="408">
        <v>0</v>
      </c>
      <c r="N77" s="379">
        <v>0</v>
      </c>
      <c r="O77" s="238"/>
      <c r="P77" s="238"/>
      <c r="Q77" s="14"/>
    </row>
    <row r="78" spans="1:17" s="117" customFormat="1" x14ac:dyDescent="0.2">
      <c r="A78" s="159"/>
      <c r="B78" s="159"/>
      <c r="C78" s="14" t="s">
        <v>561</v>
      </c>
      <c r="D78" s="237" t="s">
        <v>199</v>
      </c>
      <c r="E78" s="408">
        <v>4398600</v>
      </c>
      <c r="F78" s="408">
        <v>586240</v>
      </c>
      <c r="G78" s="379">
        <f t="shared" si="2"/>
        <v>0.13327877051789205</v>
      </c>
      <c r="H78" s="408">
        <v>0</v>
      </c>
      <c r="I78" s="408">
        <v>0</v>
      </c>
      <c r="J78" s="408">
        <v>0</v>
      </c>
      <c r="K78" s="379">
        <v>0</v>
      </c>
      <c r="L78" s="408">
        <v>0</v>
      </c>
      <c r="M78" s="408">
        <v>0</v>
      </c>
      <c r="N78" s="379">
        <v>0</v>
      </c>
      <c r="O78" s="238"/>
      <c r="P78" s="238"/>
      <c r="Q78" s="14"/>
    </row>
    <row r="79" spans="1:17" s="117" customFormat="1" ht="39.4" hidden="1" x14ac:dyDescent="0.25">
      <c r="A79" s="159"/>
      <c r="B79" s="159"/>
      <c r="C79" s="125" t="s">
        <v>232</v>
      </c>
      <c r="D79" s="141" t="s">
        <v>199</v>
      </c>
      <c r="E79" s="406">
        <v>0</v>
      </c>
      <c r="F79" s="406">
        <v>0</v>
      </c>
      <c r="G79" s="376">
        <v>0</v>
      </c>
      <c r="H79" s="406">
        <v>0</v>
      </c>
      <c r="I79" s="406">
        <v>0</v>
      </c>
      <c r="J79" s="406">
        <v>0</v>
      </c>
      <c r="K79" s="376">
        <v>0</v>
      </c>
      <c r="L79" s="406">
        <v>0</v>
      </c>
      <c r="M79" s="406">
        <v>0</v>
      </c>
      <c r="N79" s="376">
        <v>0</v>
      </c>
      <c r="O79" s="120"/>
      <c r="P79" s="120"/>
      <c r="Q79" s="125"/>
    </row>
    <row r="80" spans="1:17" s="117" customFormat="1" ht="13.15" hidden="1" x14ac:dyDescent="0.25">
      <c r="A80" s="159"/>
      <c r="B80" s="159"/>
      <c r="C80" s="125" t="s">
        <v>212</v>
      </c>
      <c r="D80" s="141" t="s">
        <v>198</v>
      </c>
      <c r="E80" s="406">
        <v>0</v>
      </c>
      <c r="F80" s="406">
        <v>0</v>
      </c>
      <c r="G80" s="376">
        <v>0</v>
      </c>
      <c r="H80" s="406">
        <v>0</v>
      </c>
      <c r="I80" s="406">
        <v>0</v>
      </c>
      <c r="J80" s="406">
        <v>0</v>
      </c>
      <c r="K80" s="376">
        <v>0</v>
      </c>
      <c r="L80" s="406">
        <v>0</v>
      </c>
      <c r="M80" s="406">
        <v>0</v>
      </c>
      <c r="N80" s="376">
        <v>0</v>
      </c>
      <c r="O80" s="120"/>
      <c r="P80" s="120"/>
      <c r="Q80" s="125"/>
    </row>
    <row r="81" spans="1:18" s="117" customFormat="1" ht="26.25" hidden="1" x14ac:dyDescent="0.25">
      <c r="A81" s="159"/>
      <c r="B81" s="159"/>
      <c r="C81" s="125" t="s">
        <v>213</v>
      </c>
      <c r="D81" s="141" t="s">
        <v>198</v>
      </c>
      <c r="E81" s="406">
        <v>0</v>
      </c>
      <c r="F81" s="406">
        <v>0</v>
      </c>
      <c r="G81" s="376">
        <v>0</v>
      </c>
      <c r="H81" s="406">
        <v>0</v>
      </c>
      <c r="I81" s="406">
        <v>0</v>
      </c>
      <c r="J81" s="406">
        <v>0</v>
      </c>
      <c r="K81" s="376">
        <v>0</v>
      </c>
      <c r="L81" s="406">
        <v>0</v>
      </c>
      <c r="M81" s="406">
        <v>0</v>
      </c>
      <c r="N81" s="376">
        <v>0</v>
      </c>
      <c r="O81" s="120"/>
      <c r="P81" s="120"/>
      <c r="Q81" s="125"/>
    </row>
    <row r="82" spans="1:18" s="117" customFormat="1" ht="13.15" hidden="1" x14ac:dyDescent="0.25">
      <c r="A82" s="159"/>
      <c r="B82" s="159"/>
      <c r="C82" s="125" t="s">
        <v>539</v>
      </c>
      <c r="D82" s="141" t="s">
        <v>198</v>
      </c>
      <c r="E82" s="406">
        <v>0</v>
      </c>
      <c r="F82" s="406">
        <v>0</v>
      </c>
      <c r="G82" s="376">
        <v>0</v>
      </c>
      <c r="H82" s="406">
        <v>0</v>
      </c>
      <c r="I82" s="406">
        <v>0</v>
      </c>
      <c r="J82" s="406">
        <v>0</v>
      </c>
      <c r="K82" s="376">
        <v>0</v>
      </c>
      <c r="L82" s="406">
        <v>0</v>
      </c>
      <c r="M82" s="406">
        <v>0</v>
      </c>
      <c r="N82" s="376">
        <v>0</v>
      </c>
      <c r="O82" s="120"/>
      <c r="P82" s="120"/>
      <c r="Q82" s="125"/>
    </row>
    <row r="83" spans="1:18" s="117" customFormat="1" ht="26.25" hidden="1" x14ac:dyDescent="0.25">
      <c r="A83" s="159"/>
      <c r="B83" s="159"/>
      <c r="C83" s="125" t="s">
        <v>214</v>
      </c>
      <c r="D83" s="141" t="s">
        <v>198</v>
      </c>
      <c r="E83" s="406"/>
      <c r="F83" s="406"/>
      <c r="G83" s="376" t="e">
        <f t="shared" ref="G83:G84" si="3">F83/E83</f>
        <v>#DIV/0!</v>
      </c>
      <c r="H83" s="406">
        <v>0</v>
      </c>
      <c r="I83" s="406">
        <v>0</v>
      </c>
      <c r="J83" s="406">
        <v>0</v>
      </c>
      <c r="K83" s="376">
        <v>0</v>
      </c>
      <c r="L83" s="406">
        <v>0</v>
      </c>
      <c r="M83" s="406">
        <v>0</v>
      </c>
      <c r="N83" s="376">
        <v>0</v>
      </c>
      <c r="O83" s="120"/>
      <c r="P83" s="120"/>
      <c r="Q83" s="125"/>
    </row>
    <row r="84" spans="1:18" s="117" customFormat="1" ht="13.15" hidden="1" x14ac:dyDescent="0.25">
      <c r="A84" s="159"/>
      <c r="B84" s="159"/>
      <c r="C84" s="125" t="s">
        <v>530</v>
      </c>
      <c r="D84" s="141" t="s">
        <v>198</v>
      </c>
      <c r="E84" s="406"/>
      <c r="F84" s="406"/>
      <c r="G84" s="376" t="e">
        <f t="shared" si="3"/>
        <v>#DIV/0!</v>
      </c>
      <c r="H84" s="406">
        <v>0</v>
      </c>
      <c r="I84" s="406">
        <v>0</v>
      </c>
      <c r="J84" s="406">
        <v>0</v>
      </c>
      <c r="K84" s="376">
        <v>0</v>
      </c>
      <c r="L84" s="406">
        <v>0</v>
      </c>
      <c r="M84" s="406">
        <v>0</v>
      </c>
      <c r="N84" s="376">
        <v>0</v>
      </c>
      <c r="O84" s="120"/>
      <c r="P84" s="120"/>
      <c r="Q84" s="125"/>
    </row>
    <row r="85" spans="1:18" s="117" customFormat="1" ht="13.15" hidden="1" x14ac:dyDescent="0.25">
      <c r="A85" s="159"/>
      <c r="B85" s="159"/>
      <c r="C85" s="125" t="s">
        <v>271</v>
      </c>
      <c r="D85" s="141"/>
      <c r="E85" s="406"/>
      <c r="F85" s="406"/>
      <c r="G85" s="376"/>
      <c r="H85" s="406"/>
      <c r="I85" s="406"/>
      <c r="J85" s="406"/>
      <c r="K85" s="376" t="e">
        <f>I85/H85</f>
        <v>#DIV/0!</v>
      </c>
      <c r="L85" s="406"/>
      <c r="M85" s="406"/>
      <c r="N85" s="376"/>
      <c r="O85" s="120"/>
      <c r="P85" s="120"/>
      <c r="Q85" s="125"/>
    </row>
    <row r="86" spans="1:18" s="19" customFormat="1" ht="25.5" x14ac:dyDescent="0.2">
      <c r="A86" s="323" t="s">
        <v>150</v>
      </c>
      <c r="B86" s="323"/>
      <c r="C86" s="324" t="s">
        <v>114</v>
      </c>
      <c r="D86" s="325"/>
      <c r="E86" s="412" t="s">
        <v>30</v>
      </c>
      <c r="F86" s="412">
        <f>SUM(F87:F88)</f>
        <v>0</v>
      </c>
      <c r="G86" s="382" t="s">
        <v>30</v>
      </c>
      <c r="H86" s="412" t="s">
        <v>30</v>
      </c>
      <c r="I86" s="412">
        <f>SUM(I87:I88)</f>
        <v>0</v>
      </c>
      <c r="J86" s="412">
        <f>SUM(J87:J88)</f>
        <v>-37454</v>
      </c>
      <c r="K86" s="382" t="s">
        <v>30</v>
      </c>
      <c r="L86" s="412" t="s">
        <v>30</v>
      </c>
      <c r="M86" s="412">
        <f>SUM(M87:M88)</f>
        <v>0</v>
      </c>
      <c r="N86" s="382" t="s">
        <v>30</v>
      </c>
      <c r="O86" s="326">
        <f>SUM(O87:O88)</f>
        <v>0</v>
      </c>
      <c r="P86" s="326">
        <f>SUM(P87:P88)</f>
        <v>0</v>
      </c>
      <c r="Q86" s="14"/>
    </row>
    <row r="87" spans="1:18" s="19" customFormat="1" x14ac:dyDescent="0.2">
      <c r="A87" s="236"/>
      <c r="B87" s="236"/>
      <c r="C87" s="14" t="s">
        <v>540</v>
      </c>
      <c r="D87" s="237" t="s">
        <v>180</v>
      </c>
      <c r="E87" s="408">
        <v>0</v>
      </c>
      <c r="F87" s="408">
        <v>0</v>
      </c>
      <c r="G87" s="379">
        <v>0</v>
      </c>
      <c r="H87" s="408">
        <v>525920</v>
      </c>
      <c r="I87" s="408"/>
      <c r="J87" s="408">
        <v>-37454</v>
      </c>
      <c r="K87" s="379">
        <f>I87/H87</f>
        <v>0</v>
      </c>
      <c r="L87" s="408">
        <v>0</v>
      </c>
      <c r="M87" s="408">
        <v>0</v>
      </c>
      <c r="N87" s="379">
        <v>0</v>
      </c>
      <c r="O87" s="238"/>
      <c r="P87" s="238"/>
      <c r="Q87" s="14"/>
    </row>
    <row r="88" spans="1:18" s="117" customFormat="1" ht="13.15" hidden="1" x14ac:dyDescent="0.25">
      <c r="A88" s="159"/>
      <c r="B88" s="159"/>
      <c r="C88" s="125"/>
      <c r="D88" s="141"/>
      <c r="E88" s="406"/>
      <c r="F88" s="406"/>
      <c r="G88" s="376"/>
      <c r="H88" s="406"/>
      <c r="I88" s="406"/>
      <c r="J88" s="406"/>
      <c r="K88" s="376"/>
      <c r="L88" s="406"/>
      <c r="M88" s="406"/>
      <c r="N88" s="376"/>
      <c r="O88" s="120"/>
      <c r="P88" s="120"/>
      <c r="Q88" s="125"/>
    </row>
    <row r="89" spans="1:18" s="117" customFormat="1" ht="13.15" hidden="1" x14ac:dyDescent="0.25">
      <c r="A89" s="146" t="s">
        <v>151</v>
      </c>
      <c r="B89" s="146" t="s">
        <v>151</v>
      </c>
      <c r="C89" s="233" t="s">
        <v>115</v>
      </c>
      <c r="D89" s="234" t="s">
        <v>252</v>
      </c>
      <c r="E89" s="407" t="s">
        <v>30</v>
      </c>
      <c r="F89" s="407">
        <f>F90+F91</f>
        <v>0</v>
      </c>
      <c r="G89" s="377" t="s">
        <v>30</v>
      </c>
      <c r="H89" s="407" t="s">
        <v>30</v>
      </c>
      <c r="I89" s="407">
        <f>I90+I91</f>
        <v>0</v>
      </c>
      <c r="J89" s="407">
        <f>J90+J91</f>
        <v>0</v>
      </c>
      <c r="K89" s="377" t="s">
        <v>30</v>
      </c>
      <c r="L89" s="407" t="s">
        <v>30</v>
      </c>
      <c r="M89" s="407">
        <f>M90+M91</f>
        <v>0</v>
      </c>
      <c r="N89" s="377" t="s">
        <v>30</v>
      </c>
      <c r="O89" s="235">
        <f>O90+O91</f>
        <v>0</v>
      </c>
      <c r="P89" s="124">
        <f>P90+P91</f>
        <v>0</v>
      </c>
      <c r="Q89" s="125"/>
    </row>
    <row r="90" spans="1:18" s="117" customFormat="1" ht="13.15" hidden="1" x14ac:dyDescent="0.25">
      <c r="A90" s="159"/>
      <c r="B90" s="159"/>
      <c r="C90" s="114"/>
      <c r="D90" s="237"/>
      <c r="E90" s="408"/>
      <c r="F90" s="408"/>
      <c r="G90" s="379"/>
      <c r="H90" s="408"/>
      <c r="I90" s="408"/>
      <c r="J90" s="408"/>
      <c r="K90" s="379"/>
      <c r="L90" s="408"/>
      <c r="M90" s="408"/>
      <c r="N90" s="379"/>
      <c r="O90" s="238"/>
      <c r="P90" s="120"/>
      <c r="Q90" s="125"/>
    </row>
    <row r="91" spans="1:18" s="117" customFormat="1" ht="13.15" hidden="1" x14ac:dyDescent="0.25">
      <c r="A91" s="159"/>
      <c r="B91" s="159"/>
      <c r="C91" s="127"/>
      <c r="D91" s="141"/>
      <c r="E91" s="406"/>
      <c r="F91" s="406"/>
      <c r="G91" s="376"/>
      <c r="H91" s="406"/>
      <c r="I91" s="406"/>
      <c r="J91" s="406"/>
      <c r="K91" s="376"/>
      <c r="L91" s="406"/>
      <c r="M91" s="406"/>
      <c r="N91" s="376"/>
      <c r="O91" s="120"/>
      <c r="P91" s="120"/>
      <c r="Q91" s="125"/>
    </row>
    <row r="92" spans="1:18" s="315" customFormat="1" ht="38.25" x14ac:dyDescent="0.2">
      <c r="A92" s="314" t="s">
        <v>152</v>
      </c>
      <c r="B92" s="232" t="s">
        <v>152</v>
      </c>
      <c r="C92" s="305" t="s">
        <v>116</v>
      </c>
      <c r="D92" s="297" t="s">
        <v>253</v>
      </c>
      <c r="E92" s="407" t="s">
        <v>30</v>
      </c>
      <c r="F92" s="407">
        <f>F93+F95+F97+F100</f>
        <v>0</v>
      </c>
      <c r="G92" s="377" t="s">
        <v>30</v>
      </c>
      <c r="H92" s="407" t="s">
        <v>30</v>
      </c>
      <c r="I92" s="407">
        <f>I93+I95+I97+I100</f>
        <v>-91536</v>
      </c>
      <c r="J92" s="407">
        <f>J93+J95+J97+J100</f>
        <v>-42206</v>
      </c>
      <c r="K92" s="377" t="s">
        <v>30</v>
      </c>
      <c r="L92" s="407" t="s">
        <v>30</v>
      </c>
      <c r="M92" s="407">
        <f>M93+M95+M97+M100</f>
        <v>0</v>
      </c>
      <c r="N92" s="377" t="s">
        <v>30</v>
      </c>
      <c r="O92" s="235">
        <f>O93+O95+O97+O100</f>
        <v>0</v>
      </c>
      <c r="P92" s="235">
        <f>P93+P95+P97+P100</f>
        <v>0</v>
      </c>
      <c r="Q92" s="312"/>
      <c r="R92" s="231"/>
    </row>
    <row r="93" spans="1:18" s="315" customFormat="1" ht="39.4" hidden="1" x14ac:dyDescent="0.25">
      <c r="A93" s="314" t="s">
        <v>153</v>
      </c>
      <c r="B93" s="227"/>
      <c r="C93" s="316" t="s">
        <v>117</v>
      </c>
      <c r="D93" s="317"/>
      <c r="E93" s="413" t="s">
        <v>30</v>
      </c>
      <c r="F93" s="413">
        <f>SUM(F94:F94)</f>
        <v>0</v>
      </c>
      <c r="G93" s="383" t="s">
        <v>30</v>
      </c>
      <c r="H93" s="413">
        <v>7</v>
      </c>
      <c r="I93" s="413">
        <f>SUM(I94:I94)</f>
        <v>0</v>
      </c>
      <c r="J93" s="413">
        <f>SUM(J94:J94)</f>
        <v>0</v>
      </c>
      <c r="K93" s="383" t="s">
        <v>30</v>
      </c>
      <c r="L93" s="413" t="s">
        <v>30</v>
      </c>
      <c r="M93" s="413">
        <f>SUM(M94:M94)</f>
        <v>0</v>
      </c>
      <c r="N93" s="383" t="s">
        <v>30</v>
      </c>
      <c r="O93" s="318">
        <f>SUM(O94:O94)</f>
        <v>0</v>
      </c>
      <c r="P93" s="318">
        <f>SUM(P94:P94)</f>
        <v>0</v>
      </c>
      <c r="Q93" s="240"/>
    </row>
    <row r="94" spans="1:18" s="315" customFormat="1" ht="26.25" hidden="1" x14ac:dyDescent="0.25">
      <c r="A94" s="314"/>
      <c r="B94" s="227"/>
      <c r="C94" s="310" t="s">
        <v>488</v>
      </c>
      <c r="D94" s="229"/>
      <c r="E94" s="405"/>
      <c r="F94" s="405"/>
      <c r="G94" s="375"/>
      <c r="H94" s="405"/>
      <c r="I94" s="405"/>
      <c r="J94" s="405"/>
      <c r="K94" s="375">
        <v>0</v>
      </c>
      <c r="L94" s="405"/>
      <c r="M94" s="405"/>
      <c r="N94" s="375"/>
      <c r="O94" s="230"/>
      <c r="P94" s="230"/>
      <c r="Q94" s="4"/>
    </row>
    <row r="95" spans="1:18" s="320" customFormat="1" ht="39.4" hidden="1" x14ac:dyDescent="0.25">
      <c r="A95" s="314" t="s">
        <v>154</v>
      </c>
      <c r="B95" s="227"/>
      <c r="C95" s="316" t="s">
        <v>118</v>
      </c>
      <c r="D95" s="317"/>
      <c r="E95" s="414" t="s">
        <v>30</v>
      </c>
      <c r="F95" s="414">
        <f>SUM(F96:F96)</f>
        <v>0</v>
      </c>
      <c r="G95" s="384" t="s">
        <v>30</v>
      </c>
      <c r="H95" s="414" t="s">
        <v>30</v>
      </c>
      <c r="I95" s="414">
        <f>SUM(I96:I96)</f>
        <v>0</v>
      </c>
      <c r="J95" s="414">
        <f>SUM(J96:J96)</f>
        <v>0</v>
      </c>
      <c r="K95" s="384" t="s">
        <v>30</v>
      </c>
      <c r="L95" s="414" t="s">
        <v>30</v>
      </c>
      <c r="M95" s="414">
        <f>SUM(M96:M96)</f>
        <v>0</v>
      </c>
      <c r="N95" s="384" t="s">
        <v>30</v>
      </c>
      <c r="O95" s="319">
        <f>SUM(O96:O96)</f>
        <v>0</v>
      </c>
      <c r="P95" s="319">
        <f>SUM(P96:P96)</f>
        <v>0</v>
      </c>
      <c r="Q95" s="240"/>
    </row>
    <row r="96" spans="1:18" s="19" customFormat="1" ht="26.25" hidden="1" x14ac:dyDescent="0.25">
      <c r="A96" s="236"/>
      <c r="B96" s="236"/>
      <c r="C96" s="306" t="s">
        <v>290</v>
      </c>
      <c r="D96" s="237" t="s">
        <v>184</v>
      </c>
      <c r="E96" s="408"/>
      <c r="F96" s="408"/>
      <c r="G96" s="379"/>
      <c r="H96" s="408"/>
      <c r="I96" s="408"/>
      <c r="J96" s="408"/>
      <c r="K96" s="379" t="e">
        <f>I96/H96</f>
        <v>#DIV/0!</v>
      </c>
      <c r="L96" s="408"/>
      <c r="M96" s="408"/>
      <c r="N96" s="379"/>
      <c r="O96" s="238"/>
      <c r="P96" s="238"/>
      <c r="Q96" s="14"/>
    </row>
    <row r="97" spans="1:17" s="308" customFormat="1" ht="39.4" hidden="1" x14ac:dyDescent="0.25">
      <c r="A97" s="269" t="s">
        <v>155</v>
      </c>
      <c r="B97" s="269"/>
      <c r="C97" s="321" t="s">
        <v>119</v>
      </c>
      <c r="D97" s="271"/>
      <c r="E97" s="272" t="s">
        <v>30</v>
      </c>
      <c r="F97" s="272">
        <f>SUM(F98:F99)</f>
        <v>0</v>
      </c>
      <c r="G97" s="378" t="s">
        <v>30</v>
      </c>
      <c r="H97" s="272" t="s">
        <v>30</v>
      </c>
      <c r="I97" s="272">
        <f>SUM(I98:I99)</f>
        <v>0</v>
      </c>
      <c r="J97" s="272">
        <f>SUM(J98:J99)</f>
        <v>0</v>
      </c>
      <c r="K97" s="378" t="s">
        <v>30</v>
      </c>
      <c r="L97" s="272" t="s">
        <v>30</v>
      </c>
      <c r="M97" s="272">
        <f>SUM(M99:M99)</f>
        <v>0</v>
      </c>
      <c r="N97" s="378" t="s">
        <v>30</v>
      </c>
      <c r="O97" s="272">
        <f>SUM(O99:O99)</f>
        <v>0</v>
      </c>
      <c r="P97" s="272">
        <f>SUM(P99:P99)</f>
        <v>0</v>
      </c>
      <c r="Q97" s="240"/>
    </row>
    <row r="98" spans="1:17" s="308" customFormat="1" ht="13.15" hidden="1" x14ac:dyDescent="0.25">
      <c r="A98" s="269"/>
      <c r="B98" s="269"/>
      <c r="C98" s="306" t="s">
        <v>360</v>
      </c>
      <c r="D98" s="237" t="s">
        <v>184</v>
      </c>
      <c r="E98" s="408"/>
      <c r="F98" s="408"/>
      <c r="G98" s="379"/>
      <c r="H98" s="408">
        <v>0</v>
      </c>
      <c r="I98" s="408"/>
      <c r="J98" s="408"/>
      <c r="K98" s="379">
        <v>1</v>
      </c>
      <c r="L98" s="408"/>
      <c r="M98" s="408"/>
      <c r="N98" s="379"/>
      <c r="O98" s="238"/>
      <c r="P98" s="238"/>
      <c r="Q98" s="322"/>
    </row>
    <row r="99" spans="1:17" s="308" customFormat="1" ht="26.25" hidden="1" x14ac:dyDescent="0.25">
      <c r="A99" s="269"/>
      <c r="B99" s="269"/>
      <c r="C99" s="306" t="s">
        <v>361</v>
      </c>
      <c r="D99" s="237" t="s">
        <v>184</v>
      </c>
      <c r="E99" s="408"/>
      <c r="F99" s="408"/>
      <c r="G99" s="379"/>
      <c r="H99" s="408"/>
      <c r="I99" s="408"/>
      <c r="J99" s="408"/>
      <c r="K99" s="379"/>
      <c r="L99" s="408"/>
      <c r="M99" s="408"/>
      <c r="N99" s="379" t="e">
        <f>M99/L99</f>
        <v>#DIV/0!</v>
      </c>
      <c r="O99" s="238"/>
      <c r="P99" s="238"/>
      <c r="Q99" s="14"/>
    </row>
    <row r="100" spans="1:17" s="308" customFormat="1" ht="40.5" x14ac:dyDescent="0.25">
      <c r="A100" s="269" t="s">
        <v>156</v>
      </c>
      <c r="B100" s="269"/>
      <c r="C100" s="321" t="s">
        <v>120</v>
      </c>
      <c r="D100" s="271"/>
      <c r="E100" s="272" t="s">
        <v>30</v>
      </c>
      <c r="F100" s="272">
        <f>SUM(F101:F101)</f>
        <v>0</v>
      </c>
      <c r="G100" s="378" t="s">
        <v>30</v>
      </c>
      <c r="H100" s="272" t="s">
        <v>30</v>
      </c>
      <c r="I100" s="272">
        <f>SUM(I101:I102)</f>
        <v>-91536</v>
      </c>
      <c r="J100" s="272">
        <f>SUM(J101:J102)</f>
        <v>-42206</v>
      </c>
      <c r="K100" s="378" t="s">
        <v>30</v>
      </c>
      <c r="L100" s="272" t="s">
        <v>30</v>
      </c>
      <c r="M100" s="272">
        <f>SUM(M101:M101)</f>
        <v>0</v>
      </c>
      <c r="N100" s="378" t="s">
        <v>30</v>
      </c>
      <c r="O100" s="273">
        <f>SUM(O101:O101)</f>
        <v>0</v>
      </c>
      <c r="P100" s="273">
        <f>SUM(P101:P101)</f>
        <v>0</v>
      </c>
      <c r="Q100" s="240"/>
    </row>
    <row r="101" spans="1:17" s="19" customFormat="1" ht="13.15" hidden="1" x14ac:dyDescent="0.25">
      <c r="A101" s="236"/>
      <c r="B101" s="236"/>
      <c r="C101" s="310" t="s">
        <v>294</v>
      </c>
      <c r="D101" s="237" t="s">
        <v>184</v>
      </c>
      <c r="E101" s="408">
        <v>0</v>
      </c>
      <c r="F101" s="408">
        <v>0</v>
      </c>
      <c r="G101" s="379">
        <v>0</v>
      </c>
      <c r="H101" s="408">
        <v>0</v>
      </c>
      <c r="I101" s="408">
        <v>-80000</v>
      </c>
      <c r="J101" s="408">
        <v>0</v>
      </c>
      <c r="K101" s="379">
        <v>0</v>
      </c>
      <c r="L101" s="408">
        <v>0</v>
      </c>
      <c r="M101" s="408">
        <v>0</v>
      </c>
      <c r="N101" s="379">
        <v>0</v>
      </c>
      <c r="O101" s="238"/>
      <c r="P101" s="238"/>
      <c r="Q101" s="14"/>
    </row>
    <row r="102" spans="1:17" s="19" customFormat="1" x14ac:dyDescent="0.2">
      <c r="A102" s="236"/>
      <c r="B102" s="236"/>
      <c r="C102" s="310" t="s">
        <v>491</v>
      </c>
      <c r="D102" s="237" t="s">
        <v>184</v>
      </c>
      <c r="E102" s="408">
        <v>0</v>
      </c>
      <c r="F102" s="408">
        <v>0</v>
      </c>
      <c r="G102" s="379">
        <v>0</v>
      </c>
      <c r="H102" s="408">
        <v>768464</v>
      </c>
      <c r="I102" s="408">
        <v>-11536</v>
      </c>
      <c r="J102" s="408">
        <v>-42206</v>
      </c>
      <c r="K102" s="379">
        <f>I102/H102</f>
        <v>-1.5011763726082159E-2</v>
      </c>
      <c r="L102" s="408">
        <v>0</v>
      </c>
      <c r="M102" s="408">
        <v>0</v>
      </c>
      <c r="N102" s="379">
        <v>0</v>
      </c>
      <c r="O102" s="238"/>
      <c r="P102" s="238"/>
      <c r="Q102" s="14" t="s">
        <v>489</v>
      </c>
    </row>
    <row r="103" spans="1:17" s="117" customFormat="1" ht="25.5" hidden="1" x14ac:dyDescent="0.25">
      <c r="A103" s="159"/>
      <c r="B103" s="146" t="s">
        <v>262</v>
      </c>
      <c r="C103" s="123" t="s">
        <v>452</v>
      </c>
      <c r="D103" s="142" t="s">
        <v>453</v>
      </c>
      <c r="E103" s="415" t="s">
        <v>30</v>
      </c>
      <c r="F103" s="415">
        <f>F104</f>
        <v>0</v>
      </c>
      <c r="G103" s="385" t="s">
        <v>30</v>
      </c>
      <c r="H103" s="415" t="s">
        <v>30</v>
      </c>
      <c r="I103" s="415">
        <f>I104</f>
        <v>0</v>
      </c>
      <c r="J103" s="415">
        <f>J104</f>
        <v>0</v>
      </c>
      <c r="K103" s="385" t="s">
        <v>30</v>
      </c>
      <c r="L103" s="415" t="s">
        <v>30</v>
      </c>
      <c r="M103" s="415">
        <f>M104</f>
        <v>0</v>
      </c>
      <c r="N103" s="385" t="s">
        <v>30</v>
      </c>
      <c r="O103" s="124">
        <f>O104</f>
        <v>0</v>
      </c>
      <c r="P103" s="124">
        <f>P104</f>
        <v>0</v>
      </c>
      <c r="Q103" s="125"/>
    </row>
    <row r="104" spans="1:17" s="117" customFormat="1" ht="13.15" hidden="1" x14ac:dyDescent="0.25">
      <c r="A104" s="159"/>
      <c r="B104" s="159"/>
      <c r="C104" s="122"/>
      <c r="D104" s="141"/>
      <c r="E104" s="406">
        <v>0</v>
      </c>
      <c r="F104" s="406"/>
      <c r="G104" s="376">
        <v>1</v>
      </c>
      <c r="H104" s="406"/>
      <c r="I104" s="406"/>
      <c r="J104" s="406"/>
      <c r="K104" s="376"/>
      <c r="L104" s="406"/>
      <c r="M104" s="406"/>
      <c r="N104" s="376"/>
      <c r="O104" s="120"/>
      <c r="P104" s="120"/>
      <c r="Q104" s="125"/>
    </row>
    <row r="105" spans="1:17" s="117" customFormat="1" ht="38.1" hidden="1" x14ac:dyDescent="0.25">
      <c r="A105" s="146" t="s">
        <v>157</v>
      </c>
      <c r="B105" s="146" t="s">
        <v>262</v>
      </c>
      <c r="C105" s="123" t="s">
        <v>121</v>
      </c>
      <c r="D105" s="142" t="s">
        <v>254</v>
      </c>
      <c r="E105" s="415" t="s">
        <v>30</v>
      </c>
      <c r="F105" s="415">
        <f>F106+F108+F110+F113</f>
        <v>0</v>
      </c>
      <c r="G105" s="385" t="s">
        <v>30</v>
      </c>
      <c r="H105" s="415" t="s">
        <v>30</v>
      </c>
      <c r="I105" s="415">
        <f>I106+I108+I110+I113</f>
        <v>0</v>
      </c>
      <c r="J105" s="415">
        <f>J106+J108+J110+J113</f>
        <v>0</v>
      </c>
      <c r="K105" s="385" t="s">
        <v>30</v>
      </c>
      <c r="L105" s="415" t="s">
        <v>30</v>
      </c>
      <c r="M105" s="415">
        <f>M106+M108+M110+M113</f>
        <v>0</v>
      </c>
      <c r="N105" s="385" t="s">
        <v>30</v>
      </c>
      <c r="O105" s="124">
        <f>O106+O108+O110</f>
        <v>0</v>
      </c>
      <c r="P105" s="124">
        <f>P106+P108+P110</f>
        <v>0</v>
      </c>
      <c r="Q105" s="125"/>
    </row>
    <row r="106" spans="1:17" s="117" customFormat="1" ht="26.25" hidden="1" x14ac:dyDescent="0.25">
      <c r="A106" s="148" t="s">
        <v>158</v>
      </c>
      <c r="B106" s="148"/>
      <c r="C106" s="155" t="s">
        <v>122</v>
      </c>
      <c r="D106" s="150"/>
      <c r="E106" s="410" t="s">
        <v>30</v>
      </c>
      <c r="F106" s="410">
        <f>SUM(F107:F107)</f>
        <v>0</v>
      </c>
      <c r="G106" s="380" t="s">
        <v>30</v>
      </c>
      <c r="H106" s="410" t="s">
        <v>30</v>
      </c>
      <c r="I106" s="410">
        <f>SUM(I107:I107)</f>
        <v>0</v>
      </c>
      <c r="J106" s="410">
        <f>SUM(J107:J107)</f>
        <v>0</v>
      </c>
      <c r="K106" s="380" t="s">
        <v>30</v>
      </c>
      <c r="L106" s="410" t="s">
        <v>30</v>
      </c>
      <c r="M106" s="410">
        <f>SUM(M107:M107)</f>
        <v>0</v>
      </c>
      <c r="N106" s="380" t="s">
        <v>30</v>
      </c>
      <c r="O106" s="140">
        <f>SUM(O107:O107)</f>
        <v>0</v>
      </c>
      <c r="P106" s="140">
        <f>SUM(P107:P107)</f>
        <v>0</v>
      </c>
      <c r="Q106" s="196"/>
    </row>
    <row r="107" spans="1:17" s="117" customFormat="1" ht="13.15" hidden="1" x14ac:dyDescent="0.25">
      <c r="A107" s="159"/>
      <c r="B107" s="159"/>
      <c r="C107" s="126"/>
      <c r="D107" s="141"/>
      <c r="E107" s="406"/>
      <c r="F107" s="406"/>
      <c r="G107" s="376"/>
      <c r="H107" s="406"/>
      <c r="I107" s="406"/>
      <c r="J107" s="406"/>
      <c r="K107" s="376"/>
      <c r="L107" s="406"/>
      <c r="M107" s="406"/>
      <c r="N107" s="376"/>
      <c r="O107" s="120"/>
      <c r="P107" s="120"/>
      <c r="Q107" s="125"/>
    </row>
    <row r="108" spans="1:17" s="213" customFormat="1" ht="26.25" hidden="1" x14ac:dyDescent="0.25">
      <c r="A108" s="147" t="s">
        <v>159</v>
      </c>
      <c r="B108" s="147"/>
      <c r="C108" s="156" t="s">
        <v>123</v>
      </c>
      <c r="D108" s="157"/>
      <c r="E108" s="416" t="s">
        <v>30</v>
      </c>
      <c r="F108" s="416">
        <f>SUM(F109:F109)</f>
        <v>0</v>
      </c>
      <c r="G108" s="386" t="s">
        <v>30</v>
      </c>
      <c r="H108" s="416" t="s">
        <v>30</v>
      </c>
      <c r="I108" s="416">
        <f>SUM(I109:I109)</f>
        <v>0</v>
      </c>
      <c r="J108" s="416">
        <f>SUM(J109:J109)</f>
        <v>0</v>
      </c>
      <c r="K108" s="386" t="s">
        <v>30</v>
      </c>
      <c r="L108" s="416" t="s">
        <v>30</v>
      </c>
      <c r="M108" s="416">
        <f>SUM(M109:M109)</f>
        <v>0</v>
      </c>
      <c r="N108" s="386" t="s">
        <v>30</v>
      </c>
      <c r="O108" s="121">
        <f>SUM(O109:O109)</f>
        <v>0</v>
      </c>
      <c r="P108" s="121">
        <f>SUM(P109:P109)</f>
        <v>0</v>
      </c>
      <c r="Q108" s="196"/>
    </row>
    <row r="109" spans="1:17" s="117" customFormat="1" ht="13.15" hidden="1" x14ac:dyDescent="0.25">
      <c r="A109" s="159"/>
      <c r="B109" s="159"/>
      <c r="C109" s="122" t="s">
        <v>196</v>
      </c>
      <c r="D109" s="141" t="s">
        <v>184</v>
      </c>
      <c r="E109" s="406">
        <v>0</v>
      </c>
      <c r="F109" s="406">
        <v>0</v>
      </c>
      <c r="G109" s="376">
        <v>0</v>
      </c>
      <c r="H109" s="406">
        <v>0</v>
      </c>
      <c r="I109" s="406">
        <v>0</v>
      </c>
      <c r="J109" s="406">
        <v>0</v>
      </c>
      <c r="K109" s="376">
        <v>0</v>
      </c>
      <c r="L109" s="406">
        <v>0</v>
      </c>
      <c r="M109" s="406"/>
      <c r="N109" s="376">
        <v>1</v>
      </c>
      <c r="O109" s="120">
        <v>0</v>
      </c>
      <c r="P109" s="120">
        <v>0</v>
      </c>
      <c r="Q109" s="125"/>
    </row>
    <row r="110" spans="1:17" s="117" customFormat="1" ht="26.25" hidden="1" x14ac:dyDescent="0.25">
      <c r="A110" s="148" t="s">
        <v>160</v>
      </c>
      <c r="B110" s="148"/>
      <c r="C110" s="156" t="s">
        <v>124</v>
      </c>
      <c r="D110" s="158"/>
      <c r="E110" s="410" t="s">
        <v>30</v>
      </c>
      <c r="F110" s="410">
        <f>SUM(F111:F112)</f>
        <v>0</v>
      </c>
      <c r="G110" s="380" t="s">
        <v>30</v>
      </c>
      <c r="H110" s="410" t="s">
        <v>30</v>
      </c>
      <c r="I110" s="410">
        <f>SUM(I111:I112)</f>
        <v>0</v>
      </c>
      <c r="J110" s="410">
        <f>SUM(J111:J112)</f>
        <v>0</v>
      </c>
      <c r="K110" s="380" t="s">
        <v>30</v>
      </c>
      <c r="L110" s="410" t="s">
        <v>30</v>
      </c>
      <c r="M110" s="410">
        <f>SUM(M111:M112)</f>
        <v>0</v>
      </c>
      <c r="N110" s="380" t="s">
        <v>30</v>
      </c>
      <c r="O110" s="140">
        <f>SUM(O111:O112)</f>
        <v>0</v>
      </c>
      <c r="P110" s="140">
        <f>SUM(P111:P112)</f>
        <v>0</v>
      </c>
      <c r="Q110" s="196"/>
    </row>
    <row r="111" spans="1:17" s="117" customFormat="1" ht="13.15" hidden="1" x14ac:dyDescent="0.25">
      <c r="A111" s="159"/>
      <c r="B111" s="159"/>
      <c r="C111" s="122"/>
      <c r="D111" s="141" t="s">
        <v>184</v>
      </c>
      <c r="E111" s="406"/>
      <c r="F111" s="406"/>
      <c r="G111" s="376"/>
      <c r="H111" s="406">
        <v>0</v>
      </c>
      <c r="I111" s="406">
        <v>0</v>
      </c>
      <c r="J111" s="406">
        <v>0</v>
      </c>
      <c r="K111" s="376" t="e">
        <f>I111/H111</f>
        <v>#DIV/0!</v>
      </c>
      <c r="L111" s="406"/>
      <c r="M111" s="406"/>
      <c r="N111" s="376"/>
      <c r="O111" s="120"/>
      <c r="P111" s="120"/>
      <c r="Q111" s="125"/>
    </row>
    <row r="112" spans="1:17" s="117" customFormat="1" ht="13.15" hidden="1" x14ac:dyDescent="0.25">
      <c r="A112" s="159"/>
      <c r="B112" s="159"/>
      <c r="C112" s="122"/>
      <c r="D112" s="141" t="s">
        <v>184</v>
      </c>
      <c r="E112" s="406"/>
      <c r="F112" s="406"/>
      <c r="G112" s="376"/>
      <c r="H112" s="406">
        <v>0</v>
      </c>
      <c r="I112" s="406">
        <v>0</v>
      </c>
      <c r="J112" s="406">
        <v>0</v>
      </c>
      <c r="K112" s="376" t="e">
        <f>I112/H112</f>
        <v>#DIV/0!</v>
      </c>
      <c r="L112" s="406"/>
      <c r="M112" s="406"/>
      <c r="N112" s="376"/>
      <c r="O112" s="120"/>
      <c r="P112" s="120"/>
      <c r="Q112" s="125"/>
    </row>
    <row r="113" spans="1:17" s="117" customFormat="1" ht="26.25" hidden="1" x14ac:dyDescent="0.25">
      <c r="A113" s="159"/>
      <c r="B113" s="159"/>
      <c r="C113" s="156" t="s">
        <v>223</v>
      </c>
      <c r="D113" s="157"/>
      <c r="E113" s="416" t="s">
        <v>30</v>
      </c>
      <c r="F113" s="416">
        <f>SUM(F114:F114)</f>
        <v>0</v>
      </c>
      <c r="G113" s="386" t="s">
        <v>30</v>
      </c>
      <c r="H113" s="416" t="s">
        <v>30</v>
      </c>
      <c r="I113" s="416">
        <f>SUM(I114:I114)</f>
        <v>0</v>
      </c>
      <c r="J113" s="416">
        <f>SUM(J114:J114)</f>
        <v>0</v>
      </c>
      <c r="K113" s="386" t="s">
        <v>30</v>
      </c>
      <c r="L113" s="416" t="s">
        <v>30</v>
      </c>
      <c r="M113" s="416">
        <f>SUM(M114:M114)</f>
        <v>0</v>
      </c>
      <c r="N113" s="386" t="s">
        <v>30</v>
      </c>
      <c r="O113" s="120"/>
      <c r="P113" s="120"/>
      <c r="Q113" s="125"/>
    </row>
    <row r="114" spans="1:17" s="117" customFormat="1" ht="13.15" hidden="1" x14ac:dyDescent="0.25">
      <c r="A114" s="159"/>
      <c r="B114" s="159"/>
      <c r="C114" s="122" t="s">
        <v>227</v>
      </c>
      <c r="D114" s="141" t="s">
        <v>184</v>
      </c>
      <c r="E114" s="406">
        <v>0</v>
      </c>
      <c r="F114" s="406"/>
      <c r="G114" s="376"/>
      <c r="H114" s="406">
        <v>0</v>
      </c>
      <c r="I114" s="406">
        <v>0</v>
      </c>
      <c r="J114" s="406">
        <v>0</v>
      </c>
      <c r="K114" s="376">
        <v>0</v>
      </c>
      <c r="L114" s="406">
        <v>0</v>
      </c>
      <c r="M114" s="406"/>
      <c r="N114" s="376">
        <v>1</v>
      </c>
      <c r="O114" s="120"/>
      <c r="P114" s="120"/>
      <c r="Q114" s="125"/>
    </row>
    <row r="115" spans="1:17" s="117" customFormat="1" ht="38.1" hidden="1" x14ac:dyDescent="0.25">
      <c r="A115" s="159"/>
      <c r="B115" s="146" t="s">
        <v>263</v>
      </c>
      <c r="C115" s="154" t="s">
        <v>362</v>
      </c>
      <c r="D115" s="142" t="s">
        <v>255</v>
      </c>
      <c r="E115" s="415" t="s">
        <v>30</v>
      </c>
      <c r="F115" s="415">
        <f>F116+F117</f>
        <v>0</v>
      </c>
      <c r="G115" s="385" t="s">
        <v>30</v>
      </c>
      <c r="H115" s="415" t="s">
        <v>30</v>
      </c>
      <c r="I115" s="415">
        <f>I116+I117</f>
        <v>0</v>
      </c>
      <c r="J115" s="415">
        <f>J116+J117</f>
        <v>0</v>
      </c>
      <c r="K115" s="385" t="s">
        <v>30</v>
      </c>
      <c r="L115" s="415" t="s">
        <v>30</v>
      </c>
      <c r="M115" s="415">
        <f>M116+M117</f>
        <v>0</v>
      </c>
      <c r="N115" s="385" t="s">
        <v>30</v>
      </c>
      <c r="O115" s="124">
        <f>O116+O117</f>
        <v>0</v>
      </c>
      <c r="P115" s="124">
        <f>P116+P117</f>
        <v>0</v>
      </c>
      <c r="Q115" s="125"/>
    </row>
    <row r="116" spans="1:17" s="117" customFormat="1" ht="26.25" hidden="1" x14ac:dyDescent="0.25">
      <c r="A116" s="159"/>
      <c r="B116" s="159"/>
      <c r="C116" s="127"/>
      <c r="D116" s="141" t="s">
        <v>207</v>
      </c>
      <c r="E116" s="406"/>
      <c r="F116" s="406"/>
      <c r="G116" s="376"/>
      <c r="H116" s="406"/>
      <c r="I116" s="406"/>
      <c r="J116" s="406"/>
      <c r="K116" s="376" t="e">
        <f>I116/H116</f>
        <v>#DIV/0!</v>
      </c>
      <c r="L116" s="406"/>
      <c r="M116" s="406"/>
      <c r="N116" s="376"/>
      <c r="O116" s="120"/>
      <c r="P116" s="120"/>
      <c r="Q116" s="125"/>
    </row>
    <row r="117" spans="1:17" s="117" customFormat="1" ht="13.15" hidden="1" x14ac:dyDescent="0.25">
      <c r="A117" s="159"/>
      <c r="B117" s="159"/>
      <c r="C117" s="127"/>
      <c r="D117" s="141"/>
      <c r="E117" s="406"/>
      <c r="F117" s="406"/>
      <c r="G117" s="376"/>
      <c r="H117" s="406"/>
      <c r="I117" s="406"/>
      <c r="J117" s="406"/>
      <c r="K117" s="376"/>
      <c r="L117" s="406"/>
      <c r="M117" s="406"/>
      <c r="N117" s="376"/>
      <c r="O117" s="120"/>
      <c r="P117" s="120"/>
      <c r="Q117" s="125"/>
    </row>
    <row r="118" spans="1:17" s="19" customFormat="1" ht="38.25" x14ac:dyDescent="0.2">
      <c r="A118" s="232" t="s">
        <v>161</v>
      </c>
      <c r="B118" s="232" t="s">
        <v>264</v>
      </c>
      <c r="C118" s="233" t="s">
        <v>126</v>
      </c>
      <c r="D118" s="234" t="s">
        <v>161</v>
      </c>
      <c r="E118" s="407" t="s">
        <v>30</v>
      </c>
      <c r="F118" s="407">
        <f>F119+F120</f>
        <v>0</v>
      </c>
      <c r="G118" s="377" t="s">
        <v>30</v>
      </c>
      <c r="H118" s="407" t="s">
        <v>30</v>
      </c>
      <c r="I118" s="407">
        <f>I119+I120</f>
        <v>-41350</v>
      </c>
      <c r="J118" s="407">
        <f>J119+J120</f>
        <v>-493431</v>
      </c>
      <c r="K118" s="377" t="s">
        <v>30</v>
      </c>
      <c r="L118" s="407" t="s">
        <v>30</v>
      </c>
      <c r="M118" s="407">
        <f>M119+M120</f>
        <v>0</v>
      </c>
      <c r="N118" s="377" t="s">
        <v>30</v>
      </c>
      <c r="O118" s="235">
        <f>O119+O120</f>
        <v>0</v>
      </c>
      <c r="P118" s="235">
        <f>P119+P120</f>
        <v>0</v>
      </c>
      <c r="Q118" s="14"/>
    </row>
    <row r="119" spans="1:17" s="19" customFormat="1" ht="38.25" x14ac:dyDescent="0.2">
      <c r="A119" s="236"/>
      <c r="B119" s="236"/>
      <c r="C119" s="114" t="s">
        <v>269</v>
      </c>
      <c r="D119" s="237" t="s">
        <v>207</v>
      </c>
      <c r="E119" s="408">
        <v>0</v>
      </c>
      <c r="F119" s="408">
        <v>0</v>
      </c>
      <c r="G119" s="379">
        <v>0</v>
      </c>
      <c r="H119" s="408">
        <f>645500+116529</f>
        <v>762029</v>
      </c>
      <c r="I119" s="408">
        <v>0</v>
      </c>
      <c r="J119" s="408">
        <f>-156691-4557+36456+187488-856127+300000</f>
        <v>-493431</v>
      </c>
      <c r="K119" s="379">
        <f>J119/H119</f>
        <v>-0.64752260084589952</v>
      </c>
      <c r="L119" s="408">
        <v>0</v>
      </c>
      <c r="M119" s="408">
        <v>0</v>
      </c>
      <c r="N119" s="379">
        <v>0</v>
      </c>
      <c r="O119" s="238"/>
      <c r="P119" s="238"/>
      <c r="Q119" s="14" t="s">
        <v>622</v>
      </c>
    </row>
    <row r="120" spans="1:17" s="19" customFormat="1" ht="26.25" hidden="1" x14ac:dyDescent="0.25">
      <c r="A120" s="236"/>
      <c r="B120" s="236"/>
      <c r="C120" s="114" t="s">
        <v>281</v>
      </c>
      <c r="D120" s="237" t="s">
        <v>207</v>
      </c>
      <c r="E120" s="408">
        <v>0</v>
      </c>
      <c r="F120" s="408">
        <v>0</v>
      </c>
      <c r="G120" s="379">
        <v>0</v>
      </c>
      <c r="H120" s="408">
        <v>0</v>
      </c>
      <c r="I120" s="408">
        <v>-41350</v>
      </c>
      <c r="J120" s="408">
        <v>0</v>
      </c>
      <c r="K120" s="379">
        <v>0</v>
      </c>
      <c r="L120" s="408">
        <v>0</v>
      </c>
      <c r="M120" s="408">
        <v>0</v>
      </c>
      <c r="N120" s="379">
        <v>0</v>
      </c>
      <c r="O120" s="238"/>
      <c r="P120" s="238"/>
      <c r="Q120" s="14" t="s">
        <v>490</v>
      </c>
    </row>
    <row r="121" spans="1:17" s="19" customFormat="1" ht="38.25" x14ac:dyDescent="0.2">
      <c r="A121" s="232" t="s">
        <v>162</v>
      </c>
      <c r="B121" s="232" t="s">
        <v>157</v>
      </c>
      <c r="C121" s="233" t="s">
        <v>127</v>
      </c>
      <c r="D121" s="234" t="s">
        <v>162</v>
      </c>
      <c r="E121" s="407" t="s">
        <v>30</v>
      </c>
      <c r="F121" s="407">
        <f>F122+F123</f>
        <v>0</v>
      </c>
      <c r="G121" s="377" t="s">
        <v>30</v>
      </c>
      <c r="H121" s="407" t="s">
        <v>30</v>
      </c>
      <c r="I121" s="407">
        <f>I122+I123</f>
        <v>-83602</v>
      </c>
      <c r="J121" s="407">
        <f>J122+J123</f>
        <v>-37174</v>
      </c>
      <c r="K121" s="377" t="s">
        <v>30</v>
      </c>
      <c r="L121" s="407" t="s">
        <v>30</v>
      </c>
      <c r="M121" s="407">
        <f>M122+M123</f>
        <v>0</v>
      </c>
      <c r="N121" s="377" t="s">
        <v>30</v>
      </c>
      <c r="O121" s="235">
        <f>O122+O123</f>
        <v>0</v>
      </c>
      <c r="P121" s="235">
        <f>P122+P123</f>
        <v>0</v>
      </c>
      <c r="Q121" s="240"/>
    </row>
    <row r="122" spans="1:17" s="19" customFormat="1" x14ac:dyDescent="0.2">
      <c r="A122" s="236"/>
      <c r="B122" s="236"/>
      <c r="C122" s="14" t="s">
        <v>282</v>
      </c>
      <c r="D122" s="237" t="s">
        <v>545</v>
      </c>
      <c r="E122" s="408">
        <v>0</v>
      </c>
      <c r="F122" s="408">
        <v>0</v>
      </c>
      <c r="G122" s="379">
        <v>0</v>
      </c>
      <c r="H122" s="405">
        <v>0</v>
      </c>
      <c r="I122" s="408">
        <v>-16035</v>
      </c>
      <c r="J122" s="408">
        <v>69000</v>
      </c>
      <c r="K122" s="379">
        <v>1</v>
      </c>
      <c r="L122" s="408">
        <v>0</v>
      </c>
      <c r="M122" s="408">
        <v>0</v>
      </c>
      <c r="N122" s="379">
        <v>0</v>
      </c>
      <c r="O122" s="238"/>
      <c r="P122" s="238"/>
      <c r="Q122" s="14" t="s">
        <v>608</v>
      </c>
    </row>
    <row r="123" spans="1:17" s="19" customFormat="1" ht="25.5" x14ac:dyDescent="0.2">
      <c r="A123" s="236"/>
      <c r="B123" s="236"/>
      <c r="C123" s="114" t="s">
        <v>336</v>
      </c>
      <c r="D123" s="237" t="s">
        <v>207</v>
      </c>
      <c r="E123" s="408">
        <v>0</v>
      </c>
      <c r="F123" s="408">
        <v>0</v>
      </c>
      <c r="G123" s="379">
        <v>0</v>
      </c>
      <c r="H123" s="408">
        <v>1866000</v>
      </c>
      <c r="I123" s="408">
        <v>-67567</v>
      </c>
      <c r="J123" s="408">
        <v>-106174</v>
      </c>
      <c r="K123" s="379">
        <f>I123/H123</f>
        <v>-3.6209539121114687E-2</v>
      </c>
      <c r="L123" s="408">
        <v>0</v>
      </c>
      <c r="M123" s="408">
        <v>0</v>
      </c>
      <c r="N123" s="379">
        <v>0</v>
      </c>
      <c r="O123" s="238"/>
      <c r="P123" s="238"/>
      <c r="Q123" s="14" t="s">
        <v>603</v>
      </c>
    </row>
    <row r="124" spans="1:17" s="117" customFormat="1" ht="50.45" hidden="1" x14ac:dyDescent="0.25">
      <c r="A124" s="146" t="s">
        <v>163</v>
      </c>
      <c r="B124" s="146" t="s">
        <v>255</v>
      </c>
      <c r="C124" s="154" t="s">
        <v>128</v>
      </c>
      <c r="D124" s="142" t="s">
        <v>163</v>
      </c>
      <c r="E124" s="415" t="s">
        <v>30</v>
      </c>
      <c r="F124" s="415">
        <f>F125+F126</f>
        <v>0</v>
      </c>
      <c r="G124" s="385" t="s">
        <v>30</v>
      </c>
      <c r="H124" s="415" t="s">
        <v>30</v>
      </c>
      <c r="I124" s="415">
        <f>I125+I126</f>
        <v>0</v>
      </c>
      <c r="J124" s="415">
        <f>J125+J126</f>
        <v>0</v>
      </c>
      <c r="K124" s="385" t="s">
        <v>30</v>
      </c>
      <c r="L124" s="415" t="s">
        <v>30</v>
      </c>
      <c r="M124" s="415">
        <f>M125+M126</f>
        <v>0</v>
      </c>
      <c r="N124" s="385" t="s">
        <v>30</v>
      </c>
      <c r="O124" s="124">
        <f>O125+O126</f>
        <v>0</v>
      </c>
      <c r="P124" s="124">
        <f>P125+P126</f>
        <v>0</v>
      </c>
      <c r="Q124" s="125"/>
    </row>
    <row r="125" spans="1:17" s="117" customFormat="1" ht="13.15" hidden="1" x14ac:dyDescent="0.25">
      <c r="A125" s="159"/>
      <c r="B125" s="159"/>
      <c r="C125" s="127" t="s">
        <v>182</v>
      </c>
      <c r="D125" s="141" t="s">
        <v>184</v>
      </c>
      <c r="E125" s="406">
        <v>0</v>
      </c>
      <c r="F125" s="406"/>
      <c r="G125" s="376">
        <v>1</v>
      </c>
      <c r="H125" s="406"/>
      <c r="I125" s="406"/>
      <c r="J125" s="406"/>
      <c r="K125" s="376"/>
      <c r="L125" s="406"/>
      <c r="M125" s="406"/>
      <c r="N125" s="376"/>
      <c r="O125" s="120"/>
      <c r="P125" s="120"/>
      <c r="Q125" s="125"/>
    </row>
    <row r="126" spans="1:17" s="117" customFormat="1" ht="13.15" hidden="1" x14ac:dyDescent="0.25">
      <c r="A126" s="159"/>
      <c r="B126" s="159"/>
      <c r="C126" s="127"/>
      <c r="D126" s="141"/>
      <c r="E126" s="406"/>
      <c r="F126" s="406"/>
      <c r="G126" s="376"/>
      <c r="H126" s="406"/>
      <c r="I126" s="406"/>
      <c r="J126" s="406"/>
      <c r="K126" s="376"/>
      <c r="L126" s="406"/>
      <c r="M126" s="406"/>
      <c r="N126" s="376"/>
      <c r="O126" s="120"/>
      <c r="P126" s="120"/>
      <c r="Q126" s="125"/>
    </row>
    <row r="127" spans="1:17" s="19" customFormat="1" ht="38.25" x14ac:dyDescent="0.2">
      <c r="A127" s="232" t="s">
        <v>164</v>
      </c>
      <c r="B127" s="232" t="s">
        <v>161</v>
      </c>
      <c r="C127" s="233" t="s">
        <v>129</v>
      </c>
      <c r="D127" s="234" t="s">
        <v>164</v>
      </c>
      <c r="E127" s="407" t="s">
        <v>30</v>
      </c>
      <c r="F127" s="407">
        <f>F128+F129</f>
        <v>0</v>
      </c>
      <c r="G127" s="377" t="s">
        <v>30</v>
      </c>
      <c r="H127" s="407" t="s">
        <v>30</v>
      </c>
      <c r="I127" s="407">
        <f>I128+I129</f>
        <v>0</v>
      </c>
      <c r="J127" s="407">
        <f>J128+J129</f>
        <v>0</v>
      </c>
      <c r="K127" s="377" t="s">
        <v>30</v>
      </c>
      <c r="L127" s="407" t="s">
        <v>30</v>
      </c>
      <c r="M127" s="407">
        <f>M128+M129</f>
        <v>-313</v>
      </c>
      <c r="N127" s="377" t="s">
        <v>30</v>
      </c>
      <c r="O127" s="235">
        <f>O128+O129</f>
        <v>0</v>
      </c>
      <c r="P127" s="235">
        <f>P128+P129</f>
        <v>0</v>
      </c>
      <c r="Q127" s="240"/>
    </row>
    <row r="128" spans="1:17" s="19" customFormat="1" x14ac:dyDescent="0.2">
      <c r="A128" s="236"/>
      <c r="B128" s="236"/>
      <c r="C128" s="114" t="s">
        <v>601</v>
      </c>
      <c r="D128" s="237" t="s">
        <v>184</v>
      </c>
      <c r="E128" s="408">
        <v>0</v>
      </c>
      <c r="F128" s="408">
        <v>0</v>
      </c>
      <c r="G128" s="379">
        <v>0</v>
      </c>
      <c r="H128" s="408">
        <v>0</v>
      </c>
      <c r="I128" s="408"/>
      <c r="J128" s="408">
        <v>0</v>
      </c>
      <c r="K128" s="379">
        <v>1</v>
      </c>
      <c r="L128" s="408">
        <v>180000</v>
      </c>
      <c r="M128" s="408">
        <v>-22</v>
      </c>
      <c r="N128" s="379">
        <f>M128/L128</f>
        <v>-1.2222222222222221E-4</v>
      </c>
      <c r="O128" s="238"/>
      <c r="P128" s="238"/>
      <c r="Q128" s="14" t="s">
        <v>490</v>
      </c>
    </row>
    <row r="129" spans="1:17" s="19" customFormat="1" x14ac:dyDescent="0.2">
      <c r="A129" s="236"/>
      <c r="B129" s="236"/>
      <c r="C129" s="114"/>
      <c r="D129" s="237"/>
      <c r="E129" s="408">
        <v>0</v>
      </c>
      <c r="F129" s="408">
        <v>0</v>
      </c>
      <c r="G129" s="379">
        <v>0</v>
      </c>
      <c r="H129" s="408">
        <v>0</v>
      </c>
      <c r="I129" s="408"/>
      <c r="J129" s="408">
        <v>0</v>
      </c>
      <c r="K129" s="379">
        <v>0</v>
      </c>
      <c r="L129" s="408">
        <v>109200</v>
      </c>
      <c r="M129" s="408">
        <v>-291</v>
      </c>
      <c r="N129" s="379">
        <f>M129/L129</f>
        <v>-2.664835164835165E-3</v>
      </c>
      <c r="O129" s="238"/>
      <c r="P129" s="238"/>
      <c r="Q129" s="14" t="s">
        <v>490</v>
      </c>
    </row>
    <row r="130" spans="1:17" s="117" customFormat="1" ht="38.25" x14ac:dyDescent="0.2">
      <c r="A130" s="146" t="s">
        <v>165</v>
      </c>
      <c r="B130" s="232" t="s">
        <v>162</v>
      </c>
      <c r="C130" s="305" t="s">
        <v>130</v>
      </c>
      <c r="D130" s="234" t="s">
        <v>165</v>
      </c>
      <c r="E130" s="407" t="s">
        <v>30</v>
      </c>
      <c r="F130" s="407">
        <f>SUM(F131:F132)</f>
        <v>0</v>
      </c>
      <c r="G130" s="377" t="s">
        <v>30</v>
      </c>
      <c r="H130" s="407" t="s">
        <v>30</v>
      </c>
      <c r="I130" s="407">
        <f>SUM(I131:I132)</f>
        <v>0</v>
      </c>
      <c r="J130" s="407">
        <f>SUM(J131:J132)</f>
        <v>0</v>
      </c>
      <c r="K130" s="377" t="s">
        <v>30</v>
      </c>
      <c r="L130" s="407" t="s">
        <v>30</v>
      </c>
      <c r="M130" s="407">
        <f>SUM(M131:M132)</f>
        <v>55305</v>
      </c>
      <c r="N130" s="377" t="s">
        <v>30</v>
      </c>
      <c r="O130" s="235">
        <f>SUM(O131:O132)</f>
        <v>0</v>
      </c>
      <c r="P130" s="235">
        <f>SUM(P131:P132)</f>
        <v>0</v>
      </c>
      <c r="Q130" s="240"/>
    </row>
    <row r="131" spans="1:17" s="117" customFormat="1" x14ac:dyDescent="0.2">
      <c r="A131" s="159"/>
      <c r="B131" s="236"/>
      <c r="C131" s="306" t="s">
        <v>286</v>
      </c>
      <c r="D131" s="237" t="s">
        <v>184</v>
      </c>
      <c r="E131" s="408">
        <v>0</v>
      </c>
      <c r="F131" s="408">
        <v>0</v>
      </c>
      <c r="G131" s="379">
        <v>0</v>
      </c>
      <c r="H131" s="408">
        <v>0</v>
      </c>
      <c r="I131" s="408"/>
      <c r="J131" s="408">
        <v>0</v>
      </c>
      <c r="K131" s="379">
        <v>0</v>
      </c>
      <c r="L131" s="405">
        <v>1165246</v>
      </c>
      <c r="M131" s="405">
        <v>55305</v>
      </c>
      <c r="N131" s="375">
        <f>M131/L131</f>
        <v>4.7462080968310554E-2</v>
      </c>
      <c r="O131" s="230"/>
      <c r="P131" s="230"/>
      <c r="Q131" s="4" t="s">
        <v>582</v>
      </c>
    </row>
    <row r="132" spans="1:17" s="117" customFormat="1" ht="13.15" hidden="1" x14ac:dyDescent="0.25">
      <c r="A132" s="159"/>
      <c r="B132" s="236"/>
      <c r="C132" s="306" t="s">
        <v>364</v>
      </c>
      <c r="D132" s="237" t="s">
        <v>184</v>
      </c>
      <c r="E132" s="408"/>
      <c r="F132" s="408"/>
      <c r="G132" s="379"/>
      <c r="H132" s="408"/>
      <c r="I132" s="408"/>
      <c r="J132" s="408"/>
      <c r="K132" s="379"/>
      <c r="L132" s="408">
        <v>0</v>
      </c>
      <c r="M132" s="408"/>
      <c r="N132" s="379"/>
      <c r="O132" s="238"/>
      <c r="P132" s="238"/>
      <c r="Q132" s="14"/>
    </row>
    <row r="133" spans="1:17" s="19" customFormat="1" ht="38.25" x14ac:dyDescent="0.2">
      <c r="A133" s="232" t="s">
        <v>166</v>
      </c>
      <c r="B133" s="232" t="s">
        <v>163</v>
      </c>
      <c r="C133" s="305" t="s">
        <v>131</v>
      </c>
      <c r="D133" s="297" t="s">
        <v>166</v>
      </c>
      <c r="E133" s="407" t="s">
        <v>30</v>
      </c>
      <c r="F133" s="407">
        <f>F134+F136+F140+F142</f>
        <v>0</v>
      </c>
      <c r="G133" s="377" t="s">
        <v>30</v>
      </c>
      <c r="H133" s="407" t="s">
        <v>30</v>
      </c>
      <c r="I133" s="407">
        <f>I134+I136+I140+I142</f>
        <v>0</v>
      </c>
      <c r="J133" s="407">
        <f>J134+J136+J140+J142</f>
        <v>0</v>
      </c>
      <c r="K133" s="377" t="s">
        <v>30</v>
      </c>
      <c r="L133" s="407" t="s">
        <v>30</v>
      </c>
      <c r="M133" s="407">
        <f>M134+M136+M140+M142</f>
        <v>3315000</v>
      </c>
      <c r="N133" s="377" t="s">
        <v>30</v>
      </c>
      <c r="O133" s="235">
        <f>O134+O136+O140+O142</f>
        <v>0</v>
      </c>
      <c r="P133" s="235">
        <f>P134+P136+P140+P142</f>
        <v>0</v>
      </c>
      <c r="Q133" s="14"/>
    </row>
    <row r="134" spans="1:17" s="213" customFormat="1" ht="39.4" hidden="1" x14ac:dyDescent="0.25">
      <c r="A134" s="147" t="s">
        <v>167</v>
      </c>
      <c r="B134" s="147"/>
      <c r="C134" s="215" t="s">
        <v>132</v>
      </c>
      <c r="D134" s="216"/>
      <c r="E134" s="411" t="s">
        <v>30</v>
      </c>
      <c r="F134" s="411">
        <f>SUM(F135:F135)</f>
        <v>0</v>
      </c>
      <c r="G134" s="381" t="s">
        <v>30</v>
      </c>
      <c r="H134" s="411" t="s">
        <v>30</v>
      </c>
      <c r="I134" s="411">
        <f>SUM(I135:I135)</f>
        <v>0</v>
      </c>
      <c r="J134" s="411">
        <f>SUM(J135:J135)</f>
        <v>0</v>
      </c>
      <c r="K134" s="381" t="s">
        <v>30</v>
      </c>
      <c r="L134" s="411" t="s">
        <v>30</v>
      </c>
      <c r="M134" s="411">
        <f>SUM(M135:M135)</f>
        <v>0</v>
      </c>
      <c r="N134" s="381" t="s">
        <v>30</v>
      </c>
      <c r="O134" s="121">
        <f>SUM(O135:O135)</f>
        <v>0</v>
      </c>
      <c r="P134" s="121">
        <f>SUM(P135:P135)</f>
        <v>0</v>
      </c>
      <c r="Q134" s="212"/>
    </row>
    <row r="135" spans="1:17" s="117" customFormat="1" ht="18" hidden="1" customHeight="1" x14ac:dyDescent="0.25">
      <c r="A135" s="159"/>
      <c r="B135" s="159"/>
      <c r="C135" s="211" t="s">
        <v>222</v>
      </c>
      <c r="D135" s="141" t="s">
        <v>184</v>
      </c>
      <c r="E135" s="406"/>
      <c r="F135" s="406"/>
      <c r="G135" s="376"/>
      <c r="H135" s="406"/>
      <c r="I135" s="406"/>
      <c r="J135" s="406"/>
      <c r="K135" s="376"/>
      <c r="L135" s="406">
        <v>0</v>
      </c>
      <c r="M135" s="406"/>
      <c r="N135" s="376">
        <v>1</v>
      </c>
      <c r="O135" s="120"/>
      <c r="P135" s="120"/>
      <c r="Q135" s="125"/>
    </row>
    <row r="136" spans="1:17" s="213" customFormat="1" ht="27" x14ac:dyDescent="0.25">
      <c r="A136" s="147" t="s">
        <v>168</v>
      </c>
      <c r="B136" s="269"/>
      <c r="C136" s="302" t="s">
        <v>133</v>
      </c>
      <c r="D136" s="303"/>
      <c r="E136" s="272" t="s">
        <v>30</v>
      </c>
      <c r="F136" s="272">
        <f>SUM(F137:F139)</f>
        <v>0</v>
      </c>
      <c r="G136" s="378" t="s">
        <v>30</v>
      </c>
      <c r="H136" s="272" t="s">
        <v>30</v>
      </c>
      <c r="I136" s="272">
        <f>SUM(I137:I139)</f>
        <v>0</v>
      </c>
      <c r="J136" s="272">
        <f>SUM(J137:J139)</f>
        <v>0</v>
      </c>
      <c r="K136" s="378" t="s">
        <v>30</v>
      </c>
      <c r="L136" s="272" t="s">
        <v>30</v>
      </c>
      <c r="M136" s="272">
        <f>SUM(M137:M139)</f>
        <v>1815000</v>
      </c>
      <c r="N136" s="378" t="s">
        <v>30</v>
      </c>
      <c r="O136" s="273">
        <f>SUM(O137:O139)</f>
        <v>0</v>
      </c>
      <c r="P136" s="273">
        <f>SUM(P137:P139)</f>
        <v>0</v>
      </c>
      <c r="Q136" s="240"/>
    </row>
    <row r="137" spans="1:17" s="117" customFormat="1" ht="25.5" x14ac:dyDescent="0.2">
      <c r="A137" s="159"/>
      <c r="B137" s="236"/>
      <c r="C137" s="301" t="s">
        <v>205</v>
      </c>
      <c r="D137" s="237" t="s">
        <v>184</v>
      </c>
      <c r="E137" s="408">
        <v>0</v>
      </c>
      <c r="F137" s="408">
        <v>0</v>
      </c>
      <c r="G137" s="379">
        <v>0</v>
      </c>
      <c r="H137" s="408">
        <v>0</v>
      </c>
      <c r="I137" s="408">
        <v>0</v>
      </c>
      <c r="J137" s="408">
        <v>0</v>
      </c>
      <c r="K137" s="379">
        <v>0</v>
      </c>
      <c r="L137" s="408">
        <v>27184500</v>
      </c>
      <c r="M137" s="405">
        <v>1815000</v>
      </c>
      <c r="N137" s="379">
        <f>M137/L137</f>
        <v>6.676598797108646E-2</v>
      </c>
      <c r="O137" s="238">
        <v>0</v>
      </c>
      <c r="P137" s="238"/>
      <c r="Q137" s="4" t="s">
        <v>606</v>
      </c>
    </row>
    <row r="138" spans="1:17" s="117" customFormat="1" ht="13.15" hidden="1" x14ac:dyDescent="0.25">
      <c r="A138" s="159"/>
      <c r="B138" s="236"/>
      <c r="C138" s="301"/>
      <c r="D138" s="237" t="s">
        <v>184</v>
      </c>
      <c r="E138" s="408"/>
      <c r="F138" s="408"/>
      <c r="G138" s="379"/>
      <c r="H138" s="408"/>
      <c r="I138" s="408"/>
      <c r="J138" s="408"/>
      <c r="K138" s="379"/>
      <c r="L138" s="408"/>
      <c r="M138" s="405"/>
      <c r="N138" s="379" t="e">
        <f>M138/L138</f>
        <v>#DIV/0!</v>
      </c>
      <c r="O138" s="238"/>
      <c r="P138" s="238"/>
      <c r="Q138" s="304"/>
    </row>
    <row r="139" spans="1:17" s="117" customFormat="1" ht="13.15" hidden="1" x14ac:dyDescent="0.25">
      <c r="A139" s="159"/>
      <c r="B139" s="236"/>
      <c r="C139" s="301"/>
      <c r="D139" s="237" t="s">
        <v>184</v>
      </c>
      <c r="E139" s="408"/>
      <c r="F139" s="408"/>
      <c r="G139" s="379"/>
      <c r="H139" s="408"/>
      <c r="I139" s="408"/>
      <c r="J139" s="408"/>
      <c r="K139" s="379"/>
      <c r="L139" s="408"/>
      <c r="M139" s="405"/>
      <c r="N139" s="379">
        <v>1</v>
      </c>
      <c r="O139" s="238"/>
      <c r="P139" s="238"/>
      <c r="Q139" s="304"/>
    </row>
    <row r="140" spans="1:17" s="117" customFormat="1" ht="54" x14ac:dyDescent="0.25">
      <c r="A140" s="159"/>
      <c r="B140" s="236"/>
      <c r="C140" s="302" t="s">
        <v>220</v>
      </c>
      <c r="D140" s="303"/>
      <c r="E140" s="272" t="s">
        <v>30</v>
      </c>
      <c r="F140" s="272">
        <f>SUM(F141:F141)</f>
        <v>0</v>
      </c>
      <c r="G140" s="378" t="s">
        <v>30</v>
      </c>
      <c r="H140" s="272" t="s">
        <v>30</v>
      </c>
      <c r="I140" s="272">
        <f>SUM(I141:I141)</f>
        <v>0</v>
      </c>
      <c r="J140" s="272">
        <f>SUM(J141:J141)</f>
        <v>0</v>
      </c>
      <c r="K140" s="378" t="s">
        <v>30</v>
      </c>
      <c r="L140" s="272" t="s">
        <v>30</v>
      </c>
      <c r="M140" s="272">
        <f>SUM(M141:M141)</f>
        <v>1500000</v>
      </c>
      <c r="N140" s="378" t="s">
        <v>30</v>
      </c>
      <c r="O140" s="273">
        <f>SUM(O141:O141)</f>
        <v>0</v>
      </c>
      <c r="P140" s="273">
        <f>SUM(P141:P141)</f>
        <v>0</v>
      </c>
      <c r="Q140" s="304"/>
    </row>
    <row r="141" spans="1:17" s="117" customFormat="1" ht="25.5" x14ac:dyDescent="0.2">
      <c r="A141" s="159"/>
      <c r="B141" s="236"/>
      <c r="C141" s="301" t="s">
        <v>62</v>
      </c>
      <c r="D141" s="237" t="s">
        <v>184</v>
      </c>
      <c r="E141" s="408">
        <v>0</v>
      </c>
      <c r="F141" s="408">
        <v>0</v>
      </c>
      <c r="G141" s="379">
        <v>0</v>
      </c>
      <c r="H141" s="408">
        <v>0</v>
      </c>
      <c r="I141" s="408"/>
      <c r="J141" s="408">
        <v>0</v>
      </c>
      <c r="K141" s="379">
        <v>0</v>
      </c>
      <c r="L141" s="408">
        <v>6985700</v>
      </c>
      <c r="M141" s="408">
        <v>1500000</v>
      </c>
      <c r="N141" s="379">
        <f>M141/L141</f>
        <v>0.21472436548949997</v>
      </c>
      <c r="O141" s="238"/>
      <c r="P141" s="238"/>
      <c r="Q141" s="304" t="s">
        <v>607</v>
      </c>
    </row>
    <row r="142" spans="1:17" s="117" customFormat="1" ht="26.25" hidden="1" x14ac:dyDescent="0.25">
      <c r="A142" s="159"/>
      <c r="B142" s="159"/>
      <c r="C142" s="215" t="s">
        <v>221</v>
      </c>
      <c r="D142" s="216"/>
      <c r="E142" s="411" t="s">
        <v>30</v>
      </c>
      <c r="F142" s="411">
        <f>SUM(F143:F143)</f>
        <v>0</v>
      </c>
      <c r="G142" s="381" t="s">
        <v>30</v>
      </c>
      <c r="H142" s="411" t="s">
        <v>30</v>
      </c>
      <c r="I142" s="411">
        <f>SUM(I143:I143)</f>
        <v>0</v>
      </c>
      <c r="J142" s="411">
        <f>SUM(J143:J143)</f>
        <v>0</v>
      </c>
      <c r="K142" s="381" t="s">
        <v>30</v>
      </c>
      <c r="L142" s="411" t="s">
        <v>30</v>
      </c>
      <c r="M142" s="411">
        <f>SUM(M143:M143)</f>
        <v>0</v>
      </c>
      <c r="N142" s="381" t="s">
        <v>30</v>
      </c>
      <c r="O142" s="121">
        <f>SUM(O143:O143)</f>
        <v>0</v>
      </c>
      <c r="P142" s="121">
        <f>SUM(P143:P143)</f>
        <v>0</v>
      </c>
      <c r="Q142" s="217"/>
    </row>
    <row r="143" spans="1:17" s="117" customFormat="1" ht="13.15" hidden="1" x14ac:dyDescent="0.25">
      <c r="A143" s="159"/>
      <c r="B143" s="159"/>
      <c r="C143" s="211" t="s">
        <v>456</v>
      </c>
      <c r="D143" s="141" t="s">
        <v>184</v>
      </c>
      <c r="E143" s="406"/>
      <c r="F143" s="406"/>
      <c r="G143" s="376"/>
      <c r="H143" s="406"/>
      <c r="I143" s="406"/>
      <c r="J143" s="406"/>
      <c r="K143" s="376"/>
      <c r="L143" s="406">
        <v>0</v>
      </c>
      <c r="M143" s="406"/>
      <c r="N143" s="376">
        <v>1</v>
      </c>
      <c r="O143" s="120"/>
      <c r="P143" s="120"/>
      <c r="Q143" s="217"/>
    </row>
    <row r="144" spans="1:17" ht="38.25" x14ac:dyDescent="0.2">
      <c r="A144" s="274" t="s">
        <v>169</v>
      </c>
      <c r="B144" s="274" t="s">
        <v>164</v>
      </c>
      <c r="C144" s="275" t="s">
        <v>134</v>
      </c>
      <c r="D144" s="276" t="s">
        <v>169</v>
      </c>
      <c r="E144" s="417" t="s">
        <v>30</v>
      </c>
      <c r="F144" s="417">
        <f>F145+F146</f>
        <v>0</v>
      </c>
      <c r="G144" s="387" t="s">
        <v>30</v>
      </c>
      <c r="H144" s="417" t="s">
        <v>30</v>
      </c>
      <c r="I144" s="417">
        <f>I145+I146</f>
        <v>-50000</v>
      </c>
      <c r="J144" s="417">
        <f>J145+J146</f>
        <v>-26180</v>
      </c>
      <c r="K144" s="387" t="s">
        <v>30</v>
      </c>
      <c r="L144" s="417" t="s">
        <v>30</v>
      </c>
      <c r="M144" s="417">
        <f>M145+M146</f>
        <v>0</v>
      </c>
      <c r="N144" s="387" t="s">
        <v>30</v>
      </c>
      <c r="O144" s="277">
        <f>O145+O146</f>
        <v>0</v>
      </c>
      <c r="P144" s="277">
        <f>P145+P146</f>
        <v>0</v>
      </c>
      <c r="Q144" s="278"/>
    </row>
    <row r="145" spans="1:17" ht="13.15" hidden="1" x14ac:dyDescent="0.25">
      <c r="A145" s="201"/>
      <c r="B145" s="201"/>
      <c r="C145" s="279" t="s">
        <v>338</v>
      </c>
      <c r="D145" s="280" t="s">
        <v>184</v>
      </c>
      <c r="E145" s="418">
        <v>0</v>
      </c>
      <c r="F145" s="418">
        <v>0</v>
      </c>
      <c r="G145" s="388">
        <v>0</v>
      </c>
      <c r="H145" s="418">
        <v>0</v>
      </c>
      <c r="I145" s="418"/>
      <c r="J145" s="418">
        <v>0</v>
      </c>
      <c r="K145" s="388">
        <v>0</v>
      </c>
      <c r="L145" s="418">
        <v>0</v>
      </c>
      <c r="M145" s="418">
        <v>0</v>
      </c>
      <c r="N145" s="388">
        <v>0</v>
      </c>
      <c r="O145" s="202"/>
      <c r="P145" s="202"/>
      <c r="Q145" s="203"/>
    </row>
    <row r="146" spans="1:17" x14ac:dyDescent="0.2">
      <c r="A146" s="201"/>
      <c r="B146" s="201"/>
      <c r="C146" s="279" t="s">
        <v>335</v>
      </c>
      <c r="D146" s="280"/>
      <c r="E146" s="418">
        <v>0</v>
      </c>
      <c r="F146" s="418">
        <v>0</v>
      </c>
      <c r="G146" s="388">
        <v>0</v>
      </c>
      <c r="H146" s="418">
        <v>246021</v>
      </c>
      <c r="I146" s="418">
        <v>-50000</v>
      </c>
      <c r="J146" s="418">
        <v>-26180</v>
      </c>
      <c r="K146" s="388">
        <f>I146/H146</f>
        <v>-0.20323468321809926</v>
      </c>
      <c r="L146" s="418">
        <v>0</v>
      </c>
      <c r="M146" s="418">
        <v>0</v>
      </c>
      <c r="N146" s="388">
        <v>0</v>
      </c>
      <c r="O146" s="202"/>
      <c r="P146" s="202"/>
      <c r="Q146" s="203" t="s">
        <v>490</v>
      </c>
    </row>
    <row r="147" spans="1:17" s="117" customFormat="1" ht="25.5" hidden="1" x14ac:dyDescent="0.25">
      <c r="A147" s="146" t="s">
        <v>170</v>
      </c>
      <c r="B147" s="146" t="s">
        <v>165</v>
      </c>
      <c r="C147" s="123" t="s">
        <v>135</v>
      </c>
      <c r="D147" s="214" t="s">
        <v>170</v>
      </c>
      <c r="E147" s="415" t="s">
        <v>30</v>
      </c>
      <c r="F147" s="415">
        <f>F148+F149</f>
        <v>0</v>
      </c>
      <c r="G147" s="385" t="s">
        <v>30</v>
      </c>
      <c r="H147" s="415" t="s">
        <v>30</v>
      </c>
      <c r="I147" s="415">
        <f>I148+I149</f>
        <v>0</v>
      </c>
      <c r="J147" s="415">
        <f>J148+J149</f>
        <v>0</v>
      </c>
      <c r="K147" s="385" t="s">
        <v>30</v>
      </c>
      <c r="L147" s="415" t="s">
        <v>30</v>
      </c>
      <c r="M147" s="415">
        <f>M148+M149</f>
        <v>0</v>
      </c>
      <c r="N147" s="385" t="s">
        <v>30</v>
      </c>
      <c r="O147" s="124">
        <f>O148+O149</f>
        <v>0</v>
      </c>
      <c r="P147" s="124">
        <f>P148+P149</f>
        <v>0</v>
      </c>
      <c r="Q147" s="125"/>
    </row>
    <row r="148" spans="1:17" s="117" customFormat="1" ht="26.25" hidden="1" x14ac:dyDescent="0.25">
      <c r="A148" s="159"/>
      <c r="B148" s="159"/>
      <c r="C148" s="122" t="s">
        <v>177</v>
      </c>
      <c r="D148" s="141" t="s">
        <v>184</v>
      </c>
      <c r="E148" s="406"/>
      <c r="F148" s="406"/>
      <c r="G148" s="376"/>
      <c r="H148" s="406"/>
      <c r="I148" s="406"/>
      <c r="J148" s="406"/>
      <c r="K148" s="376"/>
      <c r="L148" s="406"/>
      <c r="M148" s="406"/>
      <c r="N148" s="376">
        <v>-1</v>
      </c>
      <c r="O148" s="120"/>
      <c r="P148" s="120"/>
      <c r="Q148" s="125"/>
    </row>
    <row r="149" spans="1:17" s="117" customFormat="1" ht="13.15" hidden="1" x14ac:dyDescent="0.25">
      <c r="A149" s="159"/>
      <c r="B149" s="159"/>
      <c r="C149" s="122"/>
      <c r="D149" s="218"/>
      <c r="E149" s="406"/>
      <c r="F149" s="406"/>
      <c r="G149" s="376"/>
      <c r="H149" s="406"/>
      <c r="I149" s="406"/>
      <c r="J149" s="406"/>
      <c r="K149" s="376"/>
      <c r="L149" s="406"/>
      <c r="M149" s="406"/>
      <c r="N149" s="376"/>
      <c r="O149" s="120"/>
      <c r="P149" s="120"/>
      <c r="Q149" s="125"/>
    </row>
    <row r="150" spans="1:17" s="117" customFormat="1" ht="25.5" hidden="1" x14ac:dyDescent="0.25">
      <c r="A150" s="146" t="s">
        <v>171</v>
      </c>
      <c r="B150" s="146" t="s">
        <v>265</v>
      </c>
      <c r="C150" s="123" t="s">
        <v>125</v>
      </c>
      <c r="D150" s="214" t="s">
        <v>171</v>
      </c>
      <c r="E150" s="415" t="s">
        <v>30</v>
      </c>
      <c r="F150" s="415">
        <f>F151</f>
        <v>0</v>
      </c>
      <c r="G150" s="385" t="s">
        <v>30</v>
      </c>
      <c r="H150" s="415" t="s">
        <v>30</v>
      </c>
      <c r="I150" s="415">
        <f>I151</f>
        <v>0</v>
      </c>
      <c r="J150" s="415">
        <f>J151</f>
        <v>0</v>
      </c>
      <c r="K150" s="385" t="s">
        <v>30</v>
      </c>
      <c r="L150" s="415" t="s">
        <v>30</v>
      </c>
      <c r="M150" s="415">
        <f>M151</f>
        <v>0</v>
      </c>
      <c r="N150" s="385" t="s">
        <v>30</v>
      </c>
      <c r="O150" s="124">
        <f>O151</f>
        <v>0</v>
      </c>
      <c r="P150" s="124">
        <f>P151</f>
        <v>0</v>
      </c>
      <c r="Q150" s="125"/>
    </row>
    <row r="151" spans="1:17" s="117" customFormat="1" ht="13.15" hidden="1" x14ac:dyDescent="0.25">
      <c r="A151" s="159"/>
      <c r="B151" s="159"/>
      <c r="C151" s="125"/>
      <c r="D151" s="218"/>
      <c r="E151" s="406"/>
      <c r="F151" s="406"/>
      <c r="G151" s="376"/>
      <c r="H151" s="406"/>
      <c r="I151" s="406"/>
      <c r="J151" s="406"/>
      <c r="K151" s="376"/>
      <c r="L151" s="406"/>
      <c r="M151" s="406"/>
      <c r="N151" s="376"/>
      <c r="O151" s="120"/>
      <c r="P151" s="120"/>
      <c r="Q151" s="125"/>
    </row>
    <row r="152" spans="1:17" s="117" customFormat="1" ht="25.5" x14ac:dyDescent="0.2">
      <c r="A152" s="146" t="s">
        <v>172</v>
      </c>
      <c r="B152" s="232" t="s">
        <v>166</v>
      </c>
      <c r="C152" s="233" t="s">
        <v>136</v>
      </c>
      <c r="D152" s="297" t="s">
        <v>172</v>
      </c>
      <c r="E152" s="407" t="s">
        <v>30</v>
      </c>
      <c r="F152" s="407">
        <f>SUM(F153:F155)</f>
        <v>0</v>
      </c>
      <c r="G152" s="377" t="s">
        <v>30</v>
      </c>
      <c r="H152" s="407" t="s">
        <v>30</v>
      </c>
      <c r="I152" s="407">
        <f>SUM(I153:I155)</f>
        <v>0</v>
      </c>
      <c r="J152" s="407">
        <f>SUM(J153:J155)</f>
        <v>0</v>
      </c>
      <c r="K152" s="377" t="s">
        <v>30</v>
      </c>
      <c r="L152" s="407" t="s">
        <v>30</v>
      </c>
      <c r="M152" s="407">
        <f>SUM(M153:M155)</f>
        <v>-94339</v>
      </c>
      <c r="N152" s="377" t="s">
        <v>30</v>
      </c>
      <c r="O152" s="235">
        <f>SUM(O153:O155)</f>
        <v>0</v>
      </c>
      <c r="P152" s="235">
        <f>SUM(P153:P155)</f>
        <v>0</v>
      </c>
      <c r="Q152" s="240"/>
    </row>
    <row r="153" spans="1:17" s="117" customFormat="1" x14ac:dyDescent="0.2">
      <c r="A153" s="159"/>
      <c r="B153" s="236"/>
      <c r="C153" s="14" t="s">
        <v>256</v>
      </c>
      <c r="D153" s="237" t="s">
        <v>184</v>
      </c>
      <c r="E153" s="408">
        <v>0</v>
      </c>
      <c r="F153" s="408">
        <v>0</v>
      </c>
      <c r="G153" s="379">
        <v>0</v>
      </c>
      <c r="H153" s="408">
        <v>0</v>
      </c>
      <c r="I153" s="408">
        <v>0</v>
      </c>
      <c r="J153" s="408">
        <v>0</v>
      </c>
      <c r="K153" s="379">
        <v>0</v>
      </c>
      <c r="L153" s="408">
        <v>28397045</v>
      </c>
      <c r="M153" s="408">
        <v>-17</v>
      </c>
      <c r="N153" s="379">
        <f>M153/L153</f>
        <v>-5.9865383880611525E-7</v>
      </c>
      <c r="O153" s="238">
        <v>0</v>
      </c>
      <c r="P153" s="238">
        <v>0</v>
      </c>
      <c r="Q153" s="14" t="s">
        <v>603</v>
      </c>
    </row>
    <row r="154" spans="1:17" s="117" customFormat="1" ht="25.5" x14ac:dyDescent="0.2">
      <c r="A154" s="159"/>
      <c r="B154" s="236"/>
      <c r="C154" s="14" t="s">
        <v>486</v>
      </c>
      <c r="D154" s="237" t="s">
        <v>184</v>
      </c>
      <c r="E154" s="408">
        <v>0</v>
      </c>
      <c r="F154" s="408">
        <v>0</v>
      </c>
      <c r="G154" s="379">
        <v>0</v>
      </c>
      <c r="H154" s="408">
        <v>0</v>
      </c>
      <c r="I154" s="408">
        <v>0</v>
      </c>
      <c r="J154" s="408">
        <v>0</v>
      </c>
      <c r="K154" s="379">
        <v>0</v>
      </c>
      <c r="L154" s="408">
        <f>1597615+8907944</f>
        <v>10505559</v>
      </c>
      <c r="M154" s="408">
        <f>-40000-54322</f>
        <v>-94322</v>
      </c>
      <c r="N154" s="379">
        <f>M154/L154</f>
        <v>-8.9782942535470978E-3</v>
      </c>
      <c r="O154" s="238">
        <v>0</v>
      </c>
      <c r="P154" s="238">
        <v>0</v>
      </c>
      <c r="Q154" s="14" t="s">
        <v>603</v>
      </c>
    </row>
    <row r="155" spans="1:17" s="117" customFormat="1" ht="13.15" hidden="1" x14ac:dyDescent="0.25">
      <c r="A155" s="159"/>
      <c r="B155" s="236"/>
      <c r="C155" s="14" t="s">
        <v>376</v>
      </c>
      <c r="D155" s="237" t="s">
        <v>184</v>
      </c>
      <c r="E155" s="408">
        <v>0</v>
      </c>
      <c r="F155" s="408">
        <v>0</v>
      </c>
      <c r="G155" s="379">
        <v>0</v>
      </c>
      <c r="H155" s="408">
        <v>0</v>
      </c>
      <c r="I155" s="408">
        <v>0</v>
      </c>
      <c r="J155" s="408">
        <v>0</v>
      </c>
      <c r="K155" s="379">
        <v>0</v>
      </c>
      <c r="L155" s="408">
        <v>0</v>
      </c>
      <c r="M155" s="408">
        <v>0</v>
      </c>
      <c r="N155" s="379">
        <v>1</v>
      </c>
      <c r="O155" s="238">
        <v>0</v>
      </c>
      <c r="P155" s="238">
        <v>0</v>
      </c>
      <c r="Q155" s="14"/>
    </row>
    <row r="156" spans="1:17" s="117" customFormat="1" ht="25.5" hidden="1" x14ac:dyDescent="0.25">
      <c r="A156" s="146" t="s">
        <v>173</v>
      </c>
      <c r="B156" s="146" t="s">
        <v>266</v>
      </c>
      <c r="C156" s="309" t="s">
        <v>137</v>
      </c>
      <c r="D156" s="297" t="s">
        <v>173</v>
      </c>
      <c r="E156" s="407" t="s">
        <v>30</v>
      </c>
      <c r="F156" s="407">
        <f>F157+F158</f>
        <v>0</v>
      </c>
      <c r="G156" s="377" t="s">
        <v>30</v>
      </c>
      <c r="H156" s="407" t="s">
        <v>30</v>
      </c>
      <c r="I156" s="407">
        <f>I157+I158</f>
        <v>0</v>
      </c>
      <c r="J156" s="407">
        <f>J157+J158</f>
        <v>0</v>
      </c>
      <c r="K156" s="377" t="s">
        <v>30</v>
      </c>
      <c r="L156" s="407" t="s">
        <v>30</v>
      </c>
      <c r="M156" s="407">
        <f>M157+M158</f>
        <v>0</v>
      </c>
      <c r="N156" s="377" t="s">
        <v>30</v>
      </c>
      <c r="O156" s="124">
        <f>O157+O158</f>
        <v>0</v>
      </c>
      <c r="P156" s="124">
        <f>P157+P158</f>
        <v>0</v>
      </c>
      <c r="Q156" s="196"/>
    </row>
    <row r="157" spans="1:17" s="117" customFormat="1" ht="13.15" hidden="1" x14ac:dyDescent="0.25">
      <c r="A157" s="159"/>
      <c r="B157" s="159"/>
      <c r="C157" s="310" t="s">
        <v>379</v>
      </c>
      <c r="D157" s="300" t="s">
        <v>184</v>
      </c>
      <c r="E157" s="408"/>
      <c r="F157" s="408"/>
      <c r="G157" s="379"/>
      <c r="H157" s="408"/>
      <c r="I157" s="408"/>
      <c r="J157" s="408"/>
      <c r="K157" s="379"/>
      <c r="L157" s="408"/>
      <c r="M157" s="408"/>
      <c r="N157" s="379">
        <v>1</v>
      </c>
      <c r="O157" s="120"/>
      <c r="P157" s="120"/>
      <c r="Q157" s="125"/>
    </row>
    <row r="158" spans="1:17" s="117" customFormat="1" ht="13.15" hidden="1" x14ac:dyDescent="0.25">
      <c r="A158" s="159"/>
      <c r="B158" s="159"/>
      <c r="C158" s="122"/>
      <c r="D158" s="218"/>
      <c r="E158" s="406"/>
      <c r="F158" s="406"/>
      <c r="G158" s="376"/>
      <c r="H158" s="406"/>
      <c r="I158" s="406"/>
      <c r="J158" s="406"/>
      <c r="K158" s="376"/>
      <c r="L158" s="406"/>
      <c r="M158" s="406"/>
      <c r="N158" s="376"/>
      <c r="O158" s="120"/>
      <c r="P158" s="120"/>
      <c r="Q158" s="125"/>
    </row>
    <row r="159" spans="1:17" s="117" customFormat="1" ht="38.1" hidden="1" x14ac:dyDescent="0.25">
      <c r="A159" s="146" t="s">
        <v>174</v>
      </c>
      <c r="B159" s="146" t="s">
        <v>169</v>
      </c>
      <c r="C159" s="219" t="s">
        <v>138</v>
      </c>
      <c r="D159" s="214" t="s">
        <v>174</v>
      </c>
      <c r="E159" s="415" t="s">
        <v>30</v>
      </c>
      <c r="F159" s="415">
        <f>F160+F161</f>
        <v>0</v>
      </c>
      <c r="G159" s="385" t="s">
        <v>30</v>
      </c>
      <c r="H159" s="415" t="s">
        <v>30</v>
      </c>
      <c r="I159" s="415">
        <f>I160+I161</f>
        <v>0</v>
      </c>
      <c r="J159" s="415">
        <f>J160+J161</f>
        <v>0</v>
      </c>
      <c r="K159" s="385" t="s">
        <v>30</v>
      </c>
      <c r="L159" s="415" t="s">
        <v>30</v>
      </c>
      <c r="M159" s="415">
        <f>M160+M161</f>
        <v>0</v>
      </c>
      <c r="N159" s="385" t="s">
        <v>30</v>
      </c>
      <c r="O159" s="124">
        <f>O160+O161</f>
        <v>0</v>
      </c>
      <c r="P159" s="124">
        <f>P160+P161</f>
        <v>0</v>
      </c>
      <c r="Q159" s="196"/>
    </row>
    <row r="160" spans="1:17" s="117" customFormat="1" ht="13.15" hidden="1" x14ac:dyDescent="0.25">
      <c r="A160" s="159"/>
      <c r="B160" s="159"/>
      <c r="C160" s="125" t="s">
        <v>188</v>
      </c>
      <c r="D160" s="218" t="s">
        <v>184</v>
      </c>
      <c r="E160" s="406"/>
      <c r="F160" s="406"/>
      <c r="G160" s="376"/>
      <c r="H160" s="406"/>
      <c r="I160" s="406"/>
      <c r="J160" s="406"/>
      <c r="K160" s="376">
        <v>0</v>
      </c>
      <c r="L160" s="406"/>
      <c r="M160" s="406"/>
      <c r="N160" s="376"/>
      <c r="O160" s="120"/>
      <c r="P160" s="120"/>
      <c r="Q160" s="125"/>
    </row>
    <row r="161" spans="1:17" s="117" customFormat="1" ht="13.15" hidden="1" x14ac:dyDescent="0.25">
      <c r="A161" s="159"/>
      <c r="B161" s="159"/>
      <c r="C161" s="125" t="s">
        <v>204</v>
      </c>
      <c r="D161" s="218" t="s">
        <v>184</v>
      </c>
      <c r="E161" s="406"/>
      <c r="F161" s="406"/>
      <c r="G161" s="376"/>
      <c r="H161" s="406"/>
      <c r="I161" s="406"/>
      <c r="J161" s="406"/>
      <c r="K161" s="376">
        <v>0</v>
      </c>
      <c r="L161" s="406"/>
      <c r="M161" s="406"/>
      <c r="N161" s="376"/>
      <c r="O161" s="120"/>
      <c r="P161" s="120"/>
      <c r="Q161" s="125"/>
    </row>
    <row r="162" spans="1:17" s="117" customFormat="1" ht="25.5" hidden="1" x14ac:dyDescent="0.25">
      <c r="A162" s="159"/>
      <c r="B162" s="146" t="s">
        <v>170</v>
      </c>
      <c r="C162" s="219" t="s">
        <v>189</v>
      </c>
      <c r="D162" s="214" t="s">
        <v>257</v>
      </c>
      <c r="E162" s="415" t="s">
        <v>30</v>
      </c>
      <c r="F162" s="415">
        <f>F163</f>
        <v>0</v>
      </c>
      <c r="G162" s="385" t="s">
        <v>30</v>
      </c>
      <c r="H162" s="415" t="s">
        <v>30</v>
      </c>
      <c r="I162" s="415">
        <f>I163</f>
        <v>0</v>
      </c>
      <c r="J162" s="415">
        <f>J163</f>
        <v>0</v>
      </c>
      <c r="K162" s="385" t="s">
        <v>30</v>
      </c>
      <c r="L162" s="415" t="s">
        <v>30</v>
      </c>
      <c r="M162" s="415">
        <f>M163</f>
        <v>0</v>
      </c>
      <c r="N162" s="385" t="s">
        <v>30</v>
      </c>
      <c r="O162" s="124">
        <f>O163</f>
        <v>0</v>
      </c>
      <c r="P162" s="124">
        <f>P163</f>
        <v>0</v>
      </c>
      <c r="Q162" s="125"/>
    </row>
    <row r="163" spans="1:17" s="117" customFormat="1" ht="13.15" hidden="1" x14ac:dyDescent="0.25">
      <c r="A163" s="159"/>
      <c r="B163" s="159"/>
      <c r="C163" s="125" t="s">
        <v>293</v>
      </c>
      <c r="D163" s="218" t="s">
        <v>184</v>
      </c>
      <c r="E163" s="406"/>
      <c r="F163" s="406"/>
      <c r="G163" s="376"/>
      <c r="H163" s="406"/>
      <c r="I163" s="406"/>
      <c r="J163" s="406"/>
      <c r="K163" s="376">
        <v>0</v>
      </c>
      <c r="L163" s="406"/>
      <c r="M163" s="406"/>
      <c r="N163" s="376"/>
      <c r="O163" s="120"/>
      <c r="P163" s="120"/>
      <c r="Q163" s="125"/>
    </row>
    <row r="164" spans="1:17" s="117" customFormat="1" ht="13.15" hidden="1" x14ac:dyDescent="0.25">
      <c r="A164" s="159"/>
      <c r="B164" s="159"/>
      <c r="C164" s="125"/>
      <c r="D164" s="218"/>
      <c r="E164" s="406"/>
      <c r="F164" s="406"/>
      <c r="G164" s="376"/>
      <c r="H164" s="406"/>
      <c r="I164" s="406"/>
      <c r="J164" s="406"/>
      <c r="K164" s="376"/>
      <c r="L164" s="406"/>
      <c r="M164" s="406"/>
      <c r="N164" s="376"/>
      <c r="O164" s="120"/>
      <c r="P164" s="120"/>
      <c r="Q164" s="125"/>
    </row>
    <row r="165" spans="1:17" s="117" customFormat="1" ht="25.5" x14ac:dyDescent="0.2">
      <c r="A165" s="159"/>
      <c r="B165" s="232" t="s">
        <v>171</v>
      </c>
      <c r="C165" s="298" t="s">
        <v>218</v>
      </c>
      <c r="D165" s="297" t="s">
        <v>258</v>
      </c>
      <c r="E165" s="407" t="s">
        <v>30</v>
      </c>
      <c r="F165" s="407">
        <f>SUM(F166:F172)</f>
        <v>5592622</v>
      </c>
      <c r="G165" s="377" t="s">
        <v>30</v>
      </c>
      <c r="H165" s="407" t="s">
        <v>30</v>
      </c>
      <c r="I165" s="407">
        <f>SUM(I166:I172)</f>
        <v>0</v>
      </c>
      <c r="J165" s="407">
        <f>SUM(J166:J172)</f>
        <v>0</v>
      </c>
      <c r="K165" s="377" t="s">
        <v>30</v>
      </c>
      <c r="L165" s="407" t="s">
        <v>30</v>
      </c>
      <c r="M165" s="407">
        <f>SUM(M166:M172)</f>
        <v>1230</v>
      </c>
      <c r="N165" s="377" t="s">
        <v>30</v>
      </c>
      <c r="O165" s="235">
        <f>SUM(O166:O172)</f>
        <v>0</v>
      </c>
      <c r="P165" s="235">
        <f>SUM(P166:P172)</f>
        <v>0</v>
      </c>
      <c r="Q165" s="14"/>
    </row>
    <row r="166" spans="1:17" s="117" customFormat="1" ht="13.15" hidden="1" x14ac:dyDescent="0.25">
      <c r="A166" s="159"/>
      <c r="B166" s="236"/>
      <c r="C166" s="299" t="s">
        <v>373</v>
      </c>
      <c r="D166" s="300" t="s">
        <v>184</v>
      </c>
      <c r="E166" s="408">
        <v>0</v>
      </c>
      <c r="F166" s="408">
        <v>0</v>
      </c>
      <c r="G166" s="379">
        <v>0</v>
      </c>
      <c r="H166" s="408">
        <v>0</v>
      </c>
      <c r="I166" s="408">
        <v>0</v>
      </c>
      <c r="J166" s="408">
        <v>0</v>
      </c>
      <c r="K166" s="379">
        <v>0</v>
      </c>
      <c r="L166" s="408"/>
      <c r="M166" s="408"/>
      <c r="N166" s="379" t="e">
        <f>M166/L166</f>
        <v>#DIV/0!</v>
      </c>
      <c r="O166" s="230"/>
      <c r="P166" s="230"/>
      <c r="Q166" s="14"/>
    </row>
    <row r="167" spans="1:17" s="117" customFormat="1" ht="16.5" customHeight="1" x14ac:dyDescent="0.2">
      <c r="A167" s="159"/>
      <c r="B167" s="236"/>
      <c r="C167" s="301" t="s">
        <v>457</v>
      </c>
      <c r="D167" s="237" t="s">
        <v>184</v>
      </c>
      <c r="E167" s="408">
        <v>0</v>
      </c>
      <c r="F167" s="408">
        <v>0</v>
      </c>
      <c r="G167" s="379">
        <v>0</v>
      </c>
      <c r="H167" s="408">
        <v>0</v>
      </c>
      <c r="I167" s="408"/>
      <c r="J167" s="408">
        <v>0</v>
      </c>
      <c r="K167" s="379">
        <v>0</v>
      </c>
      <c r="L167" s="408">
        <v>11996984</v>
      </c>
      <c r="M167" s="408">
        <v>744630</v>
      </c>
      <c r="N167" s="379">
        <f>M167/L167</f>
        <v>6.2068099782411977E-2</v>
      </c>
      <c r="O167" s="238"/>
      <c r="P167" s="238"/>
      <c r="Q167" s="14" t="s">
        <v>609</v>
      </c>
    </row>
    <row r="168" spans="1:17" s="117" customFormat="1" ht="15" customHeight="1" x14ac:dyDescent="0.2">
      <c r="A168" s="159"/>
      <c r="B168" s="236"/>
      <c r="C168" s="301" t="s">
        <v>374</v>
      </c>
      <c r="D168" s="237" t="s">
        <v>184</v>
      </c>
      <c r="E168" s="408">
        <v>0</v>
      </c>
      <c r="F168" s="408">
        <v>0</v>
      </c>
      <c r="G168" s="379">
        <v>0</v>
      </c>
      <c r="H168" s="408">
        <v>0</v>
      </c>
      <c r="I168" s="408">
        <v>0</v>
      </c>
      <c r="J168" s="408">
        <v>0</v>
      </c>
      <c r="K168" s="379">
        <v>0</v>
      </c>
      <c r="L168" s="408">
        <v>3434454</v>
      </c>
      <c r="M168" s="408">
        <v>321000</v>
      </c>
      <c r="N168" s="379">
        <f t="shared" ref="N168:N172" si="4">M168/L168</f>
        <v>9.3464638047270399E-2</v>
      </c>
      <c r="O168" s="238"/>
      <c r="P168" s="238"/>
      <c r="Q168" s="14" t="s">
        <v>579</v>
      </c>
    </row>
    <row r="169" spans="1:17" s="117" customFormat="1" ht="25.5" x14ac:dyDescent="0.2">
      <c r="A169" s="159"/>
      <c r="B169" s="236"/>
      <c r="C169" s="299" t="s">
        <v>578</v>
      </c>
      <c r="D169" s="300" t="s">
        <v>184</v>
      </c>
      <c r="E169" s="408">
        <v>0</v>
      </c>
      <c r="F169" s="408">
        <v>0</v>
      </c>
      <c r="G169" s="379">
        <v>0</v>
      </c>
      <c r="H169" s="408">
        <v>0</v>
      </c>
      <c r="I169" s="408"/>
      <c r="J169" s="408">
        <v>0</v>
      </c>
      <c r="K169" s="379">
        <v>0</v>
      </c>
      <c r="L169" s="408">
        <v>1017030</v>
      </c>
      <c r="M169" s="408">
        <v>-68016</v>
      </c>
      <c r="N169" s="379">
        <f t="shared" si="4"/>
        <v>-6.6877083271879884E-2</v>
      </c>
      <c r="O169" s="230"/>
      <c r="P169" s="230"/>
      <c r="Q169" s="14" t="s">
        <v>603</v>
      </c>
    </row>
    <row r="170" spans="1:17" s="117" customFormat="1" ht="12.75" customHeight="1" x14ac:dyDescent="0.2">
      <c r="A170" s="159"/>
      <c r="B170" s="236"/>
      <c r="C170" s="299" t="s">
        <v>580</v>
      </c>
      <c r="D170" s="300" t="s">
        <v>184</v>
      </c>
      <c r="E170" s="408">
        <v>0</v>
      </c>
      <c r="F170" s="408">
        <v>0</v>
      </c>
      <c r="G170" s="379">
        <v>0</v>
      </c>
      <c r="H170" s="408">
        <v>0</v>
      </c>
      <c r="I170" s="408"/>
      <c r="J170" s="408">
        <v>0</v>
      </c>
      <c r="K170" s="379">
        <v>0</v>
      </c>
      <c r="L170" s="408">
        <v>5556000</v>
      </c>
      <c r="M170" s="408">
        <v>-955363</v>
      </c>
      <c r="N170" s="379">
        <f t="shared" si="4"/>
        <v>-0.17195158387329013</v>
      </c>
      <c r="O170" s="230"/>
      <c r="P170" s="230"/>
      <c r="Q170" s="14" t="s">
        <v>603</v>
      </c>
    </row>
    <row r="171" spans="1:17" s="117" customFormat="1" ht="25.5" x14ac:dyDescent="0.2">
      <c r="A171" s="159"/>
      <c r="B171" s="236"/>
      <c r="C171" s="299" t="s">
        <v>591</v>
      </c>
      <c r="D171" s="300" t="s">
        <v>184</v>
      </c>
      <c r="E171" s="408">
        <v>0</v>
      </c>
      <c r="F171" s="408">
        <v>5592622</v>
      </c>
      <c r="G171" s="379">
        <v>1</v>
      </c>
      <c r="H171" s="408">
        <v>0</v>
      </c>
      <c r="I171" s="408">
        <v>0</v>
      </c>
      <c r="J171" s="408">
        <v>0</v>
      </c>
      <c r="K171" s="379">
        <v>0</v>
      </c>
      <c r="L171" s="408">
        <v>0</v>
      </c>
      <c r="M171" s="408">
        <v>0</v>
      </c>
      <c r="N171" s="379">
        <v>0</v>
      </c>
      <c r="O171" s="230">
        <v>0</v>
      </c>
      <c r="P171" s="230"/>
      <c r="Q171" s="14" t="s">
        <v>617</v>
      </c>
    </row>
    <row r="172" spans="1:17" s="117" customFormat="1" ht="15" customHeight="1" x14ac:dyDescent="0.2">
      <c r="A172" s="159"/>
      <c r="B172" s="236"/>
      <c r="C172" s="299" t="s">
        <v>583</v>
      </c>
      <c r="D172" s="300" t="s">
        <v>184</v>
      </c>
      <c r="E172" s="408">
        <v>0</v>
      </c>
      <c r="F172" s="408">
        <v>0</v>
      </c>
      <c r="G172" s="379">
        <v>0</v>
      </c>
      <c r="H172" s="408">
        <v>0</v>
      </c>
      <c r="I172" s="408"/>
      <c r="J172" s="408">
        <v>0</v>
      </c>
      <c r="K172" s="379">
        <v>0</v>
      </c>
      <c r="L172" s="408">
        <f>3016000+57300000</f>
        <v>60316000</v>
      </c>
      <c r="M172" s="408">
        <f>-2251-38770</f>
        <v>-41021</v>
      </c>
      <c r="N172" s="379">
        <f t="shared" si="4"/>
        <v>-6.801014656144307E-4</v>
      </c>
      <c r="O172" s="230"/>
      <c r="P172" s="230"/>
      <c r="Q172" s="14" t="s">
        <v>603</v>
      </c>
    </row>
    <row r="173" spans="1:17" s="117" customFormat="1" ht="38.25" x14ac:dyDescent="0.2">
      <c r="A173" s="159"/>
      <c r="B173" s="232" t="s">
        <v>172</v>
      </c>
      <c r="C173" s="298" t="s">
        <v>219</v>
      </c>
      <c r="D173" s="297" t="s">
        <v>260</v>
      </c>
      <c r="E173" s="407" t="s">
        <v>30</v>
      </c>
      <c r="F173" s="407">
        <f>SUM(F174:F177)</f>
        <v>0</v>
      </c>
      <c r="G173" s="377" t="s">
        <v>30</v>
      </c>
      <c r="H173" s="407" t="s">
        <v>30</v>
      </c>
      <c r="I173" s="407">
        <f>SUM(I174:I177)</f>
        <v>0</v>
      </c>
      <c r="J173" s="407">
        <f>SUM(J174:J177)</f>
        <v>0</v>
      </c>
      <c r="K173" s="377" t="s">
        <v>30</v>
      </c>
      <c r="L173" s="407" t="s">
        <v>30</v>
      </c>
      <c r="M173" s="407">
        <f>SUM(M174:M177)</f>
        <v>21557</v>
      </c>
      <c r="N173" s="377" t="s">
        <v>30</v>
      </c>
      <c r="O173" s="235">
        <f>SUM(O174:O177)</f>
        <v>0</v>
      </c>
      <c r="P173" s="235">
        <f>SUM(P174:P177)</f>
        <v>0</v>
      </c>
      <c r="Q173" s="14"/>
    </row>
    <row r="174" spans="1:17" s="117" customFormat="1" ht="13.15" hidden="1" x14ac:dyDescent="0.25">
      <c r="A174" s="159"/>
      <c r="B174" s="159"/>
      <c r="C174" s="14" t="s">
        <v>259</v>
      </c>
      <c r="D174" s="300" t="s">
        <v>184</v>
      </c>
      <c r="E174" s="408"/>
      <c r="F174" s="408"/>
      <c r="G174" s="379"/>
      <c r="H174" s="408"/>
      <c r="I174" s="408"/>
      <c r="J174" s="408"/>
      <c r="K174" s="379"/>
      <c r="L174" s="408"/>
      <c r="M174" s="408"/>
      <c r="N174" s="379" t="e">
        <f>M174/L174</f>
        <v>#DIV/0!</v>
      </c>
      <c r="O174" s="238"/>
      <c r="P174" s="238"/>
      <c r="Q174" s="14"/>
    </row>
    <row r="175" spans="1:17" s="117" customFormat="1" x14ac:dyDescent="0.2">
      <c r="A175" s="159"/>
      <c r="B175" s="159"/>
      <c r="C175" s="14" t="s">
        <v>261</v>
      </c>
      <c r="D175" s="300" t="s">
        <v>184</v>
      </c>
      <c r="E175" s="408">
        <v>0</v>
      </c>
      <c r="F175" s="408">
        <v>0</v>
      </c>
      <c r="G175" s="379">
        <v>0</v>
      </c>
      <c r="H175" s="408">
        <v>0</v>
      </c>
      <c r="I175" s="408"/>
      <c r="J175" s="408">
        <v>0</v>
      </c>
      <c r="K175" s="379">
        <v>0</v>
      </c>
      <c r="L175" s="408">
        <v>825466</v>
      </c>
      <c r="M175" s="408">
        <v>22000</v>
      </c>
      <c r="N175" s="379">
        <f>M175/L175</f>
        <v>2.6651612543702588E-2</v>
      </c>
      <c r="O175" s="238"/>
      <c r="P175" s="238"/>
      <c r="Q175" s="14" t="s">
        <v>581</v>
      </c>
    </row>
    <row r="176" spans="1:17" s="117" customFormat="1" x14ac:dyDescent="0.2">
      <c r="A176" s="159"/>
      <c r="B176" s="159"/>
      <c r="C176" s="14" t="s">
        <v>337</v>
      </c>
      <c r="D176" s="300" t="s">
        <v>184</v>
      </c>
      <c r="E176" s="408">
        <v>0</v>
      </c>
      <c r="F176" s="408">
        <v>0</v>
      </c>
      <c r="G176" s="379">
        <v>0</v>
      </c>
      <c r="H176" s="408">
        <v>0</v>
      </c>
      <c r="I176" s="408"/>
      <c r="J176" s="408">
        <v>0</v>
      </c>
      <c r="K176" s="379">
        <v>0</v>
      </c>
      <c r="L176" s="408">
        <v>92483</v>
      </c>
      <c r="M176" s="408">
        <v>-443</v>
      </c>
      <c r="N176" s="379">
        <v>1</v>
      </c>
      <c r="O176" s="230"/>
      <c r="P176" s="230"/>
      <c r="Q176" s="14" t="s">
        <v>490</v>
      </c>
    </row>
    <row r="177" spans="1:17" s="117" customFormat="1" ht="13.15" hidden="1" x14ac:dyDescent="0.25">
      <c r="A177" s="159"/>
      <c r="B177" s="159"/>
      <c r="C177" s="14" t="s">
        <v>375</v>
      </c>
      <c r="D177" s="300" t="s">
        <v>184</v>
      </c>
      <c r="E177" s="408"/>
      <c r="F177" s="408"/>
      <c r="G177" s="379"/>
      <c r="H177" s="408"/>
      <c r="I177" s="408"/>
      <c r="J177" s="408"/>
      <c r="K177" s="379"/>
      <c r="L177" s="408"/>
      <c r="M177" s="408"/>
      <c r="N177" s="379">
        <v>1</v>
      </c>
      <c r="O177" s="230"/>
      <c r="P177" s="230"/>
      <c r="Q177" s="14"/>
    </row>
    <row r="178" spans="1:17" s="117" customFormat="1" ht="25.5" hidden="1" x14ac:dyDescent="0.25">
      <c r="A178" s="159"/>
      <c r="B178" s="146" t="s">
        <v>173</v>
      </c>
      <c r="C178" s="220" t="s">
        <v>285</v>
      </c>
      <c r="D178" s="214" t="s">
        <v>284</v>
      </c>
      <c r="E178" s="415" t="s">
        <v>30</v>
      </c>
      <c r="F178" s="415">
        <f>SUM(F179:F179)</f>
        <v>0</v>
      </c>
      <c r="G178" s="385" t="s">
        <v>30</v>
      </c>
      <c r="H178" s="415" t="s">
        <v>30</v>
      </c>
      <c r="I178" s="415">
        <f>SUM(I179:I179)</f>
        <v>0</v>
      </c>
      <c r="J178" s="415">
        <f>SUM(J179:J179)</f>
        <v>0</v>
      </c>
      <c r="K178" s="385" t="s">
        <v>30</v>
      </c>
      <c r="L178" s="415" t="s">
        <v>30</v>
      </c>
      <c r="M178" s="415">
        <f>SUM(M179:M179)</f>
        <v>0</v>
      </c>
      <c r="N178" s="385" t="s">
        <v>30</v>
      </c>
      <c r="O178" s="124">
        <f>SUM(O179:O179)</f>
        <v>0</v>
      </c>
      <c r="P178" s="124">
        <f>SUM(P179:P179)</f>
        <v>0</v>
      </c>
      <c r="Q178" s="125"/>
    </row>
    <row r="179" spans="1:17" s="117" customFormat="1" ht="13.15" hidden="1" x14ac:dyDescent="0.25">
      <c r="A179" s="159"/>
      <c r="B179" s="159"/>
      <c r="C179" s="125" t="s">
        <v>365</v>
      </c>
      <c r="D179" s="218" t="s">
        <v>184</v>
      </c>
      <c r="E179" s="406"/>
      <c r="F179" s="406"/>
      <c r="G179" s="376"/>
      <c r="H179" s="406"/>
      <c r="I179" s="406"/>
      <c r="J179" s="406"/>
      <c r="K179" s="376">
        <v>0</v>
      </c>
      <c r="L179" s="406"/>
      <c r="M179" s="406"/>
      <c r="N179" s="376"/>
      <c r="O179" s="120"/>
      <c r="P179" s="120"/>
      <c r="Q179" s="125"/>
    </row>
    <row r="180" spans="1:17" s="117" customFormat="1" ht="25.5" hidden="1" x14ac:dyDescent="0.25">
      <c r="A180" s="159"/>
      <c r="B180" s="146" t="s">
        <v>174</v>
      </c>
      <c r="C180" s="220" t="s">
        <v>368</v>
      </c>
      <c r="D180" s="214" t="s">
        <v>367</v>
      </c>
      <c r="E180" s="415" t="s">
        <v>30</v>
      </c>
      <c r="F180" s="415">
        <f>SUM(F181:F181)</f>
        <v>0</v>
      </c>
      <c r="G180" s="385" t="s">
        <v>30</v>
      </c>
      <c r="H180" s="415" t="s">
        <v>30</v>
      </c>
      <c r="I180" s="415">
        <f>SUM(I181:I181)</f>
        <v>0</v>
      </c>
      <c r="J180" s="415">
        <f>SUM(J181:J181)</f>
        <v>0</v>
      </c>
      <c r="K180" s="385" t="s">
        <v>30</v>
      </c>
      <c r="L180" s="415" t="s">
        <v>30</v>
      </c>
      <c r="M180" s="415">
        <f>SUM(M181:M181)</f>
        <v>0</v>
      </c>
      <c r="N180" s="385" t="s">
        <v>30</v>
      </c>
      <c r="O180" s="124">
        <f>SUM(O181:O181)</f>
        <v>0</v>
      </c>
      <c r="P180" s="124">
        <f>SUM(P181:P181)</f>
        <v>0</v>
      </c>
      <c r="Q180" s="125"/>
    </row>
    <row r="181" spans="1:17" s="117" customFormat="1" ht="13.15" hidden="1" x14ac:dyDescent="0.25">
      <c r="A181" s="159"/>
      <c r="B181" s="159"/>
      <c r="C181" s="221" t="s">
        <v>369</v>
      </c>
      <c r="D181" s="218" t="s">
        <v>184</v>
      </c>
      <c r="E181" s="406"/>
      <c r="F181" s="406"/>
      <c r="G181" s="376"/>
      <c r="H181" s="406"/>
      <c r="I181" s="406">
        <v>0</v>
      </c>
      <c r="J181" s="406"/>
      <c r="K181" s="376" t="e">
        <f>I181/H181</f>
        <v>#DIV/0!</v>
      </c>
      <c r="L181" s="406"/>
      <c r="M181" s="406"/>
      <c r="N181" s="376"/>
      <c r="O181" s="120">
        <v>0</v>
      </c>
      <c r="P181" s="120">
        <v>0</v>
      </c>
      <c r="Q181" s="125"/>
    </row>
    <row r="182" spans="1:17" s="117" customFormat="1" ht="45.2" hidden="1" x14ac:dyDescent="0.25">
      <c r="A182" s="159"/>
      <c r="B182" s="159"/>
      <c r="C182" s="222" t="s">
        <v>370</v>
      </c>
      <c r="D182" s="218" t="s">
        <v>184</v>
      </c>
      <c r="E182" s="406"/>
      <c r="F182" s="406"/>
      <c r="G182" s="376"/>
      <c r="H182" s="406"/>
      <c r="I182" s="406"/>
      <c r="J182" s="406"/>
      <c r="K182" s="376"/>
      <c r="L182" s="406"/>
      <c r="M182" s="406"/>
      <c r="N182" s="376"/>
      <c r="O182" s="120"/>
      <c r="P182" s="120"/>
      <c r="Q182" s="125"/>
    </row>
    <row r="183" spans="1:17" s="117" customFormat="1" ht="25.5" hidden="1" x14ac:dyDescent="0.25">
      <c r="A183" s="159"/>
      <c r="B183" s="146" t="s">
        <v>257</v>
      </c>
      <c r="C183" s="220" t="s">
        <v>371</v>
      </c>
      <c r="D183" s="214" t="s">
        <v>366</v>
      </c>
      <c r="E183" s="415" t="s">
        <v>30</v>
      </c>
      <c r="F183" s="415">
        <f>SUM(F184:F184)</f>
        <v>0</v>
      </c>
      <c r="G183" s="385" t="s">
        <v>30</v>
      </c>
      <c r="H183" s="415" t="s">
        <v>30</v>
      </c>
      <c r="I183" s="415">
        <f>SUM(I184:I184)</f>
        <v>0</v>
      </c>
      <c r="J183" s="415">
        <f>SUM(J184:J184)</f>
        <v>0</v>
      </c>
      <c r="K183" s="385" t="s">
        <v>30</v>
      </c>
      <c r="L183" s="415" t="s">
        <v>30</v>
      </c>
      <c r="M183" s="415">
        <f>SUM(M184:M184)</f>
        <v>0</v>
      </c>
      <c r="N183" s="385" t="s">
        <v>30</v>
      </c>
      <c r="O183" s="124">
        <f>SUM(O184:O184)</f>
        <v>0</v>
      </c>
      <c r="P183" s="124">
        <f>SUM(P184:P184)</f>
        <v>0</v>
      </c>
      <c r="Q183" s="125"/>
    </row>
    <row r="184" spans="1:17" s="117" customFormat="1" ht="39.4" hidden="1" x14ac:dyDescent="0.25">
      <c r="A184" s="159"/>
      <c r="B184" s="159"/>
      <c r="C184" s="125" t="s">
        <v>372</v>
      </c>
      <c r="D184" s="218" t="s">
        <v>184</v>
      </c>
      <c r="E184" s="406"/>
      <c r="F184" s="406"/>
      <c r="G184" s="376"/>
      <c r="H184" s="406"/>
      <c r="I184" s="406"/>
      <c r="J184" s="406"/>
      <c r="K184" s="376"/>
      <c r="L184" s="406">
        <v>0</v>
      </c>
      <c r="M184" s="406"/>
      <c r="N184" s="376">
        <v>1</v>
      </c>
      <c r="O184" s="120"/>
      <c r="P184" s="120"/>
      <c r="Q184" s="125"/>
    </row>
    <row r="185" spans="1:17" s="117" customFormat="1" ht="13.15" hidden="1" x14ac:dyDescent="0.25">
      <c r="A185" s="159"/>
      <c r="B185" s="146" t="s">
        <v>258</v>
      </c>
      <c r="C185" s="220"/>
      <c r="D185" s="214"/>
      <c r="E185" s="415" t="s">
        <v>30</v>
      </c>
      <c r="F185" s="415">
        <f>SUM(F186:F186)</f>
        <v>0</v>
      </c>
      <c r="G185" s="385" t="s">
        <v>30</v>
      </c>
      <c r="H185" s="415" t="s">
        <v>30</v>
      </c>
      <c r="I185" s="415">
        <f>SUM(I186:I186)</f>
        <v>0</v>
      </c>
      <c r="J185" s="415">
        <f>SUM(J186:J186)</f>
        <v>0</v>
      </c>
      <c r="K185" s="385" t="s">
        <v>30</v>
      </c>
      <c r="L185" s="415" t="s">
        <v>30</v>
      </c>
      <c r="M185" s="415">
        <f>SUM(M186:M186)</f>
        <v>0</v>
      </c>
      <c r="N185" s="385" t="s">
        <v>30</v>
      </c>
      <c r="O185" s="124">
        <f>SUM(O186:O186)</f>
        <v>0</v>
      </c>
      <c r="P185" s="124">
        <f>SUM(P186:P186)</f>
        <v>0</v>
      </c>
      <c r="Q185" s="125"/>
    </row>
    <row r="186" spans="1:17" s="117" customFormat="1" ht="13.15" hidden="1" x14ac:dyDescent="0.25">
      <c r="A186" s="159"/>
      <c r="B186" s="159"/>
      <c r="C186" s="125"/>
      <c r="D186" s="218"/>
      <c r="E186" s="406"/>
      <c r="F186" s="406"/>
      <c r="G186" s="376"/>
      <c r="H186" s="406"/>
      <c r="I186" s="406"/>
      <c r="J186" s="406"/>
      <c r="K186" s="376">
        <v>0</v>
      </c>
      <c r="L186" s="406"/>
      <c r="M186" s="406"/>
      <c r="N186" s="376"/>
      <c r="O186" s="120">
        <v>0</v>
      </c>
      <c r="P186" s="120">
        <v>0</v>
      </c>
      <c r="Q186" s="125"/>
    </row>
    <row r="187" spans="1:17" ht="13.5" x14ac:dyDescent="0.25">
      <c r="A187" s="291"/>
      <c r="B187" s="291"/>
      <c r="C187" s="292" t="s">
        <v>179</v>
      </c>
      <c r="D187" s="293"/>
      <c r="E187" s="419" t="s">
        <v>30</v>
      </c>
      <c r="F187" s="419">
        <f>F7+F24+F56+F92+F118+F121+F127+F130+F133+F144+F152+F165+F173+F178+F180+F183+F185+F156+F124+F115+F105+F89+F103</f>
        <v>5584777</v>
      </c>
      <c r="G187" s="389" t="s">
        <v>30</v>
      </c>
      <c r="H187" s="419" t="s">
        <v>30</v>
      </c>
      <c r="I187" s="419">
        <f>I7+I24+I56+I92+I118+I121+I127+I130+I133+I144+I152+I165+I173+I178+I180+I183+I185+I156+I124+I115+I105+I89+I159+I162+I147+I150</f>
        <v>10480595</v>
      </c>
      <c r="J187" s="419">
        <f>J7+J24+J56+J92+J118+J121+J127+J130+J133+J144+J152+J165+J173+J178+J180+J183+J185+J156+J124+J115+J105+J89+J159+J162+J147+J150</f>
        <v>5130545</v>
      </c>
      <c r="K187" s="389" t="s">
        <v>30</v>
      </c>
      <c r="L187" s="419" t="s">
        <v>30</v>
      </c>
      <c r="M187" s="419">
        <f>M7+M24+M56+M92+M118+M121+M127+M130+M133+M144+M152+M165+M173+M178+M180+M183+M185+M156+M124+M115+M105+M89</f>
        <v>3223590</v>
      </c>
      <c r="N187" s="389" t="s">
        <v>30</v>
      </c>
      <c r="O187" s="294">
        <f>O7+O24+O56+O92+O118+O121+O127+O130+O133+O144+O152+O165+O173+O178+O180+O183+O185+O156+O124+O115+O105+O89</f>
        <v>0</v>
      </c>
      <c r="P187" s="294">
        <f>P7+P24+P56+P92+P118+P121+P127+P130+P133+P144+P152+P165+P173+P178+P180+P183+P185+P156+P124+P115+P105+P89</f>
        <v>0</v>
      </c>
      <c r="Q187" s="203"/>
    </row>
    <row r="188" spans="1:17" ht="13.5" x14ac:dyDescent="0.25">
      <c r="A188" s="295"/>
      <c r="B188" s="295"/>
      <c r="C188" s="296" t="s">
        <v>99</v>
      </c>
      <c r="D188" s="512">
        <f>F187+J187+M187</f>
        <v>13938912</v>
      </c>
      <c r="E188" s="512"/>
      <c r="F188" s="512"/>
      <c r="G188" s="512"/>
      <c r="H188" s="512"/>
      <c r="I188" s="512"/>
      <c r="J188" s="512"/>
      <c r="K188" s="512"/>
      <c r="L188" s="512"/>
      <c r="M188" s="512"/>
      <c r="N188" s="512"/>
      <c r="O188" s="253">
        <f>O187</f>
        <v>0</v>
      </c>
      <c r="P188" s="253">
        <f>P187</f>
        <v>0</v>
      </c>
      <c r="Q188" s="203"/>
    </row>
    <row r="189" spans="1:17" ht="13.5" x14ac:dyDescent="0.25">
      <c r="A189" s="291"/>
      <c r="B189" s="291"/>
      <c r="C189" s="292" t="s">
        <v>100</v>
      </c>
      <c r="D189" s="293" t="s">
        <v>175</v>
      </c>
      <c r="E189" s="419" t="s">
        <v>30</v>
      </c>
      <c r="F189" s="419">
        <f>SUM(F190:F207)</f>
        <v>25449</v>
      </c>
      <c r="G189" s="389" t="s">
        <v>30</v>
      </c>
      <c r="H189" s="419" t="s">
        <v>30</v>
      </c>
      <c r="I189" s="419">
        <f>SUM(I190:I207)</f>
        <v>16734530</v>
      </c>
      <c r="J189" s="419">
        <f>SUM(J190:J207)</f>
        <v>3442874.5700000003</v>
      </c>
      <c r="K189" s="389"/>
      <c r="L189" s="419" t="s">
        <v>30</v>
      </c>
      <c r="M189" s="419">
        <f>SUM(M190:M207)</f>
        <v>-448741</v>
      </c>
      <c r="N189" s="389" t="s">
        <v>30</v>
      </c>
      <c r="O189" s="294">
        <f>SUM(O190:O207)</f>
        <v>0</v>
      </c>
      <c r="P189" s="294">
        <f>SUM(P190:P207)</f>
        <v>0</v>
      </c>
      <c r="Q189" s="203"/>
    </row>
    <row r="190" spans="1:17" s="19" customFormat="1" ht="30.75" customHeight="1" x14ac:dyDescent="0.2">
      <c r="A190" s="236"/>
      <c r="B190" s="236"/>
      <c r="C190" s="241" t="s">
        <v>194</v>
      </c>
      <c r="D190" s="237" t="s">
        <v>270</v>
      </c>
      <c r="E190" s="405">
        <v>0</v>
      </c>
      <c r="F190" s="405">
        <v>0</v>
      </c>
      <c r="G190" s="375">
        <v>0</v>
      </c>
      <c r="H190" s="405">
        <f>7232821+29444897+24849294+480925.2+355247+2290332+643043</f>
        <v>65296559.200000003</v>
      </c>
      <c r="I190" s="405">
        <f>7178628-493887</f>
        <v>6684741</v>
      </c>
      <c r="J190" s="405">
        <f>104768+1662328+4228798-243191-11902+79811+1456+210917.33-1</f>
        <v>6032984.3300000001</v>
      </c>
      <c r="K190" s="375">
        <f>J190/H190</f>
        <v>9.2393602418180704E-2</v>
      </c>
      <c r="L190" s="405">
        <v>0</v>
      </c>
      <c r="M190" s="405">
        <v>0</v>
      </c>
      <c r="N190" s="375">
        <v>0</v>
      </c>
      <c r="O190" s="238">
        <v>0</v>
      </c>
      <c r="P190" s="238">
        <v>0</v>
      </c>
      <c r="Q190" s="4" t="s">
        <v>611</v>
      </c>
    </row>
    <row r="191" spans="1:17" s="19" customFormat="1" ht="16.5" customHeight="1" x14ac:dyDescent="0.2">
      <c r="A191" s="236"/>
      <c r="B191" s="236"/>
      <c r="C191" s="241" t="s">
        <v>497</v>
      </c>
      <c r="D191" s="237" t="s">
        <v>185</v>
      </c>
      <c r="E191" s="408">
        <v>0</v>
      </c>
      <c r="F191" s="408">
        <v>0</v>
      </c>
      <c r="G191" s="379">
        <v>0</v>
      </c>
      <c r="H191" s="408">
        <v>139500</v>
      </c>
      <c r="I191" s="408">
        <v>-50000</v>
      </c>
      <c r="J191" s="408">
        <v>-30000</v>
      </c>
      <c r="K191" s="379">
        <f t="shared" ref="K191:K195" si="5">J191/H191</f>
        <v>-0.21505376344086022</v>
      </c>
      <c r="L191" s="408">
        <v>575000</v>
      </c>
      <c r="M191" s="408">
        <v>-100000</v>
      </c>
      <c r="N191" s="379">
        <v>0</v>
      </c>
      <c r="O191" s="238"/>
      <c r="P191" s="238"/>
      <c r="Q191" s="14" t="s">
        <v>499</v>
      </c>
    </row>
    <row r="192" spans="1:17" s="19" customFormat="1" ht="25.5" x14ac:dyDescent="0.2">
      <c r="A192" s="236"/>
      <c r="B192" s="236"/>
      <c r="C192" s="241" t="s">
        <v>496</v>
      </c>
      <c r="D192" s="237" t="s">
        <v>618</v>
      </c>
      <c r="E192" s="408">
        <v>0</v>
      </c>
      <c r="F192" s="408">
        <v>0</v>
      </c>
      <c r="G192" s="379">
        <v>0</v>
      </c>
      <c r="H192" s="408">
        <v>470000</v>
      </c>
      <c r="I192" s="408">
        <v>-100000</v>
      </c>
      <c r="J192" s="408">
        <v>-135515</v>
      </c>
      <c r="K192" s="379">
        <f t="shared" si="5"/>
        <v>-0.28832978723404257</v>
      </c>
      <c r="L192" s="408">
        <f>180000+75000</f>
        <v>255000</v>
      </c>
      <c r="M192" s="408">
        <f>-95000-75000</f>
        <v>-170000</v>
      </c>
      <c r="N192" s="379">
        <v>0</v>
      </c>
      <c r="O192" s="238"/>
      <c r="P192" s="238"/>
      <c r="Q192" s="14" t="s">
        <v>498</v>
      </c>
    </row>
    <row r="193" spans="1:17" s="19" customFormat="1" x14ac:dyDescent="0.2">
      <c r="A193" s="236"/>
      <c r="B193" s="236"/>
      <c r="C193" s="241" t="s">
        <v>542</v>
      </c>
      <c r="D193" s="237" t="s">
        <v>185</v>
      </c>
      <c r="E193" s="408">
        <v>0</v>
      </c>
      <c r="F193" s="408">
        <v>0</v>
      </c>
      <c r="G193" s="379">
        <v>0</v>
      </c>
      <c r="H193" s="408">
        <v>245896</v>
      </c>
      <c r="I193" s="408">
        <v>-73738</v>
      </c>
      <c r="J193" s="408">
        <v>75515</v>
      </c>
      <c r="K193" s="379">
        <f t="shared" ref="K193:K194" si="6">J193/H193</f>
        <v>0.30710137619156064</v>
      </c>
      <c r="L193" s="408">
        <v>0</v>
      </c>
      <c r="M193" s="408">
        <v>0</v>
      </c>
      <c r="N193" s="379">
        <v>0</v>
      </c>
      <c r="O193" s="238"/>
      <c r="P193" s="238"/>
      <c r="Q193" s="14" t="s">
        <v>614</v>
      </c>
    </row>
    <row r="194" spans="1:17" s="19" customFormat="1" x14ac:dyDescent="0.2">
      <c r="A194" s="236"/>
      <c r="B194" s="236"/>
      <c r="C194" s="241" t="s">
        <v>543</v>
      </c>
      <c r="D194" s="237" t="s">
        <v>185</v>
      </c>
      <c r="E194" s="408">
        <v>0</v>
      </c>
      <c r="F194" s="408">
        <v>0</v>
      </c>
      <c r="G194" s="379">
        <v>0</v>
      </c>
      <c r="H194" s="408">
        <v>350000</v>
      </c>
      <c r="I194" s="408"/>
      <c r="J194" s="408">
        <v>-15000</v>
      </c>
      <c r="K194" s="379">
        <f t="shared" si="6"/>
        <v>-4.2857142857142858E-2</v>
      </c>
      <c r="L194" s="408">
        <v>0</v>
      </c>
      <c r="M194" s="408">
        <v>0</v>
      </c>
      <c r="N194" s="379">
        <v>0</v>
      </c>
      <c r="O194" s="238"/>
      <c r="P194" s="238"/>
      <c r="Q194" s="14" t="s">
        <v>538</v>
      </c>
    </row>
    <row r="195" spans="1:17" s="231" customFormat="1" ht="38.25" x14ac:dyDescent="0.2">
      <c r="A195" s="227"/>
      <c r="B195" s="227"/>
      <c r="C195" s="242" t="s">
        <v>569</v>
      </c>
      <c r="D195" s="229" t="s">
        <v>184</v>
      </c>
      <c r="E195" s="405">
        <v>0</v>
      </c>
      <c r="F195" s="405">
        <v>0</v>
      </c>
      <c r="G195" s="375">
        <v>0</v>
      </c>
      <c r="H195" s="405">
        <v>5488000</v>
      </c>
      <c r="I195" s="405">
        <f>-500000-329370</f>
        <v>-829370</v>
      </c>
      <c r="J195" s="405">
        <v>278881</v>
      </c>
      <c r="K195" s="375">
        <f t="shared" si="5"/>
        <v>5.0816508746355682E-2</v>
      </c>
      <c r="L195" s="408">
        <v>0</v>
      </c>
      <c r="M195" s="408">
        <v>0</v>
      </c>
      <c r="N195" s="379">
        <v>0</v>
      </c>
      <c r="O195" s="230"/>
      <c r="P195" s="230"/>
      <c r="Q195" s="4" t="s">
        <v>611</v>
      </c>
    </row>
    <row r="196" spans="1:17" s="19" customFormat="1" ht="38.25" x14ac:dyDescent="0.2">
      <c r="A196" s="236"/>
      <c r="B196" s="236"/>
      <c r="C196" s="241" t="s">
        <v>548</v>
      </c>
      <c r="D196" s="237" t="s">
        <v>185</v>
      </c>
      <c r="E196" s="408">
        <v>0</v>
      </c>
      <c r="F196" s="408">
        <v>0</v>
      </c>
      <c r="G196" s="379">
        <v>0</v>
      </c>
      <c r="H196" s="408">
        <v>0</v>
      </c>
      <c r="I196" s="408">
        <v>-4200</v>
      </c>
      <c r="J196" s="408">
        <v>0</v>
      </c>
      <c r="K196" s="379">
        <v>0</v>
      </c>
      <c r="L196" s="408">
        <v>220000</v>
      </c>
      <c r="M196" s="408">
        <v>-20000</v>
      </c>
      <c r="N196" s="375">
        <f>M196/L196</f>
        <v>-9.0909090909090912E-2</v>
      </c>
      <c r="O196" s="238"/>
      <c r="P196" s="238"/>
      <c r="Q196" s="14" t="s">
        <v>538</v>
      </c>
    </row>
    <row r="197" spans="1:17" s="231" customFormat="1" ht="15.75" customHeight="1" x14ac:dyDescent="0.2">
      <c r="A197" s="227"/>
      <c r="B197" s="227"/>
      <c r="C197" s="242" t="s">
        <v>570</v>
      </c>
      <c r="D197" s="229" t="s">
        <v>184</v>
      </c>
      <c r="E197" s="408">
        <v>0</v>
      </c>
      <c r="F197" s="408">
        <v>0</v>
      </c>
      <c r="G197" s="379">
        <v>0</v>
      </c>
      <c r="H197" s="405">
        <v>2522750.7000000002</v>
      </c>
      <c r="I197" s="405"/>
      <c r="J197" s="405">
        <v>-285205</v>
      </c>
      <c r="K197" s="375">
        <f>J197/H197</f>
        <v>-0.11305318436736535</v>
      </c>
      <c r="L197" s="408">
        <v>0</v>
      </c>
      <c r="M197" s="408">
        <v>0</v>
      </c>
      <c r="N197" s="379">
        <v>0</v>
      </c>
      <c r="O197" s="230"/>
      <c r="P197" s="230"/>
      <c r="Q197" s="4" t="s">
        <v>615</v>
      </c>
    </row>
    <row r="198" spans="1:17" s="231" customFormat="1" ht="38.25" x14ac:dyDescent="0.2">
      <c r="A198" s="227"/>
      <c r="B198" s="227"/>
      <c r="C198" s="242" t="s">
        <v>571</v>
      </c>
      <c r="D198" s="229" t="s">
        <v>184</v>
      </c>
      <c r="E198" s="408">
        <v>0</v>
      </c>
      <c r="F198" s="408">
        <v>0</v>
      </c>
      <c r="G198" s="379">
        <v>0</v>
      </c>
      <c r="H198" s="405">
        <v>6905137</v>
      </c>
      <c r="I198" s="405"/>
      <c r="J198" s="405">
        <f>58679-91394</f>
        <v>-32715</v>
      </c>
      <c r="K198" s="375">
        <f t="shared" ref="K198:K200" si="7">J198/H198</f>
        <v>-4.7377771071015684E-3</v>
      </c>
      <c r="L198" s="408">
        <v>0</v>
      </c>
      <c r="M198" s="408">
        <v>0</v>
      </c>
      <c r="N198" s="379">
        <v>0</v>
      </c>
      <c r="O198" s="230"/>
      <c r="P198" s="230"/>
      <c r="Q198" s="4" t="s">
        <v>611</v>
      </c>
    </row>
    <row r="199" spans="1:17" s="19" customFormat="1" ht="25.5" customHeight="1" x14ac:dyDescent="0.2">
      <c r="A199" s="236"/>
      <c r="B199" s="236"/>
      <c r="C199" s="241" t="s">
        <v>567</v>
      </c>
      <c r="D199" s="237" t="s">
        <v>184</v>
      </c>
      <c r="E199" s="408">
        <v>0</v>
      </c>
      <c r="F199" s="408">
        <v>0</v>
      </c>
      <c r="G199" s="379">
        <v>0</v>
      </c>
      <c r="H199" s="408">
        <v>9298880</v>
      </c>
      <c r="I199" s="408"/>
      <c r="J199" s="408">
        <v>323487</v>
      </c>
      <c r="K199" s="375">
        <f t="shared" si="7"/>
        <v>3.4787737878110049E-2</v>
      </c>
      <c r="L199" s="408">
        <v>2137687</v>
      </c>
      <c r="M199" s="408">
        <v>-54545</v>
      </c>
      <c r="N199" s="379"/>
      <c r="O199" s="238"/>
      <c r="P199" s="238"/>
      <c r="Q199" s="14" t="s">
        <v>538</v>
      </c>
    </row>
    <row r="200" spans="1:17" s="19" customFormat="1" ht="38.25" x14ac:dyDescent="0.2">
      <c r="A200" s="236"/>
      <c r="B200" s="236"/>
      <c r="C200" s="14" t="s">
        <v>568</v>
      </c>
      <c r="D200" s="237" t="s">
        <v>184</v>
      </c>
      <c r="E200" s="408">
        <v>0</v>
      </c>
      <c r="F200" s="408">
        <v>0</v>
      </c>
      <c r="G200" s="379">
        <v>0</v>
      </c>
      <c r="H200" s="408">
        <v>6551539</v>
      </c>
      <c r="I200" s="408"/>
      <c r="J200" s="408">
        <v>100575</v>
      </c>
      <c r="K200" s="375">
        <f t="shared" si="7"/>
        <v>1.5351354849600986E-2</v>
      </c>
      <c r="L200" s="408">
        <v>0</v>
      </c>
      <c r="M200" s="408">
        <v>0</v>
      </c>
      <c r="N200" s="379">
        <v>0</v>
      </c>
      <c r="O200" s="238"/>
      <c r="P200" s="238"/>
      <c r="Q200" s="4" t="s">
        <v>611</v>
      </c>
    </row>
    <row r="201" spans="1:17" s="19" customFormat="1" x14ac:dyDescent="0.2">
      <c r="A201" s="236"/>
      <c r="B201" s="236"/>
      <c r="C201" s="14" t="s">
        <v>585</v>
      </c>
      <c r="D201" s="237" t="s">
        <v>184</v>
      </c>
      <c r="E201" s="408">
        <v>2617337</v>
      </c>
      <c r="F201" s="408">
        <v>25449</v>
      </c>
      <c r="G201" s="379">
        <f>F201/E201</f>
        <v>9.7232416001454911E-3</v>
      </c>
      <c r="H201" s="408">
        <v>0</v>
      </c>
      <c r="I201" s="408"/>
      <c r="J201" s="408">
        <v>0</v>
      </c>
      <c r="K201" s="375">
        <v>0</v>
      </c>
      <c r="L201" s="408">
        <v>0</v>
      </c>
      <c r="M201" s="408">
        <v>0</v>
      </c>
      <c r="N201" s="379">
        <v>0</v>
      </c>
      <c r="O201" s="238"/>
      <c r="P201" s="238"/>
      <c r="Q201" s="14" t="s">
        <v>616</v>
      </c>
    </row>
    <row r="202" spans="1:17" s="19" customFormat="1" x14ac:dyDescent="0.2">
      <c r="A202" s="236"/>
      <c r="B202" s="236"/>
      <c r="C202" s="241" t="s">
        <v>494</v>
      </c>
      <c r="D202" s="237" t="s">
        <v>184</v>
      </c>
      <c r="E202" s="408">
        <v>0</v>
      </c>
      <c r="F202" s="408">
        <v>0</v>
      </c>
      <c r="G202" s="379">
        <v>0</v>
      </c>
      <c r="H202" s="408">
        <v>6830008</v>
      </c>
      <c r="I202" s="408">
        <f>2782156+52400-73738</f>
        <v>2760818</v>
      </c>
      <c r="J202" s="408">
        <v>1259379</v>
      </c>
      <c r="K202" s="379">
        <f>J202/H202</f>
        <v>0.18438909588392868</v>
      </c>
      <c r="L202" s="408">
        <v>0</v>
      </c>
      <c r="M202" s="408">
        <v>0</v>
      </c>
      <c r="N202" s="379">
        <v>0</v>
      </c>
      <c r="O202" s="238"/>
      <c r="P202" s="238"/>
      <c r="Q202" s="14" t="s">
        <v>605</v>
      </c>
    </row>
    <row r="203" spans="1:17" s="19" customFormat="1" ht="26.85" customHeight="1" x14ac:dyDescent="0.2">
      <c r="A203" s="236"/>
      <c r="B203" s="236"/>
      <c r="C203" s="241" t="s">
        <v>493</v>
      </c>
      <c r="D203" s="237" t="s">
        <v>184</v>
      </c>
      <c r="E203" s="408">
        <v>0</v>
      </c>
      <c r="F203" s="408">
        <v>0</v>
      </c>
      <c r="G203" s="379">
        <v>0</v>
      </c>
      <c r="H203" s="408">
        <f>6551539+9007862</f>
        <v>15559401</v>
      </c>
      <c r="I203" s="408">
        <f>2200000+6146279</f>
        <v>8346279</v>
      </c>
      <c r="J203" s="408">
        <f>303000+220000</f>
        <v>523000</v>
      </c>
      <c r="K203" s="379">
        <f>J203/H203</f>
        <v>3.3613119168276466E-2</v>
      </c>
      <c r="L203" s="408">
        <v>0</v>
      </c>
      <c r="M203" s="408">
        <v>0</v>
      </c>
      <c r="N203" s="379">
        <v>0</v>
      </c>
      <c r="O203" s="238"/>
      <c r="P203" s="238"/>
      <c r="Q203" s="14" t="s">
        <v>574</v>
      </c>
    </row>
    <row r="204" spans="1:17" s="19" customFormat="1" x14ac:dyDescent="0.2">
      <c r="A204" s="236"/>
      <c r="B204" s="236"/>
      <c r="C204" s="241" t="s">
        <v>586</v>
      </c>
      <c r="D204" s="237" t="s">
        <v>184</v>
      </c>
      <c r="E204" s="408">
        <v>0</v>
      </c>
      <c r="F204" s="408">
        <v>0</v>
      </c>
      <c r="G204" s="379">
        <v>0</v>
      </c>
      <c r="H204" s="408">
        <v>3000000</v>
      </c>
      <c r="I204" s="408"/>
      <c r="J204" s="408">
        <v>-2252511.7599999998</v>
      </c>
      <c r="K204" s="379">
        <f>J204/H204</f>
        <v>-0.75083725333333329</v>
      </c>
      <c r="L204" s="408">
        <v>0</v>
      </c>
      <c r="M204" s="408">
        <v>0</v>
      </c>
      <c r="N204" s="379">
        <v>0</v>
      </c>
      <c r="O204" s="238"/>
      <c r="P204" s="238"/>
      <c r="Q204" s="14" t="s">
        <v>538</v>
      </c>
    </row>
    <row r="205" spans="1:17" s="19" customFormat="1" x14ac:dyDescent="0.2">
      <c r="A205" s="236"/>
      <c r="B205" s="236"/>
      <c r="C205" s="241" t="s">
        <v>587</v>
      </c>
      <c r="D205" s="237" t="s">
        <v>184</v>
      </c>
      <c r="E205" s="408">
        <v>0</v>
      </c>
      <c r="F205" s="408">
        <v>0</v>
      </c>
      <c r="G205" s="379">
        <v>0</v>
      </c>
      <c r="H205" s="408">
        <v>2300000</v>
      </c>
      <c r="I205" s="408"/>
      <c r="J205" s="408">
        <v>-2300000</v>
      </c>
      <c r="K205" s="379">
        <f>J205/H205</f>
        <v>-1</v>
      </c>
      <c r="L205" s="408">
        <v>0</v>
      </c>
      <c r="M205" s="408">
        <v>0</v>
      </c>
      <c r="N205" s="379">
        <v>0</v>
      </c>
      <c r="O205" s="238"/>
      <c r="P205" s="238"/>
      <c r="Q205" s="14" t="s">
        <v>603</v>
      </c>
    </row>
    <row r="206" spans="1:17" s="231" customFormat="1" x14ac:dyDescent="0.2">
      <c r="A206" s="227"/>
      <c r="B206" s="227"/>
      <c r="C206" s="242" t="s">
        <v>590</v>
      </c>
      <c r="D206" s="229" t="s">
        <v>184</v>
      </c>
      <c r="E206" s="408">
        <v>0</v>
      </c>
      <c r="F206" s="408">
        <v>0</v>
      </c>
      <c r="G206" s="379">
        <v>0</v>
      </c>
      <c r="H206" s="405">
        <v>800000</v>
      </c>
      <c r="I206" s="405"/>
      <c r="J206" s="405">
        <v>-100000</v>
      </c>
      <c r="K206" s="375">
        <f t="shared" ref="K206" si="8">J206/H206</f>
        <v>-0.125</v>
      </c>
      <c r="L206" s="405">
        <v>0</v>
      </c>
      <c r="M206" s="405">
        <v>0</v>
      </c>
      <c r="N206" s="375">
        <v>0</v>
      </c>
      <c r="O206" s="230"/>
      <c r="P206" s="230"/>
      <c r="Q206" s="4" t="s">
        <v>603</v>
      </c>
    </row>
    <row r="207" spans="1:17" s="19" customFormat="1" ht="25.5" customHeight="1" x14ac:dyDescent="0.2">
      <c r="A207" s="236"/>
      <c r="B207" s="236"/>
      <c r="C207" s="241" t="s">
        <v>544</v>
      </c>
      <c r="D207" s="237" t="s">
        <v>545</v>
      </c>
      <c r="E207" s="408">
        <v>0</v>
      </c>
      <c r="F207" s="408">
        <v>0</v>
      </c>
      <c r="G207" s="379">
        <v>0</v>
      </c>
      <c r="H207" s="408">
        <v>0</v>
      </c>
      <c r="I207" s="408"/>
      <c r="J207" s="408">
        <v>0</v>
      </c>
      <c r="K207" s="379">
        <v>0</v>
      </c>
      <c r="L207" s="408">
        <v>173661</v>
      </c>
      <c r="M207" s="408">
        <v>-104196</v>
      </c>
      <c r="N207" s="393">
        <f>M207/L207</f>
        <v>-0.59999654499283084</v>
      </c>
      <c r="O207" s="238"/>
      <c r="P207" s="238"/>
      <c r="Q207" s="14" t="s">
        <v>604</v>
      </c>
    </row>
    <row r="208" spans="1:17" s="117" customFormat="1" ht="13.15" hidden="1" x14ac:dyDescent="0.25">
      <c r="A208" s="223"/>
      <c r="B208" s="223"/>
      <c r="C208" s="224" t="s">
        <v>268</v>
      </c>
      <c r="D208" s="225" t="s">
        <v>231</v>
      </c>
      <c r="E208" s="420" t="s">
        <v>30</v>
      </c>
      <c r="F208" s="420">
        <f>F210+F209</f>
        <v>0</v>
      </c>
      <c r="G208" s="390" t="s">
        <v>30</v>
      </c>
      <c r="H208" s="420" t="s">
        <v>30</v>
      </c>
      <c r="I208" s="420">
        <f>SUM(I209)</f>
        <v>0</v>
      </c>
      <c r="J208" s="420">
        <f>SUM(J209)</f>
        <v>0</v>
      </c>
      <c r="K208" s="390"/>
      <c r="L208" s="420" t="s">
        <v>30</v>
      </c>
      <c r="M208" s="420">
        <f>SUM(M209)</f>
        <v>0</v>
      </c>
      <c r="N208" s="390" t="s">
        <v>30</v>
      </c>
      <c r="O208" s="199">
        <f>SUM(O209)</f>
        <v>0</v>
      </c>
      <c r="P208" s="199">
        <f>SUM(P209)</f>
        <v>0</v>
      </c>
      <c r="Q208" s="125"/>
    </row>
    <row r="209" spans="1:17" s="117" customFormat="1" ht="52.35" hidden="1" x14ac:dyDescent="0.25">
      <c r="A209" s="159"/>
      <c r="B209" s="159"/>
      <c r="C209" s="226" t="s">
        <v>378</v>
      </c>
      <c r="D209" s="141" t="s">
        <v>184</v>
      </c>
      <c r="E209" s="406"/>
      <c r="F209" s="406">
        <v>0</v>
      </c>
      <c r="G209" s="376"/>
      <c r="H209" s="406"/>
      <c r="I209" s="406"/>
      <c r="J209" s="406"/>
      <c r="K209" s="376"/>
      <c r="L209" s="406"/>
      <c r="M209" s="406"/>
      <c r="N209" s="394"/>
      <c r="O209" s="120"/>
      <c r="P209" s="120"/>
      <c r="Q209" s="125"/>
    </row>
    <row r="210" spans="1:17" s="117" customFormat="1" ht="13.15" hidden="1" x14ac:dyDescent="0.25">
      <c r="A210" s="159"/>
      <c r="B210" s="159"/>
      <c r="C210" s="226"/>
      <c r="D210" s="141" t="s">
        <v>184</v>
      </c>
      <c r="E210" s="406"/>
      <c r="F210" s="406">
        <v>0</v>
      </c>
      <c r="G210" s="376"/>
      <c r="H210" s="406"/>
      <c r="I210" s="406"/>
      <c r="J210" s="406"/>
      <c r="K210" s="376"/>
      <c r="L210" s="406"/>
      <c r="M210" s="406"/>
      <c r="N210" s="394"/>
      <c r="O210" s="120"/>
      <c r="P210" s="120"/>
      <c r="Q210" s="125"/>
    </row>
    <row r="211" spans="1:17" x14ac:dyDescent="0.2">
      <c r="A211" s="281"/>
      <c r="B211" s="281"/>
      <c r="C211" s="282" t="s">
        <v>101</v>
      </c>
      <c r="D211" s="283"/>
      <c r="E211" s="421" t="s">
        <v>98</v>
      </c>
      <c r="F211" s="421">
        <f>F208+F187+F189</f>
        <v>5610226</v>
      </c>
      <c r="G211" s="391" t="s">
        <v>98</v>
      </c>
      <c r="H211" s="421" t="s">
        <v>98</v>
      </c>
      <c r="I211" s="421">
        <f>I189+I187+I208</f>
        <v>27215125</v>
      </c>
      <c r="J211" s="421">
        <f>J189+J187+J208</f>
        <v>8573419.5700000003</v>
      </c>
      <c r="K211" s="391" t="s">
        <v>98</v>
      </c>
      <c r="L211" s="421" t="s">
        <v>98</v>
      </c>
      <c r="M211" s="421">
        <f>M189+M187+M208</f>
        <v>2774849</v>
      </c>
      <c r="N211" s="391" t="s">
        <v>98</v>
      </c>
      <c r="O211" s="284">
        <f>O189+O187+O208</f>
        <v>0</v>
      </c>
      <c r="P211" s="284">
        <f>P189+P187+P208</f>
        <v>0</v>
      </c>
      <c r="Q211" s="203"/>
    </row>
    <row r="212" spans="1:17" x14ac:dyDescent="0.2">
      <c r="A212" s="281"/>
      <c r="B212" s="281"/>
      <c r="C212" s="282" t="s">
        <v>233</v>
      </c>
      <c r="D212" s="283"/>
      <c r="E212" s="421"/>
      <c r="F212" s="421"/>
      <c r="G212" s="391"/>
      <c r="H212" s="421"/>
      <c r="I212" s="421"/>
      <c r="J212" s="421"/>
      <c r="K212" s="391"/>
      <c r="L212" s="421"/>
      <c r="M212" s="421"/>
      <c r="N212" s="391"/>
      <c r="O212" s="284"/>
      <c r="P212" s="284"/>
      <c r="Q212" s="203"/>
    </row>
    <row r="213" spans="1:17" s="290" customFormat="1" ht="13.5" x14ac:dyDescent="0.25">
      <c r="A213" s="285"/>
      <c r="B213" s="285"/>
      <c r="C213" s="286" t="s">
        <v>102</v>
      </c>
      <c r="D213" s="287"/>
      <c r="E213" s="501">
        <f>J211+F211+M211</f>
        <v>16958494.57</v>
      </c>
      <c r="F213" s="502"/>
      <c r="G213" s="502"/>
      <c r="H213" s="502"/>
      <c r="I213" s="502"/>
      <c r="J213" s="502"/>
      <c r="K213" s="502"/>
      <c r="L213" s="502"/>
      <c r="M213" s="502"/>
      <c r="N213" s="503"/>
      <c r="O213" s="288">
        <f>O211+O212</f>
        <v>0</v>
      </c>
      <c r="P213" s="288">
        <f>P211+P212</f>
        <v>0</v>
      </c>
      <c r="Q213" s="289"/>
    </row>
    <row r="214" spans="1:17" s="117" customFormat="1" ht="13.15" x14ac:dyDescent="0.25">
      <c r="A214" s="128"/>
      <c r="B214" s="128"/>
      <c r="D214" s="143"/>
      <c r="E214" s="422"/>
      <c r="F214" s="422"/>
      <c r="G214" s="392"/>
      <c r="H214" s="422"/>
      <c r="I214" s="422"/>
      <c r="J214" s="422"/>
      <c r="K214" s="392"/>
      <c r="L214" s="422"/>
      <c r="M214" s="422"/>
      <c r="N214" s="392"/>
      <c r="O214" s="143"/>
      <c r="P214" s="143"/>
      <c r="Q214" s="145"/>
    </row>
    <row r="215" spans="1:17" s="117" customFormat="1" ht="13.15" hidden="1" x14ac:dyDescent="0.25">
      <c r="A215" s="128"/>
      <c r="B215" s="128"/>
      <c r="D215" s="143"/>
      <c r="E215" s="422"/>
      <c r="F215" s="422"/>
      <c r="G215" s="392"/>
      <c r="H215" s="422"/>
      <c r="I215" s="422"/>
      <c r="J215" s="422"/>
      <c r="K215" s="392"/>
      <c r="L215" s="422"/>
      <c r="M215" s="422"/>
      <c r="N215" s="392"/>
      <c r="O215" s="143"/>
      <c r="P215" s="143"/>
      <c r="Q215" s="145"/>
    </row>
    <row r="216" spans="1:17" s="117" customFormat="1" ht="13.15" hidden="1" x14ac:dyDescent="0.25">
      <c r="A216" s="128"/>
      <c r="B216" s="128"/>
      <c r="D216" s="143"/>
      <c r="E216" s="422"/>
      <c r="F216" s="422"/>
      <c r="G216" s="392"/>
      <c r="H216" s="422"/>
      <c r="I216" s="422"/>
      <c r="J216" s="422">
        <v>6150000</v>
      </c>
      <c r="K216" s="392" t="s">
        <v>588</v>
      </c>
      <c r="L216" s="422"/>
      <c r="M216" s="422"/>
      <c r="N216" s="392"/>
      <c r="O216" s="143"/>
      <c r="P216" s="143"/>
      <c r="Q216" s="145"/>
    </row>
    <row r="217" spans="1:17" s="117" customFormat="1" ht="13.15" hidden="1" x14ac:dyDescent="0.25">
      <c r="A217" s="128"/>
      <c r="B217" s="128"/>
      <c r="D217" s="143"/>
      <c r="E217" s="422"/>
      <c r="F217" s="422"/>
      <c r="G217" s="392"/>
      <c r="H217" s="422"/>
      <c r="I217" s="422"/>
      <c r="J217" s="422">
        <v>-1884990</v>
      </c>
      <c r="K217" s="392" t="s">
        <v>572</v>
      </c>
      <c r="L217" s="422"/>
      <c r="M217" s="422"/>
      <c r="N217" s="392"/>
      <c r="O217" s="143"/>
      <c r="P217" s="143"/>
      <c r="Q217" s="145"/>
    </row>
    <row r="218" spans="1:17" s="117" customFormat="1" ht="13.15" hidden="1" x14ac:dyDescent="0.25">
      <c r="A218" s="128"/>
      <c r="B218" s="128"/>
      <c r="D218" s="143"/>
      <c r="E218" s="422"/>
      <c r="F218" s="422"/>
      <c r="G218" s="392"/>
      <c r="H218" s="422"/>
      <c r="I218" s="422"/>
      <c r="J218" s="422">
        <v>6071254</v>
      </c>
      <c r="K218" s="392" t="s">
        <v>573</v>
      </c>
      <c r="L218" s="422"/>
      <c r="M218" s="422"/>
      <c r="N218" s="392"/>
      <c r="O218" s="143"/>
      <c r="P218" s="143"/>
      <c r="Q218" s="145"/>
    </row>
    <row r="219" spans="1:17" s="117" customFormat="1" ht="13.15" hidden="1" x14ac:dyDescent="0.25">
      <c r="A219" s="128"/>
      <c r="B219" s="128"/>
      <c r="D219" s="143"/>
      <c r="E219" s="422"/>
      <c r="F219" s="422"/>
      <c r="G219" s="392"/>
      <c r="H219" s="422"/>
      <c r="I219" s="422"/>
      <c r="J219" s="422"/>
      <c r="K219" s="392"/>
      <c r="L219" s="422"/>
      <c r="M219" s="422"/>
      <c r="N219" s="392"/>
      <c r="O219" s="143"/>
      <c r="P219" s="143"/>
      <c r="Q219" s="145"/>
    </row>
    <row r="220" spans="1:17" s="117" customFormat="1" ht="13.15" hidden="1" x14ac:dyDescent="0.25">
      <c r="A220" s="128"/>
      <c r="B220" s="128"/>
      <c r="D220" s="143"/>
      <c r="E220" s="422"/>
      <c r="F220" s="422"/>
      <c r="G220" s="392"/>
      <c r="H220" s="422" t="s">
        <v>589</v>
      </c>
      <c r="I220" s="422"/>
      <c r="J220" s="422">
        <f>J217+J218+J219+J216</f>
        <v>10336264</v>
      </c>
      <c r="K220" s="392"/>
      <c r="L220" s="422"/>
      <c r="M220" s="422"/>
      <c r="N220" s="392"/>
      <c r="O220" s="143"/>
      <c r="P220" s="143"/>
      <c r="Q220" s="145"/>
    </row>
    <row r="221" spans="1:17" s="117" customFormat="1" ht="13.15" hidden="1" x14ac:dyDescent="0.25">
      <c r="A221" s="128"/>
      <c r="B221" s="128"/>
      <c r="D221" s="143"/>
      <c r="E221" s="422"/>
      <c r="F221" s="422"/>
      <c r="G221" s="392"/>
      <c r="H221" s="422"/>
      <c r="I221" s="422"/>
      <c r="J221" s="422">
        <f>J220-J211</f>
        <v>1762844.4299999997</v>
      </c>
      <c r="K221" s="392" t="s">
        <v>575</v>
      </c>
      <c r="L221" s="422"/>
      <c r="M221" s="422"/>
      <c r="N221" s="392"/>
      <c r="O221" s="143"/>
      <c r="P221" s="143"/>
      <c r="Q221" s="145"/>
    </row>
    <row r="222" spans="1:17" s="117" customFormat="1" ht="13.15" hidden="1" x14ac:dyDescent="0.25">
      <c r="A222" s="128"/>
      <c r="B222" s="128"/>
      <c r="D222" s="143"/>
      <c r="E222" s="422"/>
      <c r="F222" s="422"/>
      <c r="G222" s="392"/>
      <c r="H222" s="422"/>
      <c r="I222" s="422"/>
      <c r="J222" s="422"/>
      <c r="K222" s="392"/>
      <c r="L222" s="422"/>
      <c r="M222" s="422"/>
      <c r="N222" s="392"/>
      <c r="O222" s="143"/>
      <c r="P222" s="143"/>
      <c r="Q222" s="145"/>
    </row>
    <row r="223" spans="1:17" ht="13.15" hidden="1" x14ac:dyDescent="0.25"/>
    <row r="224" spans="1:17" ht="13.15" hidden="1" x14ac:dyDescent="0.25"/>
    <row r="225" spans="8:8" ht="13.15" hidden="1" x14ac:dyDescent="0.25"/>
    <row r="226" spans="8:8" ht="13.15" hidden="1" x14ac:dyDescent="0.25"/>
    <row r="227" spans="8:8" ht="13.15" hidden="1" x14ac:dyDescent="0.25"/>
    <row r="228" spans="8:8" ht="13.15" hidden="1" x14ac:dyDescent="0.25"/>
    <row r="229" spans="8:8" ht="13.15" hidden="1" x14ac:dyDescent="0.25"/>
    <row r="230" spans="8:8" ht="13.15" hidden="1" x14ac:dyDescent="0.25"/>
    <row r="231" spans="8:8" ht="13.15" hidden="1" x14ac:dyDescent="0.25"/>
    <row r="232" spans="8:8" ht="13.15" hidden="1" x14ac:dyDescent="0.25"/>
    <row r="233" spans="8:8" ht="13.15" hidden="1" x14ac:dyDescent="0.25"/>
    <row r="234" spans="8:8" ht="13.15" hidden="1" x14ac:dyDescent="0.25">
      <c r="H234" s="422" t="s">
        <v>195</v>
      </c>
    </row>
  </sheetData>
  <mergeCells count="13">
    <mergeCell ref="Q26:Q28"/>
    <mergeCell ref="E213:N213"/>
    <mergeCell ref="A6:N6"/>
    <mergeCell ref="A1:P1"/>
    <mergeCell ref="E2:L2"/>
    <mergeCell ref="A4:A5"/>
    <mergeCell ref="C4:C5"/>
    <mergeCell ref="D4:D5"/>
    <mergeCell ref="E4:G4"/>
    <mergeCell ref="L4:N4"/>
    <mergeCell ref="D188:N188"/>
    <mergeCell ref="H4:K4"/>
    <mergeCell ref="B4:B5"/>
  </mergeCells>
  <pageMargins left="0.31496062992125984" right="0.31496062992125984" top="0.15748031496062992" bottom="0.15748031496062992" header="0" footer="0"/>
  <pageSetup paperSize="9" scale="70" fitToHeight="0" orientation="landscape" r:id="rId1"/>
  <rowBreaks count="1" manualBreakCount="1">
    <brk id="5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SheetLayoutView="100" workbookViewId="0">
      <selection activeCell="G22" sqref="G22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style="395" customWidth="1"/>
    <col min="9" max="9" width="20.5703125" style="395" customWidth="1"/>
    <col min="10" max="10" width="20.7109375" style="395" customWidth="1"/>
  </cols>
  <sheetData>
    <row r="1" spans="1:11" ht="1.5" customHeight="1" x14ac:dyDescent="0.3"/>
    <row r="2" spans="1:11" hidden="1" x14ac:dyDescent="0.3"/>
    <row r="3" spans="1:11" ht="39.75" customHeight="1" x14ac:dyDescent="0.25">
      <c r="A3" s="513" t="s">
        <v>458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</row>
    <row r="4" spans="1:11" ht="15.75" x14ac:dyDescent="0.3">
      <c r="A4" s="204"/>
      <c r="B4" s="116"/>
      <c r="C4" s="205"/>
      <c r="D4" s="514"/>
      <c r="E4" s="514"/>
      <c r="F4" s="514"/>
      <c r="G4" s="514"/>
      <c r="H4" s="396"/>
      <c r="I4" s="396"/>
      <c r="J4" s="396"/>
      <c r="K4" s="205"/>
    </row>
    <row r="5" spans="1:11" ht="51.75" customHeight="1" x14ac:dyDescent="0.25">
      <c r="A5" s="206"/>
      <c r="B5" s="206"/>
      <c r="C5" s="206"/>
      <c r="D5" s="206"/>
      <c r="E5" s="206"/>
      <c r="F5" s="206"/>
      <c r="G5" s="207" t="s">
        <v>547</v>
      </c>
      <c r="H5" s="397" t="s">
        <v>86</v>
      </c>
      <c r="I5" s="397" t="s">
        <v>87</v>
      </c>
      <c r="J5" s="398" t="s">
        <v>501</v>
      </c>
      <c r="K5" s="113"/>
    </row>
    <row r="6" spans="1:11" x14ac:dyDescent="0.3">
      <c r="A6" s="208"/>
      <c r="B6" s="515">
        <f>+G7</f>
        <v>30800000</v>
      </c>
      <c r="C6" s="515"/>
      <c r="D6" s="516"/>
      <c r="E6" s="516"/>
      <c r="F6" s="516"/>
      <c r="G6" s="516"/>
      <c r="H6" s="399">
        <f>H7+H9+H8+H10+H11+H12</f>
        <v>12571339</v>
      </c>
      <c r="I6" s="399">
        <f>расходы!J211+расходы!F211+расходы!M211</f>
        <v>16958494.57</v>
      </c>
      <c r="J6" s="399">
        <f>B6-H6+I6</f>
        <v>35187155.57</v>
      </c>
      <c r="K6" s="113"/>
    </row>
    <row r="7" spans="1:11" ht="15.75" x14ac:dyDescent="0.25">
      <c r="A7" s="209" t="s">
        <v>88</v>
      </c>
      <c r="B7" s="210"/>
      <c r="C7" s="210"/>
      <c r="D7" s="210"/>
      <c r="E7" s="210"/>
      <c r="F7" s="210"/>
      <c r="G7" s="210">
        <v>30800000</v>
      </c>
      <c r="H7" s="400">
        <v>0</v>
      </c>
      <c r="I7" s="400">
        <v>0</v>
      </c>
      <c r="J7" s="400">
        <f>J6</f>
        <v>35187155.57</v>
      </c>
      <c r="K7" s="113"/>
    </row>
    <row r="8" spans="1:11" ht="31.5" x14ac:dyDescent="0.25">
      <c r="A8" s="209" t="s">
        <v>89</v>
      </c>
      <c r="B8" s="210"/>
      <c r="C8" s="210"/>
      <c r="D8" s="210"/>
      <c r="E8" s="210"/>
      <c r="F8" s="210"/>
      <c r="G8" s="210"/>
      <c r="H8" s="400">
        <f>Доходы!D6+Доходы!D131</f>
        <v>-1884990</v>
      </c>
      <c r="I8" s="400">
        <v>0</v>
      </c>
      <c r="J8" s="400">
        <v>0</v>
      </c>
      <c r="K8" s="113"/>
    </row>
    <row r="9" spans="1:11" ht="22.7" customHeight="1" x14ac:dyDescent="0.25">
      <c r="A9" s="209" t="s">
        <v>90</v>
      </c>
      <c r="B9" s="210"/>
      <c r="C9" s="210"/>
      <c r="D9" s="210"/>
      <c r="E9" s="210"/>
      <c r="F9" s="210"/>
      <c r="G9" s="210"/>
      <c r="H9" s="400">
        <f>Доходы!D31+Доходы!D50+Доходы!D126</f>
        <v>5610226</v>
      </c>
      <c r="I9" s="400">
        <v>0</v>
      </c>
      <c r="J9" s="400">
        <v>0</v>
      </c>
      <c r="K9" s="113"/>
    </row>
    <row r="10" spans="1:11" ht="15.75" x14ac:dyDescent="0.25">
      <c r="A10" s="209" t="s">
        <v>91</v>
      </c>
      <c r="B10" s="210"/>
      <c r="C10" s="210"/>
      <c r="D10" s="210"/>
      <c r="E10" s="210"/>
      <c r="F10" s="210"/>
      <c r="G10" s="210"/>
      <c r="H10" s="400">
        <f>Доходы!D27</f>
        <v>6071254</v>
      </c>
      <c r="I10" s="400"/>
      <c r="J10" s="400"/>
      <c r="K10" s="113"/>
    </row>
    <row r="11" spans="1:11" ht="15.75" x14ac:dyDescent="0.25">
      <c r="A11" s="209" t="s">
        <v>602</v>
      </c>
      <c r="B11" s="210"/>
      <c r="C11" s="210"/>
      <c r="D11" s="210"/>
      <c r="E11" s="210"/>
      <c r="F11" s="210"/>
      <c r="G11" s="210"/>
      <c r="H11" s="400">
        <v>0</v>
      </c>
      <c r="I11" s="400"/>
      <c r="J11" s="400"/>
      <c r="K11" s="113"/>
    </row>
    <row r="12" spans="1:11" ht="20.25" customHeight="1" x14ac:dyDescent="0.25">
      <c r="A12" s="209" t="s">
        <v>619</v>
      </c>
      <c r="B12" s="210"/>
      <c r="C12" s="210"/>
      <c r="D12" s="210"/>
      <c r="E12" s="210"/>
      <c r="F12" s="210"/>
      <c r="G12" s="210"/>
      <c r="H12" s="400">
        <f>Доходы!D98</f>
        <v>2774849</v>
      </c>
      <c r="I12" s="400"/>
      <c r="J12" s="400"/>
      <c r="K12" s="113"/>
    </row>
    <row r="13" spans="1:11" x14ac:dyDescent="0.3">
      <c r="A13" s="113"/>
      <c r="B13" s="113"/>
      <c r="C13" s="113"/>
      <c r="D13" s="113"/>
      <c r="E13" s="113"/>
      <c r="F13" s="113"/>
      <c r="G13" s="113"/>
      <c r="H13" s="401"/>
      <c r="I13" s="401"/>
      <c r="J13" s="401"/>
      <c r="K13" s="113"/>
    </row>
    <row r="14" spans="1:11" x14ac:dyDescent="0.3">
      <c r="A14" s="113"/>
      <c r="B14" s="113"/>
      <c r="C14" s="113"/>
      <c r="D14" s="113"/>
      <c r="E14" s="113"/>
      <c r="F14" s="113"/>
      <c r="G14" s="113"/>
      <c r="H14" s="401"/>
      <c r="I14" s="401"/>
      <c r="J14" s="401"/>
      <c r="K14" s="113"/>
    </row>
    <row r="15" spans="1:11" x14ac:dyDescent="0.3">
      <c r="A15" s="113"/>
      <c r="B15" s="113"/>
      <c r="C15" s="113"/>
      <c r="D15" s="113"/>
      <c r="E15" s="113"/>
      <c r="F15" s="113"/>
      <c r="G15" s="113"/>
      <c r="H15" s="401"/>
      <c r="I15" s="401"/>
      <c r="J15" s="401"/>
      <c r="K15" s="113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prokofieva</cp:lastModifiedBy>
  <cp:lastPrinted>2022-12-19T13:47:04Z</cp:lastPrinted>
  <dcterms:created xsi:type="dcterms:W3CDTF">2012-07-26T06:35:37Z</dcterms:created>
  <dcterms:modified xsi:type="dcterms:W3CDTF">2022-12-19T13:47:06Z</dcterms:modified>
</cp:coreProperties>
</file>