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365" windowHeight="13755" tabRatio="730" activeTab="13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r:id="rId6"/>
    <sheet name="Пр7" sheetId="7" r:id="rId7"/>
    <sheet name="Пр.8" sheetId="60" state="hidden" r:id="rId8"/>
    <sheet name="Пр9" sheetId="58" state="hidden" r:id="rId9"/>
    <sheet name="Пр.10" sheetId="14" r:id="rId10"/>
    <sheet name="Лист12" sheetId="72" state="hidden" r:id="rId11"/>
    <sheet name="Пр11" sheetId="15" r:id="rId12"/>
    <sheet name="Пр.12" sheetId="16" r:id="rId13"/>
    <sheet name="Пр13" sheetId="21" r:id="rId14"/>
    <sheet name="Пр14" sheetId="45" state="hidden" r:id="rId15"/>
    <sheet name="Пр15" sheetId="56" state="hidden" r:id="rId16"/>
    <sheet name="КВСР" sheetId="31" state="hidden" r:id="rId17"/>
    <sheet name="КФСР" sheetId="51" state="hidden" r:id="rId18"/>
    <sheet name="Пр16" sheetId="62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2" sheetId="59" state="hidden" r:id="rId23"/>
    <sheet name="Лист3" sheetId="61" state="hidden" r:id="rId24"/>
    <sheet name="Лист4" sheetId="63" state="hidden" r:id="rId25"/>
    <sheet name="Лист1" sheetId="64" state="hidden" r:id="rId26"/>
    <sheet name="Лист5" sheetId="65" state="hidden" r:id="rId27"/>
    <sheet name="Лист6" sheetId="66" state="hidden" r:id="rId28"/>
    <sheet name="Лист7" sheetId="67" state="hidden" r:id="rId29"/>
    <sheet name="Лист8" sheetId="68" state="hidden" r:id="rId30"/>
    <sheet name="Лист9" sheetId="69" state="hidden" r:id="rId31"/>
    <sheet name="Лист10" sheetId="70" state="hidden" r:id="rId32"/>
    <sheet name="Лист11" sheetId="71" state="hidden" r:id="rId33"/>
    <sheet name="Лист13" sheetId="73" state="hidden" r:id="rId34"/>
    <sheet name="Лист14" sheetId="74" state="hidden" r:id="rId35"/>
  </sheets>
  <definedNames>
    <definedName name="_GoBack" localSheetId="6">Пр7!$A$35</definedName>
    <definedName name="_xlnm._FilterDatabase" localSheetId="16">КВСР!$A$2:$B$1166</definedName>
    <definedName name="_xlnm._FilterDatabase" localSheetId="17">КФСР!$A$1400:$B$1478</definedName>
    <definedName name="_xlnm._FilterDatabase" localSheetId="9" hidden="1">Пр.10!$B$1:$B$1193</definedName>
    <definedName name="_xlnm._FilterDatabase" localSheetId="12">Пр.12!$C$1:$D$261</definedName>
    <definedName name="_xlnm._FilterDatabase" localSheetId="0" hidden="1">Пр1!$A$9:$L$148</definedName>
    <definedName name="_xlnm._FilterDatabase" localSheetId="11" hidden="1">Пр11!$A$8:$L$661</definedName>
    <definedName name="_xlnm._FilterDatabase" localSheetId="13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Пр.10!$A$9:$F$1166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Пр.10!$A$9:$F$1166</definedName>
    <definedName name="Z_91923F83_3A6B_4204_9891_178562AB34F1_.wvu.PrintArea" localSheetId="9">Пр.10!$A$1:$F$1166</definedName>
    <definedName name="Z_91923F83_3A6B_4204_9891_178562AB34F1_.wvu.PrintArea" localSheetId="2">Пр_3!$A$1:$B$120</definedName>
    <definedName name="Z_91923F83_3A6B_4204_9891_178562AB34F1_.wvu.PrintArea" localSheetId="0">Пр1!$A$1:$I$148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Пр.10!$A$9:$F$1166</definedName>
    <definedName name="Z_A5E41FC9_89B1_40D2_B587_57BC4C5E4715_.wvu.PrintArea" localSheetId="9">Пр.10!$A$1:$F$1166</definedName>
    <definedName name="Z_A5E41FC9_89B1_40D2_B587_57BC4C5E4715_.wvu.PrintArea" localSheetId="2">Пр_3!$A$1:$B$120</definedName>
    <definedName name="Z_A5E41FC9_89B1_40D2_B587_57BC4C5E4715_.wvu.PrintArea" localSheetId="0">Пр1!$A$1:$I$148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Пр.10!$A$9:$F$1166</definedName>
    <definedName name="Z_B3311466_F005_49F1_A579_3E6CECE305A8_.wvu.PrintArea" localSheetId="9">Пр.10!$A$1:$F$1166</definedName>
    <definedName name="Z_B3311466_F005_49F1_A579_3E6CECE305A8_.wvu.PrintArea" localSheetId="2">Пр_3!$A$1:$B$120</definedName>
    <definedName name="Z_B3311466_F005_49F1_A579_3E6CECE305A8_.wvu.PrintArea" localSheetId="0">Пр1!$A$1:$I$148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Пр.10!$A$9:$F$1166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Пр.10!$A$9:$F$1166</definedName>
    <definedName name="Z_E5662E33_D4B0_43EA_9B06_C8DA9DFDBEF6_.wvu.PrintArea" localSheetId="9">Пр.10!$A$1:$F$1166</definedName>
    <definedName name="Z_E5662E33_D4B0_43EA_9B06_C8DA9DFDBEF6_.wvu.PrintArea" localSheetId="2">Пр_3!$A$1:$B$120</definedName>
    <definedName name="Z_E5662E33_D4B0_43EA_9B06_C8DA9DFDBEF6_.wvu.PrintArea" localSheetId="0">Пр1!$A$1:$I$148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Пр.10!$A$9:$F$1166</definedName>
    <definedName name="Z_F3607253_7816_4CF7_9CFD_2ADFFAD916F8_.wvu.PrintArea" localSheetId="9">Пр.10!$A$1:$F$1166</definedName>
    <definedName name="Z_F3607253_7816_4CF7_9CFD_2ADFFAD916F8_.wvu.PrintArea" localSheetId="2">Пр_3!$A$1:$B$120</definedName>
    <definedName name="Z_F3607253_7816_4CF7_9CFD_2ADFFAD916F8_.wvu.PrintArea" localSheetId="0">Пр1!$A$1:$I$148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1">Пр11!$8:$9</definedName>
    <definedName name="_xlnm.Print_Area" localSheetId="21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9">Пр.10!$A$1:$I$1189</definedName>
    <definedName name="_xlnm.Print_Area" localSheetId="12">Пр.12!$B$1:$F$190</definedName>
    <definedName name="_xlnm.Print_Area" localSheetId="7">Пр.8!$A$1:$F$18</definedName>
    <definedName name="_xlnm.Print_Area" localSheetId="2">Пр_3!$A$1:$E$122</definedName>
    <definedName name="_xlnm.Print_Area" localSheetId="11">Пр11!$A$1:$L$661</definedName>
    <definedName name="_xlnm.Print_Area" localSheetId="13">Пр13!$A$1:$I$174</definedName>
    <definedName name="_xlnm.Print_Area" localSheetId="14">Пр14!$A$1:$B$16</definedName>
    <definedName name="_xlnm.Print_Area" localSheetId="15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8" i="14" l="1"/>
  <c r="H754" i="14" l="1"/>
  <c r="H748" i="14"/>
  <c r="H463" i="14"/>
  <c r="H18" i="14" l="1"/>
  <c r="H1068" i="14"/>
  <c r="H476" i="14"/>
  <c r="A991" i="14"/>
  <c r="A653" i="15" l="1"/>
  <c r="I653" i="15"/>
  <c r="L653" i="15"/>
  <c r="I40" i="15"/>
  <c r="I39" i="15"/>
  <c r="H39" i="15"/>
  <c r="K106" i="1"/>
  <c r="K120" i="1"/>
  <c r="H91" i="14" l="1"/>
  <c r="H87" i="14"/>
  <c r="H249" i="14"/>
  <c r="H770" i="14"/>
  <c r="H668" i="14"/>
  <c r="H525" i="14"/>
  <c r="A1138" i="14"/>
  <c r="I1138" i="14"/>
  <c r="H1078" i="14"/>
  <c r="H383" i="14" l="1"/>
  <c r="H381" i="14" s="1"/>
  <c r="I382" i="14"/>
  <c r="A382" i="14"/>
  <c r="H430" i="14"/>
  <c r="G770" i="14"/>
  <c r="I770" i="14" s="1"/>
  <c r="H769" i="14"/>
  <c r="H768" i="14" s="1"/>
  <c r="A768" i="14"/>
  <c r="A769" i="14"/>
  <c r="A770" i="14"/>
  <c r="H760" i="14"/>
  <c r="H739" i="14"/>
  <c r="H682" i="14"/>
  <c r="H576" i="14"/>
  <c r="H491" i="14"/>
  <c r="H477" i="14"/>
  <c r="H475" i="14"/>
  <c r="H1062" i="14"/>
  <c r="H108" i="14"/>
  <c r="H32" i="14"/>
  <c r="H19" i="14"/>
  <c r="H21" i="14"/>
  <c r="A39" i="15"/>
  <c r="A40" i="15"/>
  <c r="D15" i="6"/>
  <c r="E17" i="6"/>
  <c r="E14" i="6"/>
  <c r="D13" i="5"/>
  <c r="G769" i="14" l="1"/>
  <c r="A1104" i="14"/>
  <c r="A1105" i="14"/>
  <c r="H1087" i="14"/>
  <c r="H1064" i="14"/>
  <c r="H1020" i="14"/>
  <c r="H926" i="14"/>
  <c r="H921" i="14"/>
  <c r="H808" i="14"/>
  <c r="H787" i="14"/>
  <c r="H98" i="14"/>
  <c r="H88" i="14"/>
  <c r="H41" i="14"/>
  <c r="H44" i="14"/>
  <c r="G768" i="14" l="1"/>
  <c r="I768" i="14" s="1"/>
  <c r="I769" i="14"/>
  <c r="H758" i="14"/>
  <c r="H315" i="14" l="1"/>
  <c r="H309" i="14"/>
  <c r="H268" i="14"/>
  <c r="H185" i="14"/>
  <c r="I181" i="14"/>
  <c r="I180" i="14" s="1"/>
  <c r="A181" i="14"/>
  <c r="H180" i="14"/>
  <c r="A180" i="14"/>
  <c r="I195" i="14"/>
  <c r="I194" i="14" s="1"/>
  <c r="A195" i="14"/>
  <c r="H194" i="14"/>
  <c r="A194" i="14"/>
  <c r="H171" i="14"/>
  <c r="K127" i="1" l="1"/>
  <c r="K118" i="1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077" i="14"/>
  <c r="A1078" i="14"/>
  <c r="H1077" i="14"/>
  <c r="I1078" i="14"/>
  <c r="I1077" i="14" s="1"/>
  <c r="A854" i="14"/>
  <c r="A855" i="14"/>
  <c r="I855" i="14"/>
  <c r="I854" i="14" s="1"/>
  <c r="H854" i="14"/>
  <c r="A749" i="14"/>
  <c r="A750" i="14"/>
  <c r="A751" i="14"/>
  <c r="A752" i="14"/>
  <c r="A753" i="14"/>
  <c r="H752" i="14"/>
  <c r="H751" i="14" s="1"/>
  <c r="H750" i="14" s="1"/>
  <c r="H749" i="14" s="1"/>
  <c r="I753" i="14"/>
  <c r="I752" i="14" s="1"/>
  <c r="I751" i="14" s="1"/>
  <c r="I750" i="14" s="1"/>
  <c r="I749" i="14" s="1"/>
  <c r="A532" i="14"/>
  <c r="A533" i="14"/>
  <c r="I533" i="14"/>
  <c r="I532" i="14" s="1"/>
  <c r="H532" i="14"/>
  <c r="I523" i="14"/>
  <c r="I522" i="14" s="1"/>
  <c r="H522" i="14"/>
  <c r="A522" i="14"/>
  <c r="A523" i="14"/>
  <c r="I518" i="14"/>
  <c r="I517" i="14" s="1"/>
  <c r="I516" i="14" s="1"/>
  <c r="I515" i="14" s="1"/>
  <c r="I514" i="14" s="1"/>
  <c r="H517" i="14"/>
  <c r="H516" i="14" s="1"/>
  <c r="H515" i="14" s="1"/>
  <c r="H514" i="14" s="1"/>
  <c r="A514" i="14"/>
  <c r="A515" i="14"/>
  <c r="A516" i="14"/>
  <c r="A517" i="14"/>
  <c r="A518" i="14"/>
  <c r="A487" i="14"/>
  <c r="A488" i="14"/>
  <c r="A489" i="14"/>
  <c r="I489" i="14"/>
  <c r="I488" i="14"/>
  <c r="H487" i="14"/>
  <c r="I410" i="14"/>
  <c r="H409" i="14"/>
  <c r="A409" i="14"/>
  <c r="A410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09" i="14"/>
  <c r="I487" i="14"/>
  <c r="J107" i="15"/>
  <c r="J102" i="15" s="1"/>
  <c r="H286" i="14"/>
  <c r="I287" i="14"/>
  <c r="I286" i="14" s="1"/>
  <c r="A286" i="14"/>
  <c r="A287" i="14"/>
  <c r="H199" i="14"/>
  <c r="I200" i="14"/>
  <c r="I199" i="14" s="1"/>
  <c r="A199" i="14"/>
  <c r="A200" i="14"/>
  <c r="K33" i="1" l="1"/>
  <c r="L33" i="1" s="1"/>
  <c r="K139" i="1"/>
  <c r="L139" i="1" s="1"/>
  <c r="L144" i="1"/>
  <c r="L145" i="1"/>
  <c r="L62" i="1"/>
  <c r="L63" i="1"/>
  <c r="K47" i="1" l="1"/>
  <c r="L53" i="1"/>
  <c r="A352" i="14" l="1"/>
  <c r="H351" i="14"/>
  <c r="H350" i="14" s="1"/>
  <c r="I352" i="14"/>
  <c r="H435" i="14"/>
  <c r="A437" i="14"/>
  <c r="I437" i="14"/>
  <c r="D22" i="56"/>
  <c r="B16" i="56"/>
  <c r="B46" i="16" l="1"/>
  <c r="B47" i="16"/>
  <c r="H1107" i="14"/>
  <c r="I1108" i="14"/>
  <c r="I1107" i="14" s="1"/>
  <c r="A1107" i="14"/>
  <c r="A1108" i="14"/>
  <c r="H1103" i="14"/>
  <c r="I1104" i="14"/>
  <c r="I1103" i="14" s="1"/>
  <c r="A1103" i="14"/>
  <c r="H1098" i="14"/>
  <c r="I1099" i="14"/>
  <c r="I1098" i="14" s="1"/>
  <c r="A1098" i="14"/>
  <c r="A1099" i="14"/>
  <c r="H1055" i="14"/>
  <c r="H1054" i="14" s="1"/>
  <c r="H1053" i="14" s="1"/>
  <c r="I1056" i="14"/>
  <c r="I1055" i="14" s="1"/>
  <c r="I1054" i="14" s="1"/>
  <c r="I1053" i="14" s="1"/>
  <c r="A771" i="14"/>
  <c r="A772" i="14"/>
  <c r="A773" i="14"/>
  <c r="A774" i="14"/>
  <c r="H773" i="14"/>
  <c r="H772" i="14" s="1"/>
  <c r="H771" i="14" s="1"/>
  <c r="E46" i="16" s="1"/>
  <c r="D46" i="16"/>
  <c r="I774" i="14"/>
  <c r="A657" i="14"/>
  <c r="A658" i="14"/>
  <c r="H657" i="14"/>
  <c r="I658" i="14"/>
  <c r="I657" i="14" s="1"/>
  <c r="H573" i="14"/>
  <c r="I574" i="14"/>
  <c r="I573" i="14" s="1"/>
  <c r="A573" i="14"/>
  <c r="A574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49" i="14"/>
  <c r="I550" i="14"/>
  <c r="I549" i="14" s="1"/>
  <c r="A549" i="14"/>
  <c r="A550" i="14"/>
  <c r="I497" i="14"/>
  <c r="A497" i="14"/>
  <c r="H495" i="14"/>
  <c r="H480" i="14"/>
  <c r="A482" i="14"/>
  <c r="I482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07" i="14"/>
  <c r="I408" i="14"/>
  <c r="A405" i="14"/>
  <c r="A406" i="14"/>
  <c r="A407" i="14"/>
  <c r="A408" i="14"/>
  <c r="H398" i="14"/>
  <c r="H397" i="14" s="1"/>
  <c r="I399" i="14"/>
  <c r="I398" i="14" s="1"/>
  <c r="I397" i="14" s="1"/>
  <c r="A396" i="14"/>
  <c r="A397" i="14"/>
  <c r="A398" i="14"/>
  <c r="A399" i="14"/>
  <c r="I59" i="14"/>
  <c r="H58" i="14"/>
  <c r="H406" i="14" l="1"/>
  <c r="H405" i="14" s="1"/>
  <c r="I405" i="14" s="1"/>
  <c r="I396" i="14"/>
  <c r="H396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771" i="14"/>
  <c r="F46" i="16" s="1"/>
  <c r="I773" i="14"/>
  <c r="I772" i="14"/>
  <c r="F47" i="16" s="1"/>
  <c r="I407" i="14"/>
  <c r="I952" i="14"/>
  <c r="H951" i="14"/>
  <c r="I951" i="14" s="1"/>
  <c r="A59" i="14"/>
  <c r="A1053" i="14"/>
  <c r="A1054" i="14"/>
  <c r="A1055" i="14"/>
  <c r="A1056" i="14"/>
  <c r="I406" i="14" l="1"/>
  <c r="H1073" i="14"/>
  <c r="A951" i="14"/>
  <c r="A952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3" i="1" l="1"/>
  <c r="O120" i="2" l="1"/>
  <c r="L120" i="2"/>
  <c r="O119" i="2"/>
  <c r="L119" i="2"/>
  <c r="O118" i="2"/>
  <c r="L118" i="2"/>
  <c r="O117" i="2"/>
  <c r="L117" i="2"/>
  <c r="C21" i="5" l="1"/>
  <c r="K116" i="1"/>
  <c r="L131" i="1"/>
  <c r="L116" i="1" l="1"/>
  <c r="D76" i="16" l="1"/>
  <c r="E76" i="16"/>
  <c r="F76" i="16"/>
  <c r="D77" i="16"/>
  <c r="B77" i="16"/>
  <c r="H292" i="14"/>
  <c r="A292" i="14"/>
  <c r="A293" i="14"/>
  <c r="I293" i="14"/>
  <c r="I292" i="14" s="1"/>
  <c r="L143" i="1" l="1"/>
  <c r="L52" i="1"/>
  <c r="A340" i="14" l="1"/>
  <c r="A351" i="14"/>
  <c r="A350" i="14"/>
  <c r="I351" i="14"/>
  <c r="I350" i="14" s="1"/>
  <c r="A343" i="14"/>
  <c r="A344" i="14"/>
  <c r="H343" i="14"/>
  <c r="I344" i="14"/>
  <c r="I343" i="14" s="1"/>
  <c r="H314" i="14"/>
  <c r="I306" i="14" l="1"/>
  <c r="I308" i="14"/>
  <c r="A308" i="14"/>
  <c r="A306" i="14"/>
  <c r="H305" i="14" l="1"/>
  <c r="H173" i="14"/>
  <c r="H210" i="14"/>
  <c r="H214" i="14"/>
  <c r="H170" i="14"/>
  <c r="A196" i="14"/>
  <c r="A197" i="14"/>
  <c r="H196" i="14"/>
  <c r="I196" i="14" s="1"/>
  <c r="I197" i="14"/>
  <c r="H192" i="14"/>
  <c r="H190" i="14"/>
  <c r="I188" i="14"/>
  <c r="I189" i="14"/>
  <c r="A188" i="14"/>
  <c r="A189" i="14"/>
  <c r="H186" i="14"/>
  <c r="H184" i="14"/>
  <c r="H182" i="14"/>
  <c r="I183" i="14"/>
  <c r="I182" i="14" s="1"/>
  <c r="A182" i="14"/>
  <c r="A183" i="14"/>
  <c r="H176" i="14"/>
  <c r="H178" i="14"/>
  <c r="A174" i="14"/>
  <c r="I174" i="14"/>
  <c r="H172" i="14" l="1"/>
  <c r="D183" i="16"/>
  <c r="B183" i="16"/>
  <c r="B182" i="16"/>
  <c r="B181" i="16"/>
  <c r="D181" i="16" l="1"/>
  <c r="D182" i="16"/>
  <c r="H356" i="14"/>
  <c r="I358" i="14"/>
  <c r="A358" i="14"/>
  <c r="I144" i="14" l="1"/>
  <c r="I143" i="14" s="1"/>
  <c r="I142" i="14" s="1"/>
  <c r="F183" i="16" s="1"/>
  <c r="I141" i="14"/>
  <c r="I140" i="14" s="1"/>
  <c r="I139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655" i="14"/>
  <c r="I656" i="14"/>
  <c r="I655" i="14" s="1"/>
  <c r="A655" i="14"/>
  <c r="A656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38" i="14"/>
  <c r="L277" i="15"/>
  <c r="L276" i="15" s="1"/>
  <c r="H276" i="15"/>
  <c r="L333" i="15"/>
  <c r="I333" i="15"/>
  <c r="F181" i="16" l="1"/>
  <c r="L217" i="15"/>
  <c r="L216" i="15" s="1"/>
  <c r="K216" i="15"/>
  <c r="A1021" i="14" l="1"/>
  <c r="A1022" i="14"/>
  <c r="A1023" i="14"/>
  <c r="A1024" i="14"/>
  <c r="A1025" i="14"/>
  <c r="A1026" i="14"/>
  <c r="A1027" i="14"/>
  <c r="A1028" i="14"/>
  <c r="A1029" i="14"/>
  <c r="A1030" i="14"/>
  <c r="H1021" i="14"/>
  <c r="I1022" i="14"/>
  <c r="I1021" i="14" s="1"/>
  <c r="H483" i="14" l="1"/>
  <c r="H498" i="14"/>
  <c r="H281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0" i="14" l="1"/>
  <c r="H139" i="14" s="1"/>
  <c r="E182" i="16" s="1"/>
  <c r="H143" i="14"/>
  <c r="H142" i="14" s="1"/>
  <c r="E183" i="16" s="1"/>
  <c r="A138" i="14"/>
  <c r="A139" i="14"/>
  <c r="A140" i="14"/>
  <c r="A141" i="14"/>
  <c r="A142" i="14"/>
  <c r="A143" i="14"/>
  <c r="A144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38" i="14" l="1"/>
  <c r="H255" i="15"/>
  <c r="E181" i="16" l="1"/>
  <c r="I996" i="14"/>
  <c r="I995" i="14" s="1"/>
  <c r="A995" i="14"/>
  <c r="A996" i="14"/>
  <c r="K50" i="2" l="1"/>
  <c r="O58" i="2"/>
  <c r="O59" i="2"/>
  <c r="O60" i="2"/>
  <c r="L58" i="2"/>
  <c r="L59" i="2"/>
  <c r="L60" i="2"/>
  <c r="O54" i="2"/>
  <c r="O55" i="2"/>
  <c r="O56" i="2"/>
  <c r="L54" i="2"/>
  <c r="L55" i="2"/>
  <c r="L71" i="1" l="1"/>
  <c r="L72" i="1"/>
  <c r="H544" i="14"/>
  <c r="A1102" i="14" l="1"/>
  <c r="A1106" i="14"/>
  <c r="H623" i="15"/>
  <c r="A623" i="15"/>
  <c r="A624" i="15"/>
  <c r="H1105" i="14" l="1"/>
  <c r="H1102" i="14" s="1"/>
  <c r="I1106" i="14"/>
  <c r="I1105" i="14" s="1"/>
  <c r="I1102" i="14" s="1"/>
  <c r="K40" i="2" l="1"/>
  <c r="I284" i="15" l="1"/>
  <c r="K474" i="15"/>
  <c r="H267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60" i="14"/>
  <c r="I58" i="14" s="1"/>
  <c r="I62" i="14"/>
  <c r="I65" i="14"/>
  <c r="I69" i="14"/>
  <c r="I70" i="14"/>
  <c r="I74" i="14"/>
  <c r="I78" i="14"/>
  <c r="I77" i="14" s="1"/>
  <c r="I80" i="14"/>
  <c r="I84" i="14"/>
  <c r="I87" i="14"/>
  <c r="I88" i="14"/>
  <c r="I89" i="14"/>
  <c r="I91" i="14"/>
  <c r="I92" i="14"/>
  <c r="I93" i="14"/>
  <c r="I94" i="14"/>
  <c r="I95" i="14"/>
  <c r="I97" i="14"/>
  <c r="I98" i="14"/>
  <c r="I100" i="14"/>
  <c r="I99" i="14" s="1"/>
  <c r="I102" i="14"/>
  <c r="I104" i="14"/>
  <c r="I106" i="14"/>
  <c r="I108" i="14"/>
  <c r="I109" i="14"/>
  <c r="I111" i="14"/>
  <c r="I112" i="14"/>
  <c r="I114" i="14"/>
  <c r="I115" i="14"/>
  <c r="I117" i="14"/>
  <c r="I118" i="14"/>
  <c r="I121" i="14"/>
  <c r="I124" i="14"/>
  <c r="I126" i="14"/>
  <c r="I128" i="14"/>
  <c r="I132" i="14"/>
  <c r="I133" i="14"/>
  <c r="I136" i="14"/>
  <c r="I147" i="14"/>
  <c r="I152" i="14"/>
  <c r="I151" i="14" s="1"/>
  <c r="I154" i="14"/>
  <c r="I153" i="14" s="1"/>
  <c r="I157" i="14"/>
  <c r="I162" i="14"/>
  <c r="I161" i="14" s="1"/>
  <c r="I160" i="14" s="1"/>
  <c r="I165" i="14"/>
  <c r="I169" i="14"/>
  <c r="I168" i="14" s="1"/>
  <c r="I167" i="14" s="1"/>
  <c r="I171" i="14"/>
  <c r="I170" i="14" s="1"/>
  <c r="I175" i="14"/>
  <c r="I173" i="14" s="1"/>
  <c r="I177" i="14"/>
  <c r="I176" i="14" s="1"/>
  <c r="I179" i="14"/>
  <c r="I178" i="14" s="1"/>
  <c r="I185" i="14"/>
  <c r="I184" i="14" s="1"/>
  <c r="I187" i="14"/>
  <c r="I186" i="14" s="1"/>
  <c r="I191" i="14"/>
  <c r="I190" i="14" s="1"/>
  <c r="I193" i="14"/>
  <c r="I192" i="14" s="1"/>
  <c r="I202" i="14"/>
  <c r="I204" i="14"/>
  <c r="I206" i="14"/>
  <c r="I209" i="14"/>
  <c r="I208" i="14" s="1"/>
  <c r="I211" i="14"/>
  <c r="I210" i="14" s="1"/>
  <c r="I213" i="14"/>
  <c r="I215" i="14"/>
  <c r="I214" i="14" s="1"/>
  <c r="I218" i="14"/>
  <c r="I217" i="14" s="1"/>
  <c r="I216" i="14" s="1"/>
  <c r="I223" i="14"/>
  <c r="I222" i="14" s="1"/>
  <c r="I225" i="14"/>
  <c r="I227" i="14"/>
  <c r="I231" i="14"/>
  <c r="I233" i="14"/>
  <c r="I235" i="14"/>
  <c r="I240" i="14"/>
  <c r="I239" i="14" s="1"/>
  <c r="I238" i="14" s="1"/>
  <c r="I237" i="14" s="1"/>
  <c r="I243" i="14"/>
  <c r="I249" i="14"/>
  <c r="I248" i="14" s="1"/>
  <c r="I251" i="14"/>
  <c r="I250" i="14" s="1"/>
  <c r="I253" i="14"/>
  <c r="I252" i="14" s="1"/>
  <c r="I257" i="14"/>
  <c r="I258" i="14"/>
  <c r="I260" i="14"/>
  <c r="I261" i="14"/>
  <c r="I264" i="14"/>
  <c r="I268" i="14"/>
  <c r="I267" i="14" s="1"/>
  <c r="I266" i="14" s="1"/>
  <c r="I271" i="14"/>
  <c r="I276" i="14"/>
  <c r="I282" i="14"/>
  <c r="I281" i="14" s="1"/>
  <c r="I285" i="14"/>
  <c r="I289" i="14"/>
  <c r="I291" i="14"/>
  <c r="I290" i="14" s="1"/>
  <c r="I296" i="14"/>
  <c r="I295" i="14" s="1"/>
  <c r="I294" i="14" s="1"/>
  <c r="I302" i="14"/>
  <c r="I301" i="14" s="1"/>
  <c r="I300" i="14" s="1"/>
  <c r="I299" i="14" s="1"/>
  <c r="I307" i="14"/>
  <c r="I305" i="14" s="1"/>
  <c r="I310" i="14"/>
  <c r="I309" i="14" s="1"/>
  <c r="I313" i="14"/>
  <c r="I312" i="14" s="1"/>
  <c r="I315" i="14"/>
  <c r="I316" i="14"/>
  <c r="I318" i="14"/>
  <c r="I317" i="14" s="1"/>
  <c r="I321" i="14"/>
  <c r="I320" i="14" s="1"/>
  <c r="I323" i="14"/>
  <c r="I325" i="14"/>
  <c r="I327" i="14"/>
  <c r="I331" i="14"/>
  <c r="I335" i="14"/>
  <c r="I339" i="14"/>
  <c r="I338" i="14" s="1"/>
  <c r="I337" i="14" s="1"/>
  <c r="I342" i="14"/>
  <c r="I341" i="14" s="1"/>
  <c r="I340" i="14" s="1"/>
  <c r="I347" i="14"/>
  <c r="I349" i="14"/>
  <c r="I357" i="14"/>
  <c r="I356" i="14" s="1"/>
  <c r="I360" i="14"/>
  <c r="I362" i="14"/>
  <c r="I368" i="14"/>
  <c r="I369" i="14"/>
  <c r="I372" i="14"/>
  <c r="I376" i="14"/>
  <c r="I383" i="14"/>
  <c r="I384" i="14"/>
  <c r="I386" i="14"/>
  <c r="I388" i="14"/>
  <c r="I390" i="14"/>
  <c r="I395" i="14"/>
  <c r="I402" i="14"/>
  <c r="I414" i="14"/>
  <c r="I413" i="14" s="1"/>
  <c r="I412" i="14" s="1"/>
  <c r="I417" i="14"/>
  <c r="I421" i="14"/>
  <c r="I420" i="14" s="1"/>
  <c r="I419" i="14" s="1"/>
  <c r="I424" i="14"/>
  <c r="I427" i="14"/>
  <c r="I428" i="14"/>
  <c r="I429" i="14"/>
  <c r="I430" i="14"/>
  <c r="I432" i="14"/>
  <c r="I434" i="14"/>
  <c r="I436" i="14"/>
  <c r="I435" i="14" s="1"/>
  <c r="I439" i="14"/>
  <c r="I438" i="14" s="1"/>
  <c r="I441" i="14"/>
  <c r="I443" i="14"/>
  <c r="I444" i="14"/>
  <c r="I448" i="14"/>
  <c r="I447" i="14" s="1"/>
  <c r="I450" i="14"/>
  <c r="I449" i="14" s="1"/>
  <c r="I454" i="14"/>
  <c r="I453" i="14" s="1"/>
  <c r="I456" i="14"/>
  <c r="I455" i="14" s="1"/>
  <c r="I458" i="14"/>
  <c r="I457" i="14" s="1"/>
  <c r="I462" i="14"/>
  <c r="I469" i="14"/>
  <c r="I475" i="14"/>
  <c r="I476" i="14"/>
  <c r="I477" i="14"/>
  <c r="I479" i="14"/>
  <c r="I478" i="14" s="1"/>
  <c r="I481" i="14"/>
  <c r="I480" i="14" s="1"/>
  <c r="I484" i="14"/>
  <c r="I486" i="14"/>
  <c r="I491" i="14"/>
  <c r="I492" i="14"/>
  <c r="I494" i="14"/>
  <c r="I496" i="14"/>
  <c r="I495" i="14" s="1"/>
  <c r="I499" i="14"/>
  <c r="I500" i="14"/>
  <c r="I505" i="14"/>
  <c r="I506" i="14"/>
  <c r="I509" i="14"/>
  <c r="I512" i="14"/>
  <c r="I525" i="14"/>
  <c r="I524" i="14" s="1"/>
  <c r="I527" i="14"/>
  <c r="I526" i="14" s="1"/>
  <c r="I529" i="14"/>
  <c r="I531" i="14"/>
  <c r="I530" i="14" s="1"/>
  <c r="I535" i="14"/>
  <c r="I534" i="14" s="1"/>
  <c r="I537" i="14"/>
  <c r="I536" i="14" s="1"/>
  <c r="I539" i="14"/>
  <c r="I541" i="14"/>
  <c r="I543" i="14"/>
  <c r="I545" i="14"/>
  <c r="I548" i="14"/>
  <c r="I553" i="14"/>
  <c r="I557" i="14"/>
  <c r="I562" i="14"/>
  <c r="I565" i="14"/>
  <c r="I571" i="14"/>
  <c r="I572" i="14"/>
  <c r="I576" i="14"/>
  <c r="I575" i="14" s="1"/>
  <c r="I578" i="14"/>
  <c r="I580" i="14"/>
  <c r="I582" i="14"/>
  <c r="I584" i="14"/>
  <c r="I589" i="14"/>
  <c r="I595" i="14"/>
  <c r="I601" i="14"/>
  <c r="I606" i="14"/>
  <c r="I605" i="14" s="1"/>
  <c r="I608" i="14"/>
  <c r="I610" i="14"/>
  <c r="I611" i="14"/>
  <c r="I613" i="14"/>
  <c r="I612" i="14" s="1"/>
  <c r="I615" i="14"/>
  <c r="I616" i="14"/>
  <c r="I618" i="14"/>
  <c r="I617" i="14" s="1"/>
  <c r="I621" i="14"/>
  <c r="I627" i="14"/>
  <c r="I629" i="14"/>
  <c r="I633" i="14"/>
  <c r="I635" i="14"/>
  <c r="I640" i="14"/>
  <c r="I641" i="14"/>
  <c r="I642" i="14"/>
  <c r="I643" i="14"/>
  <c r="I646" i="14"/>
  <c r="I645" i="14" s="1"/>
  <c r="I648" i="14"/>
  <c r="I647" i="14" s="1"/>
  <c r="I651" i="14"/>
  <c r="I652" i="14"/>
  <c r="I654" i="14"/>
  <c r="I660" i="14"/>
  <c r="I663" i="14"/>
  <c r="I665" i="14"/>
  <c r="I668" i="14"/>
  <c r="I669" i="14"/>
  <c r="I670" i="14"/>
  <c r="I672" i="14"/>
  <c r="I674" i="14"/>
  <c r="I675" i="14"/>
  <c r="I676" i="14"/>
  <c r="I677" i="14"/>
  <c r="I679" i="14"/>
  <c r="I680" i="14"/>
  <c r="I682" i="14"/>
  <c r="I683" i="14"/>
  <c r="I684" i="14"/>
  <c r="I688" i="14"/>
  <c r="I687" i="14" s="1"/>
  <c r="I693" i="14"/>
  <c r="I696" i="14"/>
  <c r="I700" i="14"/>
  <c r="I701" i="14"/>
  <c r="I705" i="14"/>
  <c r="I708" i="14"/>
  <c r="I707" i="14" s="1"/>
  <c r="I706" i="14" s="1"/>
  <c r="I714" i="14"/>
  <c r="I720" i="14"/>
  <c r="I719" i="14" s="1"/>
  <c r="I722" i="14"/>
  <c r="I725" i="14"/>
  <c r="I727" i="14"/>
  <c r="I729" i="14"/>
  <c r="I728" i="14" s="1"/>
  <c r="I731" i="14"/>
  <c r="I732" i="14"/>
  <c r="I734" i="14"/>
  <c r="I735" i="14"/>
  <c r="I737" i="14"/>
  <c r="I738" i="14"/>
  <c r="I739" i="14"/>
  <c r="I740" i="14"/>
  <c r="I743" i="14"/>
  <c r="I744" i="14"/>
  <c r="I747" i="14"/>
  <c r="I758" i="14"/>
  <c r="I757" i="14" s="1"/>
  <c r="I760" i="14"/>
  <c r="I759" i="14" s="1"/>
  <c r="I762" i="14"/>
  <c r="I764" i="14"/>
  <c r="I767" i="14"/>
  <c r="I779" i="14"/>
  <c r="I786" i="14"/>
  <c r="I787" i="14"/>
  <c r="I789" i="14"/>
  <c r="I790" i="14"/>
  <c r="I796" i="14"/>
  <c r="I795" i="14" s="1"/>
  <c r="I794" i="14" s="1"/>
  <c r="I799" i="14"/>
  <c r="I805" i="14"/>
  <c r="I806" i="14"/>
  <c r="I808" i="14"/>
  <c r="I809" i="14"/>
  <c r="I811" i="14"/>
  <c r="I810" i="14" s="1"/>
  <c r="I813" i="14"/>
  <c r="I814" i="14"/>
  <c r="I816" i="14"/>
  <c r="I818" i="14"/>
  <c r="I820" i="14"/>
  <c r="I821" i="14"/>
  <c r="I823" i="14"/>
  <c r="I824" i="14"/>
  <c r="I826" i="14"/>
  <c r="I827" i="14"/>
  <c r="I829" i="14"/>
  <c r="I830" i="14"/>
  <c r="I832" i="14"/>
  <c r="I833" i="14"/>
  <c r="I835" i="14"/>
  <c r="I834" i="14" s="1"/>
  <c r="I837" i="14"/>
  <c r="I838" i="14"/>
  <c r="I840" i="14"/>
  <c r="I841" i="14"/>
  <c r="I843" i="14"/>
  <c r="I845" i="14"/>
  <c r="I848" i="14"/>
  <c r="I847" i="14" s="1"/>
  <c r="I850" i="14"/>
  <c r="I851" i="14"/>
  <c r="I853" i="14"/>
  <c r="I857" i="14"/>
  <c r="I860" i="14"/>
  <c r="I862" i="14"/>
  <c r="I868" i="14"/>
  <c r="I867" i="14" s="1"/>
  <c r="I870" i="14"/>
  <c r="I869" i="14" s="1"/>
  <c r="I872" i="14"/>
  <c r="I871" i="14" s="1"/>
  <c r="I874" i="14"/>
  <c r="I876" i="14"/>
  <c r="I877" i="14"/>
  <c r="I879" i="14"/>
  <c r="I881" i="14"/>
  <c r="I882" i="14"/>
  <c r="I884" i="14"/>
  <c r="I886" i="14"/>
  <c r="I887" i="14"/>
  <c r="I890" i="14"/>
  <c r="I893" i="14"/>
  <c r="I892" i="14" s="1"/>
  <c r="I895" i="14"/>
  <c r="I897" i="14"/>
  <c r="I903" i="14"/>
  <c r="I904" i="14"/>
  <c r="I906" i="14"/>
  <c r="I905" i="14" s="1"/>
  <c r="I908" i="14"/>
  <c r="I909" i="14"/>
  <c r="I910" i="14"/>
  <c r="I913" i="14"/>
  <c r="I912" i="14" s="1"/>
  <c r="I911" i="14" s="1"/>
  <c r="I917" i="14"/>
  <c r="I921" i="14"/>
  <c r="I926" i="14"/>
  <c r="I927" i="14"/>
  <c r="I928" i="14"/>
  <c r="I929" i="14"/>
  <c r="I934" i="14"/>
  <c r="I933" i="14" s="1"/>
  <c r="I932" i="14" s="1"/>
  <c r="I937" i="14"/>
  <c r="I941" i="14"/>
  <c r="I940" i="14" s="1"/>
  <c r="I939" i="14" s="1"/>
  <c r="I944" i="14"/>
  <c r="I943" i="14" s="1"/>
  <c r="I942" i="14" s="1"/>
  <c r="I947" i="14"/>
  <c r="I949" i="14"/>
  <c r="I950" i="14"/>
  <c r="I957" i="14"/>
  <c r="I960" i="14"/>
  <c r="I964" i="14"/>
  <c r="I963" i="14" s="1"/>
  <c r="I962" i="14" s="1"/>
  <c r="I961" i="14" s="1"/>
  <c r="I968" i="14"/>
  <c r="I967" i="14" s="1"/>
  <c r="I966" i="14" s="1"/>
  <c r="I965" i="14" s="1"/>
  <c r="I974" i="14"/>
  <c r="I980" i="14"/>
  <c r="I982" i="14"/>
  <c r="I986" i="14"/>
  <c r="I992" i="14"/>
  <c r="I991" i="14" s="1"/>
  <c r="I994" i="14"/>
  <c r="I993" i="14" s="1"/>
  <c r="I998" i="14"/>
  <c r="I1001" i="14"/>
  <c r="I1006" i="14"/>
  <c r="I1009" i="14"/>
  <c r="I1008" i="14" s="1"/>
  <c r="I1007" i="14" s="1"/>
  <c r="I1012" i="14"/>
  <c r="I1011" i="14" s="1"/>
  <c r="I1010" i="14" s="1"/>
  <c r="I1018" i="14"/>
  <c r="I1020" i="14"/>
  <c r="I1019" i="14" s="1"/>
  <c r="I1024" i="14"/>
  <c r="I1026" i="14"/>
  <c r="I1028" i="14"/>
  <c r="I1030" i="14"/>
  <c r="I1033" i="14"/>
  <c r="I1032" i="14" s="1"/>
  <c r="I1035" i="14"/>
  <c r="I1039" i="14"/>
  <c r="I1038" i="14" s="1"/>
  <c r="I1041" i="14"/>
  <c r="I1045" i="14"/>
  <c r="I1044" i="14" s="1"/>
  <c r="I1043" i="14" s="1"/>
  <c r="I1042" i="14" s="1"/>
  <c r="I1050" i="14"/>
  <c r="I1060" i="14"/>
  <c r="I1059" i="14" s="1"/>
  <c r="I1062" i="14"/>
  <c r="I1061" i="14" s="1"/>
  <c r="I1064" i="14"/>
  <c r="I1063" i="14" s="1"/>
  <c r="I1066" i="14"/>
  <c r="I1068" i="14"/>
  <c r="I1070" i="14"/>
  <c r="I1069" i="14" s="1"/>
  <c r="I1072" i="14"/>
  <c r="I1074" i="14"/>
  <c r="I1076" i="14"/>
  <c r="I1080" i="14"/>
  <c r="I1082" i="14"/>
  <c r="I1081" i="14" s="1"/>
  <c r="I1084" i="14"/>
  <c r="I1087" i="14"/>
  <c r="I1086" i="14" s="1"/>
  <c r="I1089" i="14"/>
  <c r="I1088" i="14" s="1"/>
  <c r="I1091" i="14"/>
  <c r="I1093" i="14"/>
  <c r="I1095" i="14"/>
  <c r="I1097" i="14"/>
  <c r="I1101" i="14"/>
  <c r="I1113" i="14"/>
  <c r="I1112" i="14" s="1"/>
  <c r="I1111" i="14" s="1"/>
  <c r="I1116" i="14"/>
  <c r="I1119" i="14"/>
  <c r="I1118" i="14" s="1"/>
  <c r="I1117" i="14" s="1"/>
  <c r="I1123" i="14"/>
  <c r="I1129" i="14"/>
  <c r="I1130" i="14"/>
  <c r="I1131" i="14"/>
  <c r="I1133" i="14"/>
  <c r="I1134" i="14"/>
  <c r="I1135" i="14"/>
  <c r="I1137" i="14"/>
  <c r="I1143" i="14"/>
  <c r="I1148" i="14"/>
  <c r="I1152" i="14"/>
  <c r="I1156" i="14"/>
  <c r="I1160" i="14"/>
  <c r="I1159" i="14" s="1"/>
  <c r="I1158" i="14" s="1"/>
  <c r="I1157" i="14" s="1"/>
  <c r="I1166" i="14"/>
  <c r="I1171" i="14"/>
  <c r="I1172" i="14"/>
  <c r="I1173" i="14"/>
  <c r="I1174" i="14"/>
  <c r="I1176" i="14"/>
  <c r="I1175" i="14" s="1"/>
  <c r="I1178" i="14"/>
  <c r="I1179" i="14"/>
  <c r="I1184" i="14"/>
  <c r="I1188" i="14"/>
  <c r="K35" i="1"/>
  <c r="I172" i="14" l="1"/>
  <c r="I381" i="14"/>
  <c r="I314" i="14"/>
  <c r="I311" i="14" s="1"/>
  <c r="I849" i="14"/>
  <c r="I822" i="14"/>
  <c r="I131" i="14"/>
  <c r="I130" i="14" s="1"/>
  <c r="I113" i="14"/>
  <c r="I107" i="14"/>
  <c r="I807" i="14"/>
  <c r="I650" i="14"/>
  <c r="I247" i="14"/>
  <c r="I246" i="14" s="1"/>
  <c r="I825" i="14"/>
  <c r="I1128" i="14"/>
  <c r="I907" i="14"/>
  <c r="I804" i="14"/>
  <c r="I699" i="14"/>
  <c r="I698" i="14" s="1"/>
  <c r="I697" i="14" s="1"/>
  <c r="I673" i="14"/>
  <c r="I667" i="14"/>
  <c r="I644" i="14"/>
  <c r="I639" i="14"/>
  <c r="I614" i="14"/>
  <c r="I22" i="14"/>
  <c r="I902" i="14"/>
  <c r="I256" i="14"/>
  <c r="I116" i="14"/>
  <c r="I1170" i="14"/>
  <c r="I1132" i="14"/>
  <c r="I742" i="14"/>
  <c r="I741" i="14" s="1"/>
  <c r="I259" i="14"/>
  <c r="I686" i="14"/>
  <c r="I685" i="14"/>
  <c r="I446" i="14"/>
  <c r="I445" i="14" s="1"/>
  <c r="I452" i="14"/>
  <c r="I451" i="14" s="1"/>
  <c r="I46" i="14"/>
  <c r="I681" i="14"/>
  <c r="I638" i="14"/>
  <c r="I938" i="14"/>
  <c r="I885" i="14"/>
  <c r="I819" i="14"/>
  <c r="I490" i="14"/>
  <c r="I150" i="14"/>
  <c r="I1177" i="14"/>
  <c r="I17" i="14"/>
  <c r="I736" i="14"/>
  <c r="I733" i="14"/>
  <c r="I785" i="14"/>
  <c r="I828" i="14"/>
  <c r="I812" i="14"/>
  <c r="I86" i="14"/>
  <c r="A171" i="14"/>
  <c r="H367" i="14"/>
  <c r="A368" i="14"/>
  <c r="H1075" i="14"/>
  <c r="I1075" i="14"/>
  <c r="A1075" i="14"/>
  <c r="A1076" i="14"/>
  <c r="H583" i="14"/>
  <c r="H540" i="14"/>
  <c r="I540" i="14"/>
  <c r="A540" i="14"/>
  <c r="A541" i="14"/>
  <c r="A538" i="14"/>
  <c r="A539" i="14"/>
  <c r="H538" i="14"/>
  <c r="I538" i="14"/>
  <c r="H528" i="14"/>
  <c r="I528" i="14"/>
  <c r="A528" i="14"/>
  <c r="A529" i="14"/>
  <c r="A498" i="14"/>
  <c r="A499" i="14"/>
  <c r="A500" i="14"/>
  <c r="A484" i="14"/>
  <c r="H442" i="14"/>
  <c r="A444" i="14"/>
  <c r="A309" i="14"/>
  <c r="A310" i="14"/>
  <c r="A125" i="14"/>
  <c r="A126" i="14"/>
  <c r="H125" i="14"/>
  <c r="I125" i="14"/>
  <c r="I16" i="14" l="1"/>
  <c r="I901" i="14"/>
  <c r="I900" i="14" s="1"/>
  <c r="I899" i="14" s="1"/>
  <c r="I255" i="14"/>
  <c r="I1169" i="14"/>
  <c r="I1168" i="14" s="1"/>
  <c r="I498" i="14"/>
  <c r="I304" i="14"/>
  <c r="I15" i="14" l="1"/>
  <c r="H1183" i="14"/>
  <c r="H1182" i="14" s="1"/>
  <c r="H1181" i="14" s="1"/>
  <c r="H1180" i="14" s="1"/>
  <c r="I1183" i="14"/>
  <c r="I1182" i="14" s="1"/>
  <c r="I1181" i="14" s="1"/>
  <c r="I1180" i="14" s="1"/>
  <c r="A1180" i="14"/>
  <c r="A1181" i="14"/>
  <c r="A1182" i="14"/>
  <c r="A1183" i="14"/>
  <c r="A1184" i="14"/>
  <c r="D24" i="16"/>
  <c r="H836" i="14"/>
  <c r="A837" i="14"/>
  <c r="H90" i="14" l="1"/>
  <c r="B19" i="56" l="1"/>
  <c r="B24" i="56" s="1"/>
  <c r="C19" i="56"/>
  <c r="D9" i="56"/>
  <c r="B180" i="16" l="1"/>
  <c r="B179" i="16"/>
  <c r="H280" i="14"/>
  <c r="H279" i="14" s="1"/>
  <c r="E179" i="16" s="1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A277" i="14"/>
  <c r="A278" i="14"/>
  <c r="A279" i="14"/>
  <c r="A280" i="14"/>
  <c r="A281" i="14"/>
  <c r="A282" i="14"/>
  <c r="E180" i="16" l="1"/>
  <c r="I280" i="14"/>
  <c r="I279" i="14" s="1"/>
  <c r="F179" i="16" s="1"/>
  <c r="D180" i="16"/>
  <c r="D179" i="16"/>
  <c r="F180" i="16" l="1"/>
  <c r="D16" i="56"/>
  <c r="C9" i="56" l="1"/>
  <c r="N50" i="2" l="1"/>
  <c r="N61" i="2"/>
  <c r="K61" i="2"/>
  <c r="A384" i="14" l="1"/>
  <c r="N40" i="2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065" i="14" l="1"/>
  <c r="I1065" i="14"/>
  <c r="A1065" i="14"/>
  <c r="A1066" i="14"/>
  <c r="H609" i="14"/>
  <c r="A610" i="14"/>
  <c r="H366" i="14"/>
  <c r="A366" i="14"/>
  <c r="A367" i="14"/>
  <c r="A369" i="14"/>
  <c r="H394" i="14"/>
  <c r="H393" i="14" s="1"/>
  <c r="H392" i="14" s="1"/>
  <c r="I394" i="14"/>
  <c r="I393" i="14" s="1"/>
  <c r="I392" i="14" s="1"/>
  <c r="A392" i="14"/>
  <c r="A393" i="14"/>
  <c r="A394" i="14"/>
  <c r="A395" i="14"/>
  <c r="H925" i="14"/>
  <c r="I367" i="14" l="1"/>
  <c r="I366" i="14" s="1"/>
  <c r="A928" i="14"/>
  <c r="I442" i="14"/>
  <c r="A442" i="14"/>
  <c r="A443" i="14"/>
  <c r="A93" i="14"/>
  <c r="K171" i="15" l="1"/>
  <c r="N107" i="2" l="1"/>
  <c r="N106" i="2" s="1"/>
  <c r="N47" i="2" s="1"/>
  <c r="N46" i="2" s="1"/>
  <c r="N126" i="2" s="1"/>
  <c r="K107" i="2"/>
  <c r="K106" i="2" s="1"/>
  <c r="K137" i="1"/>
  <c r="K115" i="1" s="1"/>
  <c r="L142" i="1"/>
  <c r="L121" i="1"/>
  <c r="L119" i="1"/>
  <c r="K75" i="1"/>
  <c r="K54" i="1"/>
  <c r="K31" i="1"/>
  <c r="L51" i="1"/>
  <c r="L32" i="1"/>
  <c r="L31" i="1" s="1"/>
  <c r="K46" i="1" l="1"/>
  <c r="L137" i="1"/>
  <c r="L115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46" i="14"/>
  <c r="A346" i="14"/>
  <c r="A347" i="14"/>
  <c r="K126" i="2" l="1"/>
  <c r="D19" i="6" s="1"/>
  <c r="I346" i="14"/>
  <c r="A326" i="14"/>
  <c r="A327" i="14"/>
  <c r="A322" i="14"/>
  <c r="A323" i="14"/>
  <c r="H322" i="14"/>
  <c r="I322" i="14"/>
  <c r="I326" i="14"/>
  <c r="H326" i="14"/>
  <c r="A315" i="14"/>
  <c r="A316" i="14"/>
  <c r="A312" i="14"/>
  <c r="A313" i="14"/>
  <c r="A314" i="14"/>
  <c r="H312" i="14"/>
  <c r="A198" i="14" l="1"/>
  <c r="A201" i="14"/>
  <c r="A202" i="14"/>
  <c r="A203" i="14"/>
  <c r="A204" i="14"/>
  <c r="A205" i="14"/>
  <c r="A206" i="14"/>
  <c r="H201" i="14"/>
  <c r="H203" i="14"/>
  <c r="H205" i="14"/>
  <c r="I201" i="14"/>
  <c r="I203" i="14"/>
  <c r="I205" i="14"/>
  <c r="H198" i="14" l="1"/>
  <c r="E175" i="16" s="1"/>
  <c r="I198" i="14"/>
  <c r="F175" i="16"/>
  <c r="H156" i="14"/>
  <c r="L61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00" i="14" l="1"/>
  <c r="H999" i="14" s="1"/>
  <c r="I1000" i="14"/>
  <c r="I999" i="14" s="1"/>
  <c r="A999" i="14"/>
  <c r="A1000" i="14"/>
  <c r="A1001" i="14"/>
  <c r="H856" i="14" l="1"/>
  <c r="I856" i="14"/>
  <c r="A856" i="14"/>
  <c r="A857" i="14"/>
  <c r="I371" i="14" l="1"/>
  <c r="I370" i="14" s="1"/>
  <c r="A363" i="14"/>
  <c r="A364" i="14"/>
  <c r="A365" i="14"/>
  <c r="A370" i="14"/>
  <c r="A371" i="14"/>
  <c r="A372" i="14"/>
  <c r="I365" i="14" l="1"/>
  <c r="I364" i="14" s="1"/>
  <c r="I363" i="14" s="1"/>
  <c r="H371" i="14"/>
  <c r="H370" i="14" s="1"/>
  <c r="H365" i="14" s="1"/>
  <c r="H364" i="14" l="1"/>
  <c r="H363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K27" i="1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01" i="14" l="1"/>
  <c r="H699" i="14"/>
  <c r="H120" i="14"/>
  <c r="H119" i="14" s="1"/>
  <c r="E188" i="16" s="1"/>
  <c r="D188" i="16"/>
  <c r="I120" i="14"/>
  <c r="I119" i="14" s="1"/>
  <c r="F188" i="16" s="1"/>
  <c r="A119" i="14"/>
  <c r="A120" i="14"/>
  <c r="A121" i="14"/>
  <c r="B188" i="16"/>
  <c r="A110" i="14"/>
  <c r="A111" i="14"/>
  <c r="A112" i="14"/>
  <c r="A45" i="14"/>
  <c r="H43" i="14"/>
  <c r="I110" i="14" l="1"/>
  <c r="H110" i="14"/>
  <c r="H320" i="14"/>
  <c r="H324" i="14"/>
  <c r="I324" i="14"/>
  <c r="I319" i="14" s="1"/>
  <c r="I303" i="14" s="1"/>
  <c r="H319" i="14" l="1"/>
  <c r="L110" i="1"/>
  <c r="F142" i="16" l="1"/>
  <c r="E142" i="16"/>
  <c r="L109" i="1" l="1"/>
  <c r="H242" i="14" l="1"/>
  <c r="H241" i="14" s="1"/>
  <c r="I242" i="14"/>
  <c r="I241" i="14" s="1"/>
  <c r="I236" i="14" s="1"/>
  <c r="A241" i="14"/>
  <c r="A242" i="14"/>
  <c r="A243" i="14"/>
  <c r="A319" i="14"/>
  <c r="A320" i="14"/>
  <c r="A321" i="14"/>
  <c r="A324" i="14"/>
  <c r="A325" i="14"/>
  <c r="H212" i="14"/>
  <c r="I212" i="14"/>
  <c r="I207" i="14" s="1"/>
  <c r="I166" i="14" s="1"/>
  <c r="A212" i="14"/>
  <c r="A213" i="14"/>
  <c r="L58" i="1"/>
  <c r="C76" i="3" l="1"/>
  <c r="B114" i="16" l="1"/>
  <c r="H416" i="14"/>
  <c r="H415" i="14" s="1"/>
  <c r="A415" i="14"/>
  <c r="A416" i="14"/>
  <c r="A417" i="14"/>
  <c r="I416" i="14"/>
  <c r="I415" i="14" s="1"/>
  <c r="I411" i="14" s="1"/>
  <c r="I936" i="14"/>
  <c r="I935" i="14" s="1"/>
  <c r="I931" i="14" s="1"/>
  <c r="H42" i="14"/>
  <c r="D114" i="16"/>
  <c r="A42" i="14"/>
  <c r="A43" i="14"/>
  <c r="A44" i="14"/>
  <c r="A935" i="14"/>
  <c r="A936" i="14"/>
  <c r="A937" i="14"/>
  <c r="D75" i="3"/>
  <c r="A1185" i="14"/>
  <c r="A1186" i="14"/>
  <c r="A1187" i="14"/>
  <c r="A1188" i="14"/>
  <c r="H1187" i="14"/>
  <c r="H1186" i="14" s="1"/>
  <c r="H1185" i="14" s="1"/>
  <c r="I1187" i="14"/>
  <c r="I1186" i="14" s="1"/>
  <c r="I1185" i="14" s="1"/>
  <c r="I1167" i="14" s="1"/>
  <c r="I1083" i="14"/>
  <c r="H1083" i="14"/>
  <c r="A1083" i="14"/>
  <c r="A1084" i="14"/>
  <c r="A979" i="14"/>
  <c r="A980" i="14"/>
  <c r="H979" i="14"/>
  <c r="I979" i="14"/>
  <c r="A852" i="14"/>
  <c r="A853" i="14"/>
  <c r="I852" i="14"/>
  <c r="I846" i="14" s="1"/>
  <c r="H852" i="14"/>
  <c r="A544" i="14"/>
  <c r="A545" i="14"/>
  <c r="I544" i="14"/>
  <c r="I105" i="14"/>
  <c r="H105" i="14"/>
  <c r="A105" i="14"/>
  <c r="A106" i="14"/>
  <c r="I43" i="14" l="1"/>
  <c r="I42" i="14" s="1"/>
  <c r="I38" i="14" s="1"/>
  <c r="H936" i="14"/>
  <c r="H935" i="14" s="1"/>
  <c r="H153" i="14" l="1"/>
  <c r="L141" i="1" l="1"/>
  <c r="L108" i="1" l="1"/>
  <c r="L103" i="1"/>
  <c r="L102" i="1"/>
  <c r="L68" i="1"/>
  <c r="L67" i="1"/>
  <c r="L65" i="1"/>
  <c r="L64" i="1"/>
  <c r="L59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757" i="14"/>
  <c r="A758" i="14"/>
  <c r="H757" i="14"/>
  <c r="H387" i="14"/>
  <c r="H389" i="14"/>
  <c r="I387" i="14"/>
  <c r="I389" i="14"/>
  <c r="A387" i="14"/>
  <c r="A388" i="14"/>
  <c r="A389" i="14"/>
  <c r="A390" i="14"/>
  <c r="H385" i="14"/>
  <c r="I385" i="14"/>
  <c r="A385" i="14"/>
  <c r="A386" i="14"/>
  <c r="A1094" i="14"/>
  <c r="A1095" i="14"/>
  <c r="H1094" i="14"/>
  <c r="I1094" i="14"/>
  <c r="A1071" i="14"/>
  <c r="A1072" i="14"/>
  <c r="H1071" i="14"/>
  <c r="I1071" i="14"/>
  <c r="H1011" i="14"/>
  <c r="H1010" i="14" s="1"/>
  <c r="A1010" i="14"/>
  <c r="A1011" i="14"/>
  <c r="A1012" i="14"/>
  <c r="A1004" i="14"/>
  <c r="A1005" i="14"/>
  <c r="A1006" i="14"/>
  <c r="H1005" i="14"/>
  <c r="H1004" i="14" s="1"/>
  <c r="I981" i="14"/>
  <c r="H981" i="14"/>
  <c r="H978" i="14" s="1"/>
  <c r="A975" i="14"/>
  <c r="A976" i="14"/>
  <c r="A977" i="14"/>
  <c r="A978" i="14"/>
  <c r="A981" i="14"/>
  <c r="A982" i="14"/>
  <c r="A896" i="14"/>
  <c r="A897" i="14"/>
  <c r="I896" i="14"/>
  <c r="H896" i="14"/>
  <c r="A571" i="14"/>
  <c r="I978" i="14" l="1"/>
  <c r="I977" i="14" s="1"/>
  <c r="I976" i="14" s="1"/>
  <c r="I975" i="14" s="1"/>
  <c r="H977" i="14"/>
  <c r="H976" i="14" s="1"/>
  <c r="H975" i="14" s="1"/>
  <c r="I1004" i="14"/>
  <c r="I1005" i="14"/>
  <c r="H570" i="14"/>
  <c r="I547" i="14"/>
  <c r="H547" i="14"/>
  <c r="D38" i="16"/>
  <c r="A546" i="14"/>
  <c r="A547" i="14"/>
  <c r="A548" i="14"/>
  <c r="H504" i="14"/>
  <c r="A506" i="14"/>
  <c r="I468" i="14"/>
  <c r="I467" i="14" s="1"/>
  <c r="I466" i="14" s="1"/>
  <c r="I465" i="14" s="1"/>
  <c r="I464" i="14" s="1"/>
  <c r="H468" i="14"/>
  <c r="H467" i="14" s="1"/>
  <c r="H466" i="14" s="1"/>
  <c r="H465" i="14" s="1"/>
  <c r="H464" i="14" s="1"/>
  <c r="A464" i="14"/>
  <c r="A465" i="14"/>
  <c r="A466" i="14"/>
  <c r="A467" i="14"/>
  <c r="A468" i="14"/>
  <c r="A469" i="14"/>
  <c r="I546" i="14" l="1"/>
  <c r="F38" i="16" s="1"/>
  <c r="H546" i="14"/>
  <c r="E38" i="16" s="1"/>
  <c r="E47" i="3"/>
  <c r="D47" i="3"/>
  <c r="H359" i="14" l="1"/>
  <c r="D178" i="16"/>
  <c r="B178" i="16"/>
  <c r="D177" i="16"/>
  <c r="B177" i="16"/>
  <c r="A311" i="14"/>
  <c r="H259" i="14"/>
  <c r="A260" i="14"/>
  <c r="L120" i="1"/>
  <c r="L74" i="1" l="1"/>
  <c r="D106" i="16" l="1"/>
  <c r="B106" i="16"/>
  <c r="D105" i="16"/>
  <c r="B105" i="16"/>
  <c r="A224" i="14"/>
  <c r="A225" i="14"/>
  <c r="H224" i="14"/>
  <c r="I224" i="14"/>
  <c r="H288" i="14"/>
  <c r="I277" i="14"/>
  <c r="H277" i="14"/>
  <c r="H275" i="14"/>
  <c r="I275" i="14" s="1"/>
  <c r="I164" i="14"/>
  <c r="I163" i="14" s="1"/>
  <c r="I159" i="14" s="1"/>
  <c r="I158" i="14" s="1"/>
  <c r="H274" i="14" l="1"/>
  <c r="I274" i="14" s="1"/>
  <c r="F106" i="16" s="1"/>
  <c r="E106" i="16" l="1"/>
  <c r="H273" i="14"/>
  <c r="H272" i="14" s="1"/>
  <c r="I272" i="14" s="1"/>
  <c r="E105" i="16"/>
  <c r="I273" i="14" l="1"/>
  <c r="F105" i="16" s="1"/>
  <c r="L275" i="15"/>
  <c r="I275" i="15"/>
  <c r="I359" i="14"/>
  <c r="I361" i="14"/>
  <c r="I288" i="14"/>
  <c r="D16" i="16"/>
  <c r="I355" i="14" l="1"/>
  <c r="I354" i="14" s="1"/>
  <c r="I353" i="14" s="1"/>
  <c r="D39" i="16"/>
  <c r="H552" i="14"/>
  <c r="H551" i="14" s="1"/>
  <c r="I552" i="14"/>
  <c r="I551" i="14" s="1"/>
  <c r="F39" i="16" s="1"/>
  <c r="L130" i="1"/>
  <c r="A379" i="14"/>
  <c r="A380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08" i="14"/>
  <c r="A208" i="14"/>
  <c r="A209" i="14"/>
  <c r="A185" i="14"/>
  <c r="L57" i="1"/>
  <c r="H86" i="14"/>
  <c r="A88" i="14"/>
  <c r="A89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30" i="14"/>
  <c r="I329" i="14" s="1"/>
  <c r="I334" i="14"/>
  <c r="I333" i="14" s="1"/>
  <c r="L106" i="2"/>
  <c r="L138" i="1"/>
  <c r="L140" i="1"/>
  <c r="L147" i="1"/>
  <c r="L117" i="1"/>
  <c r="L118" i="1"/>
  <c r="O47" i="2" l="1"/>
  <c r="O106" i="2"/>
  <c r="L47" i="2"/>
  <c r="I332" i="14"/>
  <c r="F145" i="16" s="1"/>
  <c r="F146" i="16"/>
  <c r="I328" i="14"/>
  <c r="F144" i="16"/>
  <c r="B16" i="16"/>
  <c r="F143" i="16" l="1"/>
  <c r="I298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61" i="14" l="1"/>
  <c r="A359" i="14"/>
  <c r="A360" i="14"/>
  <c r="A361" i="14"/>
  <c r="A362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14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551" i="14" l="1"/>
  <c r="A552" i="14"/>
  <c r="A553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33" i="14"/>
  <c r="A329" i="14"/>
  <c r="B143" i="16"/>
  <c r="B144" i="16"/>
  <c r="B145" i="16"/>
  <c r="B146" i="16"/>
  <c r="H330" i="14"/>
  <c r="A330" i="14"/>
  <c r="A331" i="14"/>
  <c r="H334" i="14"/>
  <c r="H333" i="14" s="1"/>
  <c r="A334" i="14"/>
  <c r="A335" i="14"/>
  <c r="A332" i="14"/>
  <c r="A328" i="14"/>
  <c r="H248" i="14"/>
  <c r="A288" i="14"/>
  <c r="A289" i="14"/>
  <c r="I221" i="15" l="1"/>
  <c r="I220" i="15" s="1"/>
  <c r="L221" i="15"/>
  <c r="L220" i="15" s="1"/>
  <c r="I23" i="21"/>
  <c r="D23" i="21"/>
  <c r="H332" i="14"/>
  <c r="E145" i="16" s="1"/>
  <c r="E146" i="16"/>
  <c r="H329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A215" i="14"/>
  <c r="A175" i="14"/>
  <c r="A211" i="14"/>
  <c r="H207" i="14" l="1"/>
  <c r="H328" i="14"/>
  <c r="E143" i="16" s="1"/>
  <c r="E144" i="16"/>
  <c r="H159" i="14"/>
  <c r="F176" i="16" l="1"/>
  <c r="E176" i="16"/>
  <c r="H834" i="14" l="1"/>
  <c r="H222" i="14"/>
  <c r="H129" i="15" l="1"/>
  <c r="H151" i="14" l="1"/>
  <c r="H250" i="14"/>
  <c r="A249" i="14" l="1"/>
  <c r="H519" i="15" l="1"/>
  <c r="D71" i="16" l="1"/>
  <c r="B71" i="16"/>
  <c r="K146" i="1"/>
  <c r="K45" i="1" l="1"/>
  <c r="L146" i="1"/>
  <c r="B76" i="16"/>
  <c r="H284" i="14"/>
  <c r="I284" i="14"/>
  <c r="I283" i="14" s="1"/>
  <c r="A284" i="14"/>
  <c r="A285" i="14"/>
  <c r="H141" i="15" l="1"/>
  <c r="H138" i="15" s="1"/>
  <c r="E163" i="21" s="1"/>
  <c r="G163" i="21"/>
  <c r="D163" i="21" l="1"/>
  <c r="H270" i="14"/>
  <c r="H269" i="14" s="1"/>
  <c r="E77" i="16" s="1"/>
  <c r="I270" i="14"/>
  <c r="I269" i="14" s="1"/>
  <c r="F77" i="16" s="1"/>
  <c r="A429" i="14"/>
  <c r="A430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63" i="14"/>
  <c r="H262" i="14" s="1"/>
  <c r="E71" i="16" s="1"/>
  <c r="I263" i="14"/>
  <c r="I262" i="14" s="1"/>
  <c r="A234" i="14"/>
  <c r="A235" i="14"/>
  <c r="H230" i="14"/>
  <c r="H234" i="14"/>
  <c r="I234" i="14"/>
  <c r="H232" i="14"/>
  <c r="I232" i="14"/>
  <c r="A232" i="14"/>
  <c r="A233" i="14"/>
  <c r="A226" i="14"/>
  <c r="A227" i="14"/>
  <c r="H226" i="14"/>
  <c r="H221" i="14" s="1"/>
  <c r="I226" i="14"/>
  <c r="I221" i="14" s="1"/>
  <c r="D94" i="16"/>
  <c r="A207" i="14"/>
  <c r="A210" i="14"/>
  <c r="I220" i="14" l="1"/>
  <c r="F184" i="16" s="1"/>
  <c r="F185" i="16"/>
  <c r="F71" i="16"/>
  <c r="I254" i="14"/>
  <c r="I265" i="14"/>
  <c r="L141" i="15"/>
  <c r="L138" i="15" s="1"/>
  <c r="I163" i="21" s="1"/>
  <c r="H229" i="14"/>
  <c r="H228" i="14" s="1"/>
  <c r="H151" i="15"/>
  <c r="H150" i="15" s="1"/>
  <c r="H149" i="15" s="1"/>
  <c r="I151" i="15"/>
  <c r="I150" i="15" s="1"/>
  <c r="I149" i="15" s="1"/>
  <c r="E94" i="16"/>
  <c r="F94" i="16"/>
  <c r="I245" i="14" l="1"/>
  <c r="I103" i="14"/>
  <c r="H103" i="14"/>
  <c r="A103" i="14"/>
  <c r="A104" i="14"/>
  <c r="A761" i="14"/>
  <c r="A762" i="14"/>
  <c r="H761" i="14"/>
  <c r="I761" i="14"/>
  <c r="A79" i="14" l="1"/>
  <c r="A80" i="14"/>
  <c r="H79" i="14"/>
  <c r="I79" i="14"/>
  <c r="I76" i="14" s="1"/>
  <c r="I75" i="14" s="1"/>
  <c r="H48" i="14"/>
  <c r="A56" i="14"/>
  <c r="H55" i="14"/>
  <c r="H426" i="14"/>
  <c r="H47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55" i="14"/>
  <c r="A1161" i="14" l="1"/>
  <c r="A1162" i="14"/>
  <c r="A1163" i="14"/>
  <c r="A1164" i="14"/>
  <c r="A1165" i="14"/>
  <c r="A1166" i="14"/>
  <c r="H1165" i="14"/>
  <c r="H1164" i="14" s="1"/>
  <c r="H1163" i="14" s="1"/>
  <c r="H1162" i="14" s="1"/>
  <c r="H1161" i="14" s="1"/>
  <c r="I1165" i="14"/>
  <c r="I1164" i="14" s="1"/>
  <c r="I1163" i="14" s="1"/>
  <c r="I1162" i="14" s="1"/>
  <c r="I1161" i="14" s="1"/>
  <c r="A1096" i="14"/>
  <c r="A1097" i="14"/>
  <c r="H1096" i="14"/>
  <c r="I1096" i="14"/>
  <c r="A1079" i="14"/>
  <c r="A1080" i="14"/>
  <c r="H1079" i="14"/>
  <c r="I1079" i="14"/>
  <c r="A1040" i="14"/>
  <c r="A1041" i="14"/>
  <c r="H1040" i="14"/>
  <c r="I1040" i="14"/>
  <c r="I1037" i="14" s="1"/>
  <c r="I1036" i="14" s="1"/>
  <c r="I1029" i="14"/>
  <c r="H1029" i="14"/>
  <c r="H1025" i="14"/>
  <c r="I1025" i="14"/>
  <c r="I861" i="14"/>
  <c r="H861" i="14"/>
  <c r="A861" i="14"/>
  <c r="A862" i="14"/>
  <c r="A763" i="14"/>
  <c r="A764" i="14"/>
  <c r="H763" i="14"/>
  <c r="I763" i="14"/>
  <c r="I756" i="14" s="1"/>
  <c r="A628" i="14"/>
  <c r="A629" i="14"/>
  <c r="H628" i="14"/>
  <c r="I628" i="14"/>
  <c r="A597" i="14"/>
  <c r="A598" i="14"/>
  <c r="A599" i="14"/>
  <c r="A600" i="14"/>
  <c r="A601" i="14"/>
  <c r="H600" i="14"/>
  <c r="H599" i="14" s="1"/>
  <c r="H598" i="14" s="1"/>
  <c r="H597" i="14" s="1"/>
  <c r="I600" i="14"/>
  <c r="I599" i="14" s="1"/>
  <c r="I598" i="14" s="1"/>
  <c r="I597" i="14" s="1"/>
  <c r="A581" i="14"/>
  <c r="A582" i="14"/>
  <c r="H581" i="14"/>
  <c r="I581" i="14"/>
  <c r="H542" i="14"/>
  <c r="I542" i="14"/>
  <c r="I521" i="14" s="1"/>
  <c r="A542" i="14"/>
  <c r="A543" i="14"/>
  <c r="I493" i="14"/>
  <c r="A493" i="14"/>
  <c r="A494" i="14"/>
  <c r="A391" i="14"/>
  <c r="A400" i="14"/>
  <c r="A401" i="14"/>
  <c r="A402" i="14"/>
  <c r="H401" i="14"/>
  <c r="H400" i="14" s="1"/>
  <c r="H391" i="14" s="1"/>
  <c r="I401" i="14"/>
  <c r="I400" i="14" s="1"/>
  <c r="I391" i="14" s="1"/>
  <c r="I520" i="14" l="1"/>
  <c r="G159" i="21"/>
  <c r="H493" i="14"/>
  <c r="A61" i="14"/>
  <c r="A62" i="14"/>
  <c r="H61" i="14"/>
  <c r="H54" i="14" s="1"/>
  <c r="I61" i="14"/>
  <c r="K39" i="1" l="1"/>
  <c r="L60" i="1"/>
  <c r="A373" i="14" l="1"/>
  <c r="A374" i="14"/>
  <c r="A375" i="14"/>
  <c r="A376" i="14"/>
  <c r="H101" i="14"/>
  <c r="A101" i="14"/>
  <c r="A102" i="14"/>
  <c r="B44" i="16"/>
  <c r="I101" i="14" l="1"/>
  <c r="D23" i="56"/>
  <c r="D21" i="56"/>
  <c r="D20" i="56"/>
  <c r="A1114" i="14"/>
  <c r="A1115" i="14"/>
  <c r="A1116" i="14"/>
  <c r="H1115" i="14"/>
  <c r="H1114" i="14" s="1"/>
  <c r="I1115" i="14"/>
  <c r="I1114" i="14" s="1"/>
  <c r="I1110" i="14" s="1"/>
  <c r="I1109" i="14" s="1"/>
  <c r="D19" i="56" l="1"/>
  <c r="B58" i="16"/>
  <c r="I1073" i="14" l="1"/>
  <c r="A1073" i="14"/>
  <c r="A1074" i="14"/>
  <c r="A1100" i="14" l="1"/>
  <c r="A1101" i="14"/>
  <c r="H1100" i="14"/>
  <c r="I1100" i="14"/>
  <c r="A1090" i="14"/>
  <c r="A1091" i="14"/>
  <c r="H1090" i="14"/>
  <c r="I1090" i="14"/>
  <c r="A1067" i="14"/>
  <c r="A1068" i="14"/>
  <c r="H1067" i="14"/>
  <c r="I1067" i="14"/>
  <c r="I1058" i="14" s="1"/>
  <c r="I959" i="14"/>
  <c r="I958" i="14" s="1"/>
  <c r="H959" i="14"/>
  <c r="H958" i="14" s="1"/>
  <c r="I956" i="14"/>
  <c r="I955" i="14" s="1"/>
  <c r="I954" i="14" s="1"/>
  <c r="H956" i="14"/>
  <c r="H955" i="14" s="1"/>
  <c r="H954" i="14" s="1"/>
  <c r="A953" i="14"/>
  <c r="A954" i="14"/>
  <c r="A955" i="14"/>
  <c r="A956" i="14"/>
  <c r="A957" i="14"/>
  <c r="A958" i="14"/>
  <c r="A959" i="14"/>
  <c r="A960" i="14"/>
  <c r="A653" i="14"/>
  <c r="A654" i="14"/>
  <c r="A659" i="14"/>
  <c r="A660" i="14"/>
  <c r="H659" i="14"/>
  <c r="H653" i="14"/>
  <c r="I653" i="14"/>
  <c r="I659" i="14"/>
  <c r="A583" i="14"/>
  <c r="A584" i="14"/>
  <c r="I583" i="14"/>
  <c r="A579" i="14"/>
  <c r="A580" i="14"/>
  <c r="H579" i="14"/>
  <c r="A495" i="14"/>
  <c r="A496" i="14"/>
  <c r="A480" i="14"/>
  <c r="A481" i="14"/>
  <c r="H127" i="14"/>
  <c r="A127" i="14"/>
  <c r="A128" i="14"/>
  <c r="I127" i="14"/>
  <c r="I649" i="14" l="1"/>
  <c r="H953" i="14"/>
  <c r="I953" i="14"/>
  <c r="I579" i="14"/>
  <c r="A345" i="14" l="1"/>
  <c r="A348" i="14"/>
  <c r="A349" i="14"/>
  <c r="H348" i="14"/>
  <c r="H345" i="14" s="1"/>
  <c r="I348" i="14"/>
  <c r="I345" i="14" s="1"/>
  <c r="I336" i="14" s="1"/>
  <c r="I297" i="14" s="1"/>
  <c r="A455" i="14"/>
  <c r="A456" i="14"/>
  <c r="H455" i="14"/>
  <c r="B169" i="16"/>
  <c r="B170" i="16"/>
  <c r="B171" i="16"/>
  <c r="I230" i="14"/>
  <c r="I229" i="14" s="1"/>
  <c r="I228" i="14" s="1"/>
  <c r="I219" i="14" s="1"/>
  <c r="A228" i="14"/>
  <c r="A229" i="14"/>
  <c r="A230" i="14"/>
  <c r="A231" i="14"/>
  <c r="E171" i="16" l="1"/>
  <c r="F169" i="16"/>
  <c r="F170" i="16"/>
  <c r="D169" i="16"/>
  <c r="D170" i="16"/>
  <c r="E169" i="16"/>
  <c r="E170" i="16"/>
  <c r="H664" i="14" l="1"/>
  <c r="H946" i="14"/>
  <c r="H924" i="14"/>
  <c r="H96" i="14"/>
  <c r="D72" i="16" l="1"/>
  <c r="D73" i="16"/>
  <c r="B160" i="16" l="1"/>
  <c r="D134" i="16"/>
  <c r="B134" i="16"/>
  <c r="I609" i="14"/>
  <c r="A607" i="14"/>
  <c r="A608" i="14"/>
  <c r="A609" i="14"/>
  <c r="A611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6" i="56"/>
  <c r="I65" i="15" l="1"/>
  <c r="I64" i="15" s="1"/>
  <c r="I63" i="15" s="1"/>
  <c r="I62" i="15" s="1"/>
  <c r="L506" i="15"/>
  <c r="I506" i="15"/>
  <c r="L64" i="15"/>
  <c r="L63" i="15" s="1"/>
  <c r="L62" i="15" s="1"/>
  <c r="I1092" i="14" l="1"/>
  <c r="H1092" i="14"/>
  <c r="A1092" i="14"/>
  <c r="A1093" i="14"/>
  <c r="A1048" i="14"/>
  <c r="I973" i="14"/>
  <c r="I972" i="14" s="1"/>
  <c r="I971" i="14" s="1"/>
  <c r="I970" i="14" s="1"/>
  <c r="E45" i="3" s="1"/>
  <c r="H973" i="14"/>
  <c r="H972" i="14" s="1"/>
  <c r="H971" i="14" s="1"/>
  <c r="H970" i="14" s="1"/>
  <c r="C45" i="3"/>
  <c r="A973" i="14"/>
  <c r="A974" i="14"/>
  <c r="A970" i="14"/>
  <c r="A971" i="14"/>
  <c r="A972" i="14"/>
  <c r="I1085" i="14" l="1"/>
  <c r="I1057" i="14" s="1"/>
  <c r="I1052" i="14" s="1"/>
  <c r="D45" i="3"/>
  <c r="I894" i="14"/>
  <c r="I891" i="14" s="1"/>
  <c r="H894" i="14"/>
  <c r="A894" i="14"/>
  <c r="A895" i="14"/>
  <c r="A891" i="14"/>
  <c r="A892" i="14"/>
  <c r="H880" i="14"/>
  <c r="A880" i="14"/>
  <c r="A881" i="14"/>
  <c r="A882" i="14"/>
  <c r="A878" i="14"/>
  <c r="A879" i="14"/>
  <c r="H878" i="14"/>
  <c r="I878" i="14"/>
  <c r="A858" i="14"/>
  <c r="H859" i="14"/>
  <c r="H858" i="14" s="1"/>
  <c r="I859" i="14"/>
  <c r="I858" i="14" s="1"/>
  <c r="A797" i="14"/>
  <c r="A798" i="14"/>
  <c r="A799" i="14"/>
  <c r="H798" i="14"/>
  <c r="H797" i="14" s="1"/>
  <c r="E55" i="16" s="1"/>
  <c r="D55" i="16"/>
  <c r="I798" i="14"/>
  <c r="I797" i="14" s="1"/>
  <c r="F55" i="16" s="1"/>
  <c r="B54" i="16"/>
  <c r="B55" i="16"/>
  <c r="H788" i="14"/>
  <c r="A788" i="14"/>
  <c r="A789" i="14"/>
  <c r="A790" i="14"/>
  <c r="F16" i="16" l="1"/>
  <c r="E16" i="16"/>
  <c r="I880" i="14"/>
  <c r="I788" i="14"/>
  <c r="I784" i="14" s="1"/>
  <c r="I123" i="14"/>
  <c r="I122" i="14" s="1"/>
  <c r="H123" i="14"/>
  <c r="H122" i="14" s="1"/>
  <c r="A122" i="14"/>
  <c r="A123" i="14"/>
  <c r="A124" i="14"/>
  <c r="H375" i="14"/>
  <c r="H374" i="14" s="1"/>
  <c r="A377" i="14"/>
  <c r="H461" i="14"/>
  <c r="H460" i="14" s="1"/>
  <c r="H459" i="14" s="1"/>
  <c r="A459" i="14"/>
  <c r="A460" i="14"/>
  <c r="A461" i="14"/>
  <c r="A462" i="14"/>
  <c r="I461" i="14"/>
  <c r="I460" i="14" s="1"/>
  <c r="I459" i="14" s="1"/>
  <c r="A440" i="14"/>
  <c r="A441" i="14"/>
  <c r="H440" i="14"/>
  <c r="I440" i="14"/>
  <c r="I783" i="14" l="1"/>
  <c r="I782" i="14"/>
  <c r="I781" i="14" s="1"/>
  <c r="I375" i="14"/>
  <c r="I374" i="14" s="1"/>
  <c r="H746" i="14"/>
  <c r="H745" i="14" s="1"/>
  <c r="I746" i="14"/>
  <c r="I745" i="14" s="1"/>
  <c r="A745" i="14"/>
  <c r="A746" i="14"/>
  <c r="A747" i="14"/>
  <c r="I721" i="14"/>
  <c r="I718" i="14" s="1"/>
  <c r="H721" i="14"/>
  <c r="H719" i="14"/>
  <c r="A721" i="14"/>
  <c r="A722" i="14"/>
  <c r="A718" i="14"/>
  <c r="A719" i="14"/>
  <c r="A720" i="14"/>
  <c r="I577" i="14"/>
  <c r="H577" i="14"/>
  <c r="A577" i="14"/>
  <c r="A578" i="14"/>
  <c r="H490" i="14"/>
  <c r="H17" i="14"/>
  <c r="H1170" i="14"/>
  <c r="A1174" i="14"/>
  <c r="I570" i="14"/>
  <c r="A570" i="14"/>
  <c r="A572" i="14"/>
  <c r="A97" i="14"/>
  <c r="A859" i="14"/>
  <c r="A860" i="14"/>
  <c r="I569" i="14" l="1"/>
  <c r="H718" i="14"/>
  <c r="L50" i="1" l="1"/>
  <c r="D150" i="21"/>
  <c r="E150" i="21"/>
  <c r="F150" i="21"/>
  <c r="G150" i="21"/>
  <c r="H150" i="21"/>
  <c r="I150" i="21"/>
  <c r="D163" i="16"/>
  <c r="E163" i="16"/>
  <c r="F163" i="16"/>
  <c r="H373" i="14" l="1"/>
  <c r="I373" i="14" s="1"/>
  <c r="D146" i="2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457" i="14" l="1"/>
  <c r="A457" i="14"/>
  <c r="A458" i="14"/>
  <c r="A341" i="14"/>
  <c r="A342" i="14"/>
  <c r="H341" i="14" l="1"/>
  <c r="H340" i="14" s="1"/>
  <c r="A258" i="14" l="1"/>
  <c r="H256" i="14"/>
  <c r="E134" i="16"/>
  <c r="A192" i="14"/>
  <c r="A193" i="14"/>
  <c r="A176" i="14"/>
  <c r="A177" i="14"/>
  <c r="A178" i="14"/>
  <c r="A179" i="14"/>
  <c r="F134" i="16" l="1"/>
  <c r="A20" i="14"/>
  <c r="L129" i="1" l="1"/>
  <c r="L132" i="1"/>
  <c r="L124" i="1"/>
  <c r="A449" i="14"/>
  <c r="A450" i="14"/>
  <c r="H449" i="14"/>
  <c r="H239" i="14"/>
  <c r="A239" i="14"/>
  <c r="A240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36" i="14"/>
  <c r="A337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297" i="14"/>
  <c r="A298" i="14"/>
  <c r="A299" i="14"/>
  <c r="A300" i="14"/>
  <c r="A301" i="14"/>
  <c r="A302" i="14"/>
  <c r="A303" i="14"/>
  <c r="A304" i="14"/>
  <c r="A305" i="14"/>
  <c r="A307" i="14"/>
  <c r="A317" i="14"/>
  <c r="A318" i="14"/>
  <c r="A338" i="14"/>
  <c r="A339" i="14"/>
  <c r="H304" i="14"/>
  <c r="H317" i="14"/>
  <c r="H311" i="14" s="1"/>
  <c r="H338" i="14"/>
  <c r="H337" i="14" s="1"/>
  <c r="H336" i="14" s="1"/>
  <c r="E147" i="21" l="1"/>
  <c r="H206" i="15"/>
  <c r="I206" i="15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03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38" i="14"/>
  <c r="F120" i="21"/>
  <c r="I147" i="21"/>
  <c r="H205" i="15"/>
  <c r="F147" i="21"/>
  <c r="I209" i="15"/>
  <c r="H159" i="15"/>
  <c r="H301" i="14"/>
  <c r="A283" i="14"/>
  <c r="A290" i="14"/>
  <c r="A291" i="14"/>
  <c r="H290" i="14"/>
  <c r="H283" i="14" s="1"/>
  <c r="A259" i="14"/>
  <c r="A261" i="14"/>
  <c r="L107" i="15" l="1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37" i="14"/>
  <c r="H236" i="14" s="1"/>
  <c r="I244" i="14"/>
  <c r="I205" i="15"/>
  <c r="E146" i="21"/>
  <c r="H147" i="21"/>
  <c r="H300" i="14"/>
  <c r="I159" i="15"/>
  <c r="F165" i="21" s="1"/>
  <c r="A238" i="14"/>
  <c r="A236" i="14"/>
  <c r="A237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299" i="14"/>
  <c r="H298" i="14" s="1"/>
  <c r="H297" i="14" s="1"/>
  <c r="A222" i="14"/>
  <c r="A184" i="14"/>
  <c r="A186" i="14"/>
  <c r="A187" i="14"/>
  <c r="A170" i="14"/>
  <c r="H157" i="15" l="1"/>
  <c r="I157" i="15" s="1"/>
  <c r="A153" i="14" l="1"/>
  <c r="A154" i="14"/>
  <c r="A155" i="14"/>
  <c r="A156" i="14"/>
  <c r="A157" i="14"/>
  <c r="I156" i="14"/>
  <c r="H155" i="14" l="1"/>
  <c r="E126" i="16" s="1"/>
  <c r="L28" i="1"/>
  <c r="L113" i="1"/>
  <c r="L114" i="1"/>
  <c r="A81" i="14"/>
  <c r="A82" i="14"/>
  <c r="A83" i="14"/>
  <c r="A84" i="14"/>
  <c r="H83" i="14"/>
  <c r="H82" i="14" s="1"/>
  <c r="H81" i="14" s="1"/>
  <c r="I83" i="14"/>
  <c r="I82" i="14" s="1"/>
  <c r="I81" i="14" s="1"/>
  <c r="I155" i="14" l="1"/>
  <c r="F168" i="16"/>
  <c r="E168" i="16"/>
  <c r="D168" i="16"/>
  <c r="B168" i="16"/>
  <c r="B166" i="16"/>
  <c r="B167" i="16"/>
  <c r="D167" i="16"/>
  <c r="A151" i="14"/>
  <c r="H150" i="14"/>
  <c r="C14" i="56"/>
  <c r="D14" i="56"/>
  <c r="L219" i="15"/>
  <c r="L76" i="1"/>
  <c r="L56" i="1"/>
  <c r="L69" i="1"/>
  <c r="L70" i="1"/>
  <c r="F126" i="16" l="1"/>
  <c r="I149" i="14"/>
  <c r="I148" i="14" s="1"/>
  <c r="H149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36" i="14"/>
  <c r="A831" i="14"/>
  <c r="A832" i="14"/>
  <c r="A833" i="14"/>
  <c r="A834" i="14"/>
  <c r="A835" i="14"/>
  <c r="A836" i="14"/>
  <c r="A838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29" i="14"/>
  <c r="A130" i="14"/>
  <c r="A131" i="14"/>
  <c r="A132" i="14"/>
  <c r="A133" i="14"/>
  <c r="A134" i="14"/>
  <c r="A135" i="14"/>
  <c r="A136" i="14"/>
  <c r="H255" i="14"/>
  <c r="H254" i="14" s="1"/>
  <c r="H295" i="14"/>
  <c r="A294" i="14"/>
  <c r="A295" i="14"/>
  <c r="A296" i="14"/>
  <c r="H294" i="14" l="1"/>
  <c r="H948" i="14"/>
  <c r="H945" i="14" s="1"/>
  <c r="A949" i="14"/>
  <c r="A948" i="14"/>
  <c r="A950" i="14"/>
  <c r="H923" i="14"/>
  <c r="A220" i="14"/>
  <c r="H217" i="14"/>
  <c r="H252" i="14"/>
  <c r="H247" i="14" s="1"/>
  <c r="H216" i="14" l="1"/>
  <c r="H246" i="14"/>
  <c r="H266" i="14"/>
  <c r="I948" i="14"/>
  <c r="H148" i="14"/>
  <c r="H146" i="14"/>
  <c r="H145" i="14" s="1"/>
  <c r="H137" i="14" s="1"/>
  <c r="I146" i="14"/>
  <c r="I145" i="14" s="1"/>
  <c r="I137" i="14" s="1"/>
  <c r="I96" i="14"/>
  <c r="H99" i="14"/>
  <c r="A96" i="14"/>
  <c r="A98" i="14"/>
  <c r="E68" i="16" l="1"/>
  <c r="E73" i="16"/>
  <c r="H265" i="14"/>
  <c r="E72" i="16" s="1"/>
  <c r="E66" i="16"/>
  <c r="H245" i="14" l="1"/>
  <c r="H244" i="14" l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50" i="14"/>
  <c r="A251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45" i="14"/>
  <c r="A146" i="14"/>
  <c r="A147" i="14"/>
  <c r="I173" i="15" l="1"/>
  <c r="I168" i="15" s="1"/>
  <c r="A252" i="14"/>
  <c r="A253" i="14"/>
  <c r="H163" i="15" l="1"/>
  <c r="H162" i="15" s="1"/>
  <c r="A254" i="14"/>
  <c r="A255" i="14"/>
  <c r="A256" i="14"/>
  <c r="A257" i="14"/>
  <c r="F68" i="16" l="1"/>
  <c r="I164" i="15"/>
  <c r="I163" i="15" s="1"/>
  <c r="I162" i="15" s="1"/>
  <c r="E61" i="4" s="1"/>
  <c r="A244" i="14"/>
  <c r="A245" i="14"/>
  <c r="A246" i="14"/>
  <c r="A247" i="14"/>
  <c r="A248" i="14"/>
  <c r="A148" i="14"/>
  <c r="A149" i="14"/>
  <c r="A150" i="14"/>
  <c r="A152" i="14"/>
  <c r="A218" i="14"/>
  <c r="A217" i="14"/>
  <c r="F66" i="16" l="1"/>
  <c r="C24" i="56"/>
  <c r="D24" i="56"/>
  <c r="H481" i="15"/>
  <c r="H479" i="15"/>
  <c r="A705" i="14"/>
  <c r="H704" i="14"/>
  <c r="H282" i="15"/>
  <c r="K282" i="15"/>
  <c r="L284" i="15"/>
  <c r="A284" i="15"/>
  <c r="A492" i="14"/>
  <c r="K272" i="15"/>
  <c r="A274" i="15"/>
  <c r="L274" i="15"/>
  <c r="I274" i="15"/>
  <c r="F73" i="16" l="1"/>
  <c r="F72" i="16"/>
  <c r="I704" i="14"/>
  <c r="H474" i="14"/>
  <c r="A476" i="14"/>
  <c r="A477" i="14"/>
  <c r="I474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594" i="14"/>
  <c r="I593" i="14" s="1"/>
  <c r="I592" i="14" s="1"/>
  <c r="I591" i="14" s="1"/>
  <c r="I590" i="14" s="1"/>
  <c r="E76" i="3" s="1"/>
  <c r="H594" i="14"/>
  <c r="H593" i="14" s="1"/>
  <c r="H592" i="14" s="1"/>
  <c r="H591" i="14" s="1"/>
  <c r="H590" i="14" s="1"/>
  <c r="D76" i="3" s="1"/>
  <c r="A590" i="14"/>
  <c r="A591" i="14"/>
  <c r="A592" i="14"/>
  <c r="A593" i="14"/>
  <c r="A594" i="14"/>
  <c r="A595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16" i="14" l="1"/>
  <c r="H915" i="14" s="1"/>
  <c r="H914" i="14" s="1"/>
  <c r="I916" i="14"/>
  <c r="I915" i="14" s="1"/>
  <c r="I914" i="14" s="1"/>
  <c r="A914" i="14"/>
  <c r="A915" i="14"/>
  <c r="A916" i="14"/>
  <c r="A917" i="14"/>
  <c r="H920" i="14"/>
  <c r="H919" i="14" s="1"/>
  <c r="H918" i="14" s="1"/>
  <c r="I920" i="14"/>
  <c r="I919" i="14" s="1"/>
  <c r="I918" i="14" s="1"/>
  <c r="A920" i="14"/>
  <c r="A921" i="14"/>
  <c r="A918" i="14"/>
  <c r="A919" i="14"/>
  <c r="H73" i="14"/>
  <c r="H72" i="14" s="1"/>
  <c r="H71" i="14" s="1"/>
  <c r="I73" i="14"/>
  <c r="I72" i="14" s="1"/>
  <c r="I71" i="14" s="1"/>
  <c r="A71" i="14"/>
  <c r="A72" i="14"/>
  <c r="A73" i="14"/>
  <c r="A74" i="14"/>
  <c r="I135" i="14"/>
  <c r="I134" i="14" s="1"/>
  <c r="I129" i="14" s="1"/>
  <c r="H135" i="14"/>
  <c r="H134" i="14" s="1"/>
  <c r="H730" i="14"/>
  <c r="A731" i="14"/>
  <c r="I713" i="14"/>
  <c r="I712" i="14" s="1"/>
  <c r="I711" i="14" s="1"/>
  <c r="I710" i="14" s="1"/>
  <c r="I709" i="14" s="1"/>
  <c r="H713" i="14"/>
  <c r="H712" i="14" s="1"/>
  <c r="H711" i="14" s="1"/>
  <c r="H710" i="14" s="1"/>
  <c r="H709" i="14" s="1"/>
  <c r="A709" i="14"/>
  <c r="A710" i="14"/>
  <c r="A711" i="14"/>
  <c r="A712" i="14"/>
  <c r="A713" i="14"/>
  <c r="A714" i="14"/>
  <c r="I485" i="14"/>
  <c r="H485" i="14"/>
  <c r="A485" i="14"/>
  <c r="A486" i="14"/>
  <c r="I883" i="14"/>
  <c r="H883" i="14"/>
  <c r="A883" i="14"/>
  <c r="A884" i="14"/>
  <c r="I898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16" i="14"/>
  <c r="A378" i="14"/>
  <c r="B164" i="16"/>
  <c r="B165" i="16"/>
  <c r="B159" i="16"/>
  <c r="B161" i="16"/>
  <c r="B162" i="16"/>
  <c r="B155" i="16"/>
  <c r="B156" i="16"/>
  <c r="B157" i="16"/>
  <c r="B158" i="16"/>
  <c r="H778" i="14"/>
  <c r="H777" i="14" s="1"/>
  <c r="H776" i="14" s="1"/>
  <c r="H775" i="14" s="1"/>
  <c r="I778" i="14"/>
  <c r="I777" i="14" s="1"/>
  <c r="I776" i="14" s="1"/>
  <c r="I775" i="14" s="1"/>
  <c r="A775" i="14"/>
  <c r="A776" i="14"/>
  <c r="A777" i="14"/>
  <c r="A778" i="14"/>
  <c r="A779" i="14"/>
  <c r="H695" i="14"/>
  <c r="H694" i="14" s="1"/>
  <c r="A694" i="14"/>
  <c r="A695" i="14"/>
  <c r="A696" i="14"/>
  <c r="A691" i="14"/>
  <c r="I588" i="14"/>
  <c r="I587" i="14" s="1"/>
  <c r="I586" i="14" s="1"/>
  <c r="I585" i="14" s="1"/>
  <c r="H588" i="14"/>
  <c r="H587" i="14" s="1"/>
  <c r="H586" i="14" s="1"/>
  <c r="H585" i="14" s="1"/>
  <c r="A585" i="14"/>
  <c r="A586" i="14"/>
  <c r="A587" i="14"/>
  <c r="A588" i="14"/>
  <c r="A589" i="14"/>
  <c r="H478" i="14"/>
  <c r="H473" i="14" s="1"/>
  <c r="A478" i="14"/>
  <c r="A479" i="14"/>
  <c r="I946" i="14"/>
  <c r="I945" i="14" s="1"/>
  <c r="A945" i="14"/>
  <c r="A946" i="14"/>
  <c r="A947" i="14"/>
  <c r="A924" i="14"/>
  <c r="A925" i="14"/>
  <c r="A926" i="14"/>
  <c r="A927" i="14"/>
  <c r="A929" i="14"/>
  <c r="I925" i="14" l="1"/>
  <c r="I924" i="14" s="1"/>
  <c r="I923" i="14" s="1"/>
  <c r="F159" i="21"/>
  <c r="I694" i="14"/>
  <c r="I695" i="14"/>
  <c r="I930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22" i="14" l="1"/>
  <c r="A481" i="15"/>
  <c r="A482" i="15"/>
  <c r="L482" i="15"/>
  <c r="L481" i="15" s="1"/>
  <c r="I482" i="15"/>
  <c r="I481" i="15" s="1"/>
  <c r="H842" i="14"/>
  <c r="I842" i="14"/>
  <c r="H844" i="14"/>
  <c r="I844" i="14"/>
  <c r="L480" i="15"/>
  <c r="L479" i="15" s="1"/>
  <c r="I480" i="15"/>
  <c r="I479" i="15" s="1"/>
  <c r="A479" i="15"/>
  <c r="A480" i="15"/>
  <c r="A844" i="14"/>
  <c r="A845" i="14"/>
  <c r="A842" i="14"/>
  <c r="A843" i="14"/>
  <c r="A839" i="14"/>
  <c r="A841" i="14"/>
  <c r="L77" i="1" l="1"/>
  <c r="L105" i="1"/>
  <c r="L101" i="1"/>
  <c r="L100" i="1"/>
  <c r="L104" i="1" l="1"/>
  <c r="H380" i="14" l="1"/>
  <c r="A381" i="14"/>
  <c r="H379" i="14" l="1"/>
  <c r="H378" i="14" s="1"/>
  <c r="H377" i="14" s="1"/>
  <c r="A94" i="14"/>
  <c r="H131" i="14"/>
  <c r="H130" i="14" l="1"/>
  <c r="H129" i="14" s="1"/>
  <c r="D41" i="3" s="1"/>
  <c r="D40" i="3"/>
  <c r="A383" i="14" l="1"/>
  <c r="A223" i="14"/>
  <c r="A190" i="14" l="1"/>
  <c r="E174" i="16"/>
  <c r="A158" i="14"/>
  <c r="A191" i="14"/>
  <c r="A173" i="14"/>
  <c r="A172" i="14"/>
  <c r="A169" i="14"/>
  <c r="H168" i="14"/>
  <c r="H167" i="14" s="1"/>
  <c r="H166" i="14" s="1"/>
  <c r="A168" i="14"/>
  <c r="A167" i="14"/>
  <c r="A166" i="14"/>
  <c r="H158" i="14" l="1"/>
  <c r="F174" i="16"/>
  <c r="A58" i="14"/>
  <c r="A60" i="14"/>
  <c r="A47" i="14"/>
  <c r="A48" i="14"/>
  <c r="A49" i="14"/>
  <c r="E173" i="16" l="1"/>
  <c r="E172" i="16"/>
  <c r="F173" i="16"/>
  <c r="H847" i="14"/>
  <c r="A847" i="14"/>
  <c r="A848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3" i="14"/>
  <c r="I64" i="14"/>
  <c r="I63" i="14" s="1"/>
  <c r="H64" i="14"/>
  <c r="H63" i="14" s="1"/>
  <c r="A64" i="14"/>
  <c r="A65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5" i="14"/>
  <c r="I433" i="14"/>
  <c r="I664" i="14"/>
  <c r="I730" i="14"/>
  <c r="H13" i="14"/>
  <c r="H22" i="14"/>
  <c r="H27" i="14"/>
  <c r="H31" i="14"/>
  <c r="H36" i="14"/>
  <c r="H40" i="14"/>
  <c r="H51" i="14"/>
  <c r="H68" i="14"/>
  <c r="H67" i="14" s="1"/>
  <c r="H77" i="14"/>
  <c r="E154" i="16"/>
  <c r="H107" i="14"/>
  <c r="H113" i="14"/>
  <c r="H116" i="14"/>
  <c r="E104" i="16"/>
  <c r="E97" i="16"/>
  <c r="E98" i="16"/>
  <c r="H354" i="14"/>
  <c r="H353" i="14" s="1"/>
  <c r="D70" i="3" s="1"/>
  <c r="H413" i="14"/>
  <c r="H412" i="14" s="1"/>
  <c r="H411" i="14" s="1"/>
  <c r="H420" i="14"/>
  <c r="H419" i="14" s="1"/>
  <c r="H423" i="14"/>
  <c r="H422" i="14" s="1"/>
  <c r="H431" i="14"/>
  <c r="H433" i="14"/>
  <c r="H438" i="14"/>
  <c r="H447" i="14"/>
  <c r="H453" i="14"/>
  <c r="H452" i="14" s="1"/>
  <c r="H503" i="14"/>
  <c r="H508" i="14"/>
  <c r="H507" i="14" s="1"/>
  <c r="H511" i="14"/>
  <c r="H510" i="14" s="1"/>
  <c r="H524" i="14"/>
  <c r="H526" i="14"/>
  <c r="H530" i="14"/>
  <c r="H534" i="14"/>
  <c r="H536" i="14"/>
  <c r="H556" i="14"/>
  <c r="H555" i="14" s="1"/>
  <c r="H561" i="14"/>
  <c r="H560" i="14" s="1"/>
  <c r="H564" i="14"/>
  <c r="H563" i="14" s="1"/>
  <c r="H575" i="14"/>
  <c r="H569" i="14" s="1"/>
  <c r="H605" i="14"/>
  <c r="H607" i="14"/>
  <c r="H612" i="14"/>
  <c r="H614" i="14"/>
  <c r="H617" i="14"/>
  <c r="H620" i="14"/>
  <c r="H619" i="14" s="1"/>
  <c r="H626" i="14"/>
  <c r="H632" i="14"/>
  <c r="H634" i="14"/>
  <c r="H638" i="14"/>
  <c r="H639" i="14"/>
  <c r="H645" i="14"/>
  <c r="H647" i="14"/>
  <c r="H650" i="14"/>
  <c r="H649" i="14" s="1"/>
  <c r="H662" i="14"/>
  <c r="H661" i="14" s="1"/>
  <c r="H667" i="14"/>
  <c r="H671" i="14"/>
  <c r="H673" i="14"/>
  <c r="H678" i="14"/>
  <c r="H681" i="14"/>
  <c r="H687" i="14"/>
  <c r="H686" i="14" s="1"/>
  <c r="H692" i="14"/>
  <c r="H698" i="14"/>
  <c r="H697" i="14" s="1"/>
  <c r="H703" i="14"/>
  <c r="H702" i="14" s="1"/>
  <c r="H707" i="14"/>
  <c r="H706" i="14" s="1"/>
  <c r="H724" i="14"/>
  <c r="H726" i="14"/>
  <c r="H728" i="14"/>
  <c r="H733" i="14"/>
  <c r="H736" i="14"/>
  <c r="H742" i="14"/>
  <c r="H741" i="14" s="1"/>
  <c r="H759" i="14"/>
  <c r="H756" i="14" s="1"/>
  <c r="H766" i="14"/>
  <c r="H765" i="14" s="1"/>
  <c r="H785" i="14"/>
  <c r="H784" i="14" s="1"/>
  <c r="H795" i="14"/>
  <c r="H794" i="14" s="1"/>
  <c r="H793" i="14" s="1"/>
  <c r="H792" i="14" s="1"/>
  <c r="H804" i="14"/>
  <c r="H807" i="14"/>
  <c r="H810" i="14"/>
  <c r="H812" i="14"/>
  <c r="H815" i="14"/>
  <c r="H817" i="14"/>
  <c r="H819" i="14"/>
  <c r="H822" i="14"/>
  <c r="H825" i="14"/>
  <c r="H828" i="14"/>
  <c r="H831" i="14"/>
  <c r="H839" i="14"/>
  <c r="H849" i="14"/>
  <c r="H846" i="14" s="1"/>
  <c r="H867" i="14"/>
  <c r="H869" i="14"/>
  <c r="H871" i="14"/>
  <c r="H873" i="14"/>
  <c r="H875" i="14"/>
  <c r="H885" i="14"/>
  <c r="H889" i="14"/>
  <c r="H888" i="14" s="1"/>
  <c r="H892" i="14"/>
  <c r="H891" i="14" s="1"/>
  <c r="H902" i="14"/>
  <c r="H905" i="14"/>
  <c r="H907" i="14"/>
  <c r="H912" i="14"/>
  <c r="H911" i="14" s="1"/>
  <c r="E53" i="16" s="1"/>
  <c r="H933" i="14"/>
  <c r="H932" i="14" s="1"/>
  <c r="H931" i="14" s="1"/>
  <c r="H940" i="14"/>
  <c r="H939" i="14" s="1"/>
  <c r="H943" i="14"/>
  <c r="H942" i="14" s="1"/>
  <c r="D26" i="3"/>
  <c r="H963" i="14"/>
  <c r="H962" i="14" s="1"/>
  <c r="H961" i="14" s="1"/>
  <c r="H967" i="14"/>
  <c r="H966" i="14" s="1"/>
  <c r="H985" i="14"/>
  <c r="H984" i="14" s="1"/>
  <c r="H983" i="14" s="1"/>
  <c r="D62" i="3" s="1"/>
  <c r="H991" i="14"/>
  <c r="H993" i="14"/>
  <c r="H997" i="14"/>
  <c r="H1008" i="14"/>
  <c r="H1007" i="14" s="1"/>
  <c r="H1003" i="14" s="1"/>
  <c r="H1017" i="14"/>
  <c r="H1019" i="14"/>
  <c r="H1023" i="14"/>
  <c r="H1027" i="14"/>
  <c r="H1032" i="14"/>
  <c r="H1034" i="14"/>
  <c r="H1038" i="14"/>
  <c r="H1044" i="14"/>
  <c r="H1043" i="14" s="1"/>
  <c r="H1042" i="14" s="1"/>
  <c r="H1049" i="14"/>
  <c r="H1059" i="14"/>
  <c r="H1061" i="14"/>
  <c r="H1063" i="14"/>
  <c r="H1069" i="14"/>
  <c r="H1081" i="14"/>
  <c r="H1086" i="14"/>
  <c r="H1088" i="14"/>
  <c r="H1112" i="14"/>
  <c r="H1111" i="14" s="1"/>
  <c r="H1118" i="14"/>
  <c r="H1117" i="14" s="1"/>
  <c r="H1122" i="14"/>
  <c r="H1121" i="14" s="1"/>
  <c r="H1120" i="14" s="1"/>
  <c r="H1128" i="14"/>
  <c r="H1132" i="14"/>
  <c r="H1136" i="14"/>
  <c r="H1142" i="14"/>
  <c r="H1141" i="14" s="1"/>
  <c r="H1140" i="14" s="1"/>
  <c r="H1139" i="14" s="1"/>
  <c r="H1147" i="14"/>
  <c r="H1146" i="14" s="1"/>
  <c r="H1145" i="14" s="1"/>
  <c r="H1144" i="14" s="1"/>
  <c r="H1151" i="14"/>
  <c r="H1150" i="14" s="1"/>
  <c r="H1149" i="14" s="1"/>
  <c r="H1155" i="14"/>
  <c r="H1154" i="14" s="1"/>
  <c r="H1153" i="14" s="1"/>
  <c r="H1159" i="14"/>
  <c r="H1158" i="14" s="1"/>
  <c r="H1157" i="14" s="1"/>
  <c r="D111" i="3"/>
  <c r="E81" i="16"/>
  <c r="H1175" i="14"/>
  <c r="H1177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0" i="6" s="1"/>
  <c r="D16" i="6"/>
  <c r="D22" i="6"/>
  <c r="D21" i="6" s="1"/>
  <c r="E12" i="5"/>
  <c r="E14" i="5"/>
  <c r="E17" i="5"/>
  <c r="E25" i="5"/>
  <c r="D11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6" i="1"/>
  <c r="L35" i="1" s="1"/>
  <c r="L38" i="1"/>
  <c r="L40" i="1"/>
  <c r="L41" i="1"/>
  <c r="L42" i="1"/>
  <c r="L43" i="1"/>
  <c r="L44" i="1"/>
  <c r="L48" i="1"/>
  <c r="L49" i="1"/>
  <c r="L55" i="1"/>
  <c r="L66" i="1"/>
  <c r="L107" i="1"/>
  <c r="L106" i="1"/>
  <c r="L84" i="1"/>
  <c r="L86" i="1"/>
  <c r="L78" i="1"/>
  <c r="L79" i="1"/>
  <c r="L95" i="1"/>
  <c r="L96" i="1"/>
  <c r="L97" i="1"/>
  <c r="L98" i="1"/>
  <c r="L88" i="1"/>
  <c r="L90" i="1"/>
  <c r="L91" i="1"/>
  <c r="L92" i="1"/>
  <c r="L83" i="1"/>
  <c r="L85" i="1"/>
  <c r="L82" i="1"/>
  <c r="L89" i="1"/>
  <c r="L81" i="1"/>
  <c r="L99" i="1"/>
  <c r="L87" i="1"/>
  <c r="L80" i="1"/>
  <c r="L94" i="1"/>
  <c r="L93" i="1"/>
  <c r="L112" i="1"/>
  <c r="L111" i="1"/>
  <c r="L122" i="1"/>
  <c r="L123" i="1"/>
  <c r="L125" i="1"/>
  <c r="L126" i="1"/>
  <c r="L127" i="1"/>
  <c r="L128" i="1"/>
  <c r="L133" i="1"/>
  <c r="L134" i="1"/>
  <c r="L135" i="1"/>
  <c r="L136" i="1"/>
  <c r="K12" i="1"/>
  <c r="K14" i="1"/>
  <c r="K16" i="1"/>
  <c r="K20" i="1"/>
  <c r="K25" i="1"/>
  <c r="K24" i="1" s="1"/>
  <c r="K37" i="1"/>
  <c r="H803" i="14" l="1"/>
  <c r="H755" i="14"/>
  <c r="L47" i="1"/>
  <c r="H521" i="14"/>
  <c r="H520" i="14" s="1"/>
  <c r="H1058" i="14"/>
  <c r="H66" i="14"/>
  <c r="E123" i="16"/>
  <c r="D54" i="3"/>
  <c r="H604" i="15"/>
  <c r="H599" i="15" s="1"/>
  <c r="H425" i="14"/>
  <c r="H1085" i="14"/>
  <c r="E22" i="16" s="1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H1016" i="14"/>
  <c r="E12" i="16" s="1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D10" i="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4" i="1"/>
  <c r="L27" i="1"/>
  <c r="L24" i="1" s="1"/>
  <c r="L20" i="1"/>
  <c r="H50" i="14"/>
  <c r="H46" i="14" s="1"/>
  <c r="H39" i="14"/>
  <c r="H38" i="14" s="1"/>
  <c r="E112" i="16" s="1"/>
  <c r="H16" i="14"/>
  <c r="H35" i="14"/>
  <c r="E109" i="16" s="1"/>
  <c r="E103" i="16"/>
  <c r="H12" i="14"/>
  <c r="H30" i="14"/>
  <c r="L75" i="1"/>
  <c r="L39" i="1"/>
  <c r="L37" i="1" s="1"/>
  <c r="L16" i="1"/>
  <c r="K425" i="15"/>
  <c r="K424" i="15" s="1"/>
  <c r="K426" i="15"/>
  <c r="I380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85" i="14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76" i="14"/>
  <c r="H75" i="14" s="1"/>
  <c r="H1037" i="14"/>
  <c r="H1036" i="14" s="1"/>
  <c r="E43" i="16"/>
  <c r="H625" i="14"/>
  <c r="H624" i="14" s="1"/>
  <c r="H1110" i="14"/>
  <c r="H1109" i="14" s="1"/>
  <c r="H1002" i="14"/>
  <c r="E33" i="16"/>
  <c r="H21" i="21"/>
  <c r="H604" i="14"/>
  <c r="H866" i="14"/>
  <c r="H1047" i="14"/>
  <c r="H1046" i="14" s="1"/>
  <c r="H1048" i="14"/>
  <c r="E58" i="16" s="1"/>
  <c r="H568" i="14"/>
  <c r="G10" i="6"/>
  <c r="H451" i="14"/>
  <c r="D60" i="3" s="1"/>
  <c r="H446" i="14"/>
  <c r="H445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690" i="14"/>
  <c r="H689" i="14" s="1"/>
  <c r="H691" i="14"/>
  <c r="E57" i="16" s="1"/>
  <c r="H53" i="14"/>
  <c r="E118" i="16" s="1"/>
  <c r="H965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42" i="21"/>
  <c r="H16" i="21"/>
  <c r="E69" i="16"/>
  <c r="E36" i="16"/>
  <c r="E121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31" i="14"/>
  <c r="H644" i="14"/>
  <c r="H1031" i="14"/>
  <c r="E13" i="16" s="1"/>
  <c r="D64" i="3"/>
  <c r="H1127" i="14"/>
  <c r="H938" i="14"/>
  <c r="H930" i="14" s="1"/>
  <c r="H559" i="14"/>
  <c r="H558" i="14" s="1"/>
  <c r="E152" i="16"/>
  <c r="H901" i="14"/>
  <c r="H900" i="14" s="1"/>
  <c r="H899" i="14" s="1"/>
  <c r="H898" i="14" s="1"/>
  <c r="H1169" i="14"/>
  <c r="H1168" i="14" s="1"/>
  <c r="H1167" i="14" s="1"/>
  <c r="H502" i="14"/>
  <c r="H666" i="14"/>
  <c r="H783" i="14"/>
  <c r="H782" i="14"/>
  <c r="H781" i="14" s="1"/>
  <c r="H418" i="14"/>
  <c r="H723" i="14"/>
  <c r="H717" i="14" s="1"/>
  <c r="D109" i="3"/>
  <c r="E86" i="3"/>
  <c r="D33" i="3"/>
  <c r="D65" i="3"/>
  <c r="E33" i="3"/>
  <c r="D115" i="3"/>
  <c r="D114" i="3" s="1"/>
  <c r="H791" i="14"/>
  <c r="D98" i="3" s="1"/>
  <c r="H685" i="14"/>
  <c r="E40" i="16" s="1"/>
  <c r="H554" i="14"/>
  <c r="D86" i="3"/>
  <c r="D23" i="3"/>
  <c r="G15" i="6"/>
  <c r="D15" i="5"/>
  <c r="E86" i="4"/>
  <c r="E33" i="4"/>
  <c r="K11" i="1"/>
  <c r="K148" i="1" s="1"/>
  <c r="D21" i="5" s="1"/>
  <c r="I1034" i="14"/>
  <c r="I1031" i="14" s="1"/>
  <c r="A1034" i="14"/>
  <c r="A1031" i="14"/>
  <c r="A1032" i="14"/>
  <c r="A1033" i="14"/>
  <c r="A1035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11" i="14"/>
  <c r="A912" i="14"/>
  <c r="A913" i="14"/>
  <c r="A1088" i="14"/>
  <c r="A1089" i="14"/>
  <c r="B151" i="16"/>
  <c r="A355" i="14"/>
  <c r="H412" i="15" l="1"/>
  <c r="H411" i="15" s="1"/>
  <c r="D105" i="4" s="1"/>
  <c r="D103" i="4" s="1"/>
  <c r="H15" i="14"/>
  <c r="E187" i="16"/>
  <c r="H519" i="14"/>
  <c r="H513" i="14" s="1"/>
  <c r="H404" i="14"/>
  <c r="H403" i="14" s="1"/>
  <c r="E117" i="16"/>
  <c r="H630" i="15"/>
  <c r="E22" i="21"/>
  <c r="G105" i="4"/>
  <c r="G103" i="4" s="1"/>
  <c r="H41" i="21"/>
  <c r="E113" i="16"/>
  <c r="L576" i="15"/>
  <c r="L575" i="15" s="1"/>
  <c r="H10" i="15"/>
  <c r="H1057" i="14"/>
  <c r="H1052" i="14" s="1"/>
  <c r="I425" i="15"/>
  <c r="I424" i="15" s="1"/>
  <c r="H20" i="21"/>
  <c r="H34" i="14"/>
  <c r="H33" i="14" s="1"/>
  <c r="H220" i="14"/>
  <c r="E184" i="16" s="1"/>
  <c r="H25" i="14"/>
  <c r="H29" i="14"/>
  <c r="H11" i="14"/>
  <c r="L46" i="1"/>
  <c r="L45" i="1" s="1"/>
  <c r="E165" i="16"/>
  <c r="E164" i="16" s="1"/>
  <c r="H51" i="21"/>
  <c r="K442" i="15"/>
  <c r="K441" i="15" s="1"/>
  <c r="K440" i="15" s="1"/>
  <c r="H566" i="14"/>
  <c r="H567" i="14"/>
  <c r="I379" i="14"/>
  <c r="I378" i="14" s="1"/>
  <c r="I377" i="14" s="1"/>
  <c r="F45" i="16"/>
  <c r="K31" i="15"/>
  <c r="K10" i="15" s="1"/>
  <c r="H172" i="21"/>
  <c r="H922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865" i="14"/>
  <c r="H864" i="14" s="1"/>
  <c r="H863" i="14" s="1"/>
  <c r="E54" i="16"/>
  <c r="E99" i="16"/>
  <c r="H536" i="15"/>
  <c r="D102" i="3"/>
  <c r="H802" i="14"/>
  <c r="H801" i="14" s="1"/>
  <c r="H800" i="14" s="1"/>
  <c r="E32" i="16"/>
  <c r="H637" i="14"/>
  <c r="H636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471" i="14"/>
  <c r="E29" i="16"/>
  <c r="E189" i="16"/>
  <c r="E108" i="16"/>
  <c r="E21" i="16"/>
  <c r="E102" i="16"/>
  <c r="H716" i="14"/>
  <c r="H715" i="14" s="1"/>
  <c r="E34" i="16"/>
  <c r="H501" i="14"/>
  <c r="E56" i="16"/>
  <c r="H603" i="14"/>
  <c r="H602" i="14" s="1"/>
  <c r="H596" i="14" s="1"/>
  <c r="E35" i="16"/>
  <c r="H1126" i="14"/>
  <c r="E23" i="16"/>
  <c r="H630" i="14"/>
  <c r="E18" i="16"/>
  <c r="E150" i="16"/>
  <c r="E42" i="16"/>
  <c r="E124" i="16"/>
  <c r="D73" i="3"/>
  <c r="E30" i="16"/>
  <c r="E84" i="16"/>
  <c r="K346" i="15"/>
  <c r="H442" i="15"/>
  <c r="H441" i="15" s="1"/>
  <c r="H440" i="15" s="1"/>
  <c r="K287" i="15"/>
  <c r="H346" i="15"/>
  <c r="G119" i="21"/>
  <c r="G52" i="21"/>
  <c r="H472" i="14"/>
  <c r="H1015" i="14"/>
  <c r="I637" i="15"/>
  <c r="I636" i="15" s="1"/>
  <c r="L633" i="15"/>
  <c r="L632" i="15" s="1"/>
  <c r="L631" i="15" s="1"/>
  <c r="I633" i="15"/>
  <c r="I632" i="15" s="1"/>
  <c r="A697" i="14"/>
  <c r="A698" i="14"/>
  <c r="A699" i="14"/>
  <c r="A700" i="14"/>
  <c r="A1003" i="14"/>
  <c r="A1002" i="14"/>
  <c r="A1007" i="14"/>
  <c r="A1008" i="14"/>
  <c r="A1009" i="14"/>
  <c r="A1117" i="14"/>
  <c r="A1118" i="14"/>
  <c r="A1119" i="14"/>
  <c r="A1149" i="14"/>
  <c r="A1150" i="14"/>
  <c r="A1151" i="14"/>
  <c r="A1152" i="14"/>
  <c r="A1153" i="14"/>
  <c r="A1154" i="14"/>
  <c r="A1155" i="14"/>
  <c r="A1156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44" i="14"/>
  <c r="A741" i="14"/>
  <c r="E143" i="21"/>
  <c r="E141" i="21"/>
  <c r="E139" i="21"/>
  <c r="E144" i="21"/>
  <c r="E145" i="21"/>
  <c r="I375" i="15"/>
  <c r="I374" i="15" s="1"/>
  <c r="A370" i="15"/>
  <c r="A371" i="15"/>
  <c r="A661" i="14"/>
  <c r="A617" i="14"/>
  <c r="A618" i="14"/>
  <c r="A619" i="14"/>
  <c r="A341" i="15"/>
  <c r="A342" i="15"/>
  <c r="A343" i="15"/>
  <c r="A304" i="15"/>
  <c r="A305" i="15"/>
  <c r="A306" i="15"/>
  <c r="A307" i="15"/>
  <c r="A311" i="15"/>
  <c r="A314" i="15"/>
  <c r="A567" i="14"/>
  <c r="A566" i="14"/>
  <c r="A568" i="14"/>
  <c r="A569" i="14"/>
  <c r="A575" i="14"/>
  <c r="A576" i="14"/>
  <c r="A507" i="14"/>
  <c r="A508" i="14"/>
  <c r="A509" i="14"/>
  <c r="B41" i="21"/>
  <c r="B42" i="21"/>
  <c r="B34" i="21"/>
  <c r="B35" i="21"/>
  <c r="B36" i="21"/>
  <c r="B35" i="16"/>
  <c r="B36" i="16"/>
  <c r="B37" i="16"/>
  <c r="I90" i="14"/>
  <c r="I85" i="14" s="1"/>
  <c r="A69" i="14"/>
  <c r="A66" i="14"/>
  <c r="A67" i="14"/>
  <c r="A68" i="14"/>
  <c r="A70" i="14"/>
  <c r="D105" i="3" l="1"/>
  <c r="D103" i="3" s="1"/>
  <c r="D82" i="4"/>
  <c r="D81" i="4" s="1"/>
  <c r="H569" i="15"/>
  <c r="E107" i="16"/>
  <c r="K267" i="15"/>
  <c r="H1125" i="14"/>
  <c r="H1124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19" i="14"/>
  <c r="L46" i="2"/>
  <c r="L126" i="2" s="1"/>
  <c r="O126" i="2"/>
  <c r="E21" i="5"/>
  <c r="G73" i="4"/>
  <c r="G22" i="4"/>
  <c r="D78" i="4"/>
  <c r="H780" i="14"/>
  <c r="H267" i="15"/>
  <c r="K569" i="15"/>
  <c r="G82" i="4"/>
  <c r="G81" i="4" s="1"/>
  <c r="H1051" i="14"/>
  <c r="D82" i="3" s="1"/>
  <c r="G78" i="4"/>
  <c r="G99" i="4"/>
  <c r="G96" i="4" s="1"/>
  <c r="D80" i="4"/>
  <c r="G80" i="4"/>
  <c r="D100" i="3"/>
  <c r="D9" i="4"/>
  <c r="H470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L11" i="1" s="1"/>
  <c r="L148" i="1" s="1"/>
  <c r="H1014" i="14"/>
  <c r="H1013" i="14" s="1"/>
  <c r="E11" i="16"/>
  <c r="E101" i="16"/>
  <c r="E17" i="16"/>
  <c r="H623" i="14"/>
  <c r="H622" i="14" s="1"/>
  <c r="D52" i="3"/>
  <c r="E149" i="16"/>
  <c r="E83" i="16"/>
  <c r="E27" i="16"/>
  <c r="F119" i="21"/>
  <c r="D52" i="21"/>
  <c r="F52" i="21"/>
  <c r="I119" i="21"/>
  <c r="E52" i="21"/>
  <c r="I52" i="21"/>
  <c r="G64" i="21"/>
  <c r="I68" i="14"/>
  <c r="I507" i="14"/>
  <c r="I508" i="14"/>
  <c r="D13" i="16"/>
  <c r="F13" i="16"/>
  <c r="I1155" i="14"/>
  <c r="I1151" i="14"/>
  <c r="D53" i="16"/>
  <c r="F53" i="16"/>
  <c r="E42" i="21"/>
  <c r="E41" i="21"/>
  <c r="A78" i="14"/>
  <c r="A75" i="14"/>
  <c r="A76" i="14"/>
  <c r="A77" i="14"/>
  <c r="A95" i="14"/>
  <c r="A565" i="15"/>
  <c r="A566" i="15"/>
  <c r="L565" i="15"/>
  <c r="I629" i="15" l="1"/>
  <c r="I628" i="15" s="1"/>
  <c r="D81" i="3"/>
  <c r="H10" i="14"/>
  <c r="D58" i="3"/>
  <c r="I568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153" i="14"/>
  <c r="I1154" i="14"/>
  <c r="I1003" i="14"/>
  <c r="I1002" i="14" s="1"/>
  <c r="F154" i="16"/>
  <c r="I66" i="14"/>
  <c r="I67" i="14"/>
  <c r="F123" i="16" s="1"/>
  <c r="I1149" i="14"/>
  <c r="I1150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31" i="14"/>
  <c r="A932" i="14"/>
  <c r="A933" i="14"/>
  <c r="A934" i="14"/>
  <c r="H171" i="21" l="1"/>
  <c r="H174" i="21" s="1"/>
  <c r="I566" i="14"/>
  <c r="I567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38" i="14"/>
  <c r="A439" i="14"/>
  <c r="I431" i="14"/>
  <c r="A411" i="14"/>
  <c r="A412" i="14"/>
  <c r="A413" i="14"/>
  <c r="A414" i="14"/>
  <c r="B57" i="16"/>
  <c r="E19" i="5"/>
  <c r="I426" i="14" l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05" i="14"/>
  <c r="A906" i="14"/>
  <c r="A885" i="14"/>
  <c r="A886" i="14"/>
  <c r="A887" i="14"/>
  <c r="A849" i="14"/>
  <c r="A850" i="14"/>
  <c r="A851" i="14"/>
  <c r="A873" i="14"/>
  <c r="A874" i="14"/>
  <c r="I873" i="14"/>
  <c r="A871" i="14"/>
  <c r="A872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79" i="14"/>
  <c r="A1178" i="14"/>
  <c r="A1177" i="14"/>
  <c r="A1176" i="14"/>
  <c r="A1175" i="14"/>
  <c r="A1173" i="14"/>
  <c r="A1172" i="14"/>
  <c r="A1171" i="14"/>
  <c r="A1170" i="14"/>
  <c r="A1169" i="14"/>
  <c r="A1168" i="14"/>
  <c r="A1167" i="14"/>
  <c r="F70" i="16"/>
  <c r="A1160" i="14"/>
  <c r="A1159" i="14"/>
  <c r="A1158" i="14"/>
  <c r="A1157" i="14"/>
  <c r="A1148" i="14"/>
  <c r="A1147" i="14"/>
  <c r="A1146" i="14"/>
  <c r="A1145" i="14"/>
  <c r="A1144" i="14"/>
  <c r="A1143" i="14"/>
  <c r="A1142" i="14"/>
  <c r="A1141" i="14"/>
  <c r="A1140" i="14"/>
  <c r="A1139" i="14"/>
  <c r="A1137" i="14"/>
  <c r="I1136" i="14"/>
  <c r="I1127" i="14" s="1"/>
  <c r="I1126" i="14" s="1"/>
  <c r="I1125" i="14" s="1"/>
  <c r="A1136" i="14"/>
  <c r="A1135" i="14"/>
  <c r="A1134" i="14"/>
  <c r="A1133" i="14"/>
  <c r="A1132" i="14"/>
  <c r="A1131" i="14"/>
  <c r="A1130" i="14"/>
  <c r="A1129" i="14"/>
  <c r="A1128" i="14"/>
  <c r="A1127" i="14"/>
  <c r="A1126" i="14"/>
  <c r="A1125" i="14"/>
  <c r="A1124" i="14"/>
  <c r="A1123" i="14"/>
  <c r="A1122" i="14"/>
  <c r="A1121" i="14"/>
  <c r="A1120" i="14"/>
  <c r="A1113" i="14"/>
  <c r="A1112" i="14"/>
  <c r="A1111" i="14"/>
  <c r="A1110" i="14"/>
  <c r="A1109" i="14"/>
  <c r="A1087" i="14"/>
  <c r="A1086" i="14"/>
  <c r="A1085" i="14"/>
  <c r="A1082" i="14"/>
  <c r="A1081" i="14"/>
  <c r="A1070" i="14"/>
  <c r="A1069" i="14"/>
  <c r="A1064" i="14"/>
  <c r="A1063" i="14"/>
  <c r="A1062" i="14"/>
  <c r="A1061" i="14"/>
  <c r="A1060" i="14"/>
  <c r="A1059" i="14"/>
  <c r="A1058" i="14"/>
  <c r="A1057" i="14"/>
  <c r="A1052" i="14"/>
  <c r="A1051" i="14"/>
  <c r="A1050" i="14"/>
  <c r="D58" i="16"/>
  <c r="A1049" i="14"/>
  <c r="A1047" i="14"/>
  <c r="A1046" i="14"/>
  <c r="A1045" i="14"/>
  <c r="A1044" i="14"/>
  <c r="A1043" i="14"/>
  <c r="A1042" i="14"/>
  <c r="A1039" i="14"/>
  <c r="A1038" i="14"/>
  <c r="A1037" i="14"/>
  <c r="A1036" i="14"/>
  <c r="I1027" i="14"/>
  <c r="I1023" i="14"/>
  <c r="A1020" i="14"/>
  <c r="A1019" i="14"/>
  <c r="A1018" i="14"/>
  <c r="A1017" i="14"/>
  <c r="A1016" i="14"/>
  <c r="A1015" i="14"/>
  <c r="A1014" i="14"/>
  <c r="A1013" i="14"/>
  <c r="A998" i="14"/>
  <c r="I997" i="14"/>
  <c r="A997" i="14"/>
  <c r="A994" i="14"/>
  <c r="A993" i="14"/>
  <c r="A992" i="14"/>
  <c r="A990" i="14"/>
  <c r="A989" i="14"/>
  <c r="A988" i="14"/>
  <c r="A987" i="14"/>
  <c r="A986" i="14"/>
  <c r="I985" i="14"/>
  <c r="A985" i="14"/>
  <c r="A984" i="14"/>
  <c r="A983" i="14"/>
  <c r="A969" i="14"/>
  <c r="A968" i="14"/>
  <c r="A967" i="14"/>
  <c r="A966" i="14"/>
  <c r="A965" i="14"/>
  <c r="A964" i="14"/>
  <c r="A963" i="14"/>
  <c r="A962" i="14"/>
  <c r="A961" i="14"/>
  <c r="A944" i="14"/>
  <c r="A943" i="14"/>
  <c r="A942" i="14"/>
  <c r="A941" i="14"/>
  <c r="A940" i="14"/>
  <c r="A939" i="14"/>
  <c r="A938" i="14"/>
  <c r="A930" i="14"/>
  <c r="A923" i="14"/>
  <c r="A922" i="14"/>
  <c r="A910" i="14"/>
  <c r="A909" i="14"/>
  <c r="A908" i="14"/>
  <c r="A907" i="14"/>
  <c r="A904" i="14"/>
  <c r="A903" i="14"/>
  <c r="A902" i="14"/>
  <c r="A901" i="14"/>
  <c r="A900" i="14"/>
  <c r="A899" i="14"/>
  <c r="A898" i="14"/>
  <c r="A893" i="14"/>
  <c r="A890" i="14"/>
  <c r="A889" i="14"/>
  <c r="A888" i="14"/>
  <c r="A877" i="14"/>
  <c r="A876" i="14"/>
  <c r="A875" i="14"/>
  <c r="A870" i="14"/>
  <c r="A869" i="14"/>
  <c r="A868" i="14"/>
  <c r="A867" i="14"/>
  <c r="A866" i="14"/>
  <c r="A865" i="14"/>
  <c r="A864" i="14"/>
  <c r="A863" i="14"/>
  <c r="A846" i="14"/>
  <c r="A840" i="14"/>
  <c r="I839" i="14"/>
  <c r="I831" i="14"/>
  <c r="A830" i="14"/>
  <c r="A829" i="14"/>
  <c r="A828" i="14"/>
  <c r="A827" i="14"/>
  <c r="A826" i="14"/>
  <c r="A825" i="14"/>
  <c r="A824" i="14"/>
  <c r="A823" i="14"/>
  <c r="A822" i="14"/>
  <c r="A821" i="14"/>
  <c r="A820" i="14"/>
  <c r="A819" i="14"/>
  <c r="A818" i="14"/>
  <c r="I817" i="14"/>
  <c r="A817" i="14"/>
  <c r="A816" i="14"/>
  <c r="I815" i="14"/>
  <c r="A815" i="14"/>
  <c r="A814" i="14"/>
  <c r="A813" i="14"/>
  <c r="A812" i="14"/>
  <c r="A811" i="14"/>
  <c r="A810" i="14"/>
  <c r="A809" i="14"/>
  <c r="A808" i="14"/>
  <c r="A807" i="14"/>
  <c r="A806" i="14"/>
  <c r="A805" i="14"/>
  <c r="A804" i="14"/>
  <c r="A803" i="14"/>
  <c r="A802" i="14"/>
  <c r="A801" i="14"/>
  <c r="A800" i="14"/>
  <c r="A796" i="14"/>
  <c r="A795" i="14"/>
  <c r="A794" i="14"/>
  <c r="A793" i="14"/>
  <c r="A792" i="14"/>
  <c r="A791" i="14"/>
  <c r="A787" i="14"/>
  <c r="A786" i="14"/>
  <c r="A785" i="14"/>
  <c r="A784" i="14"/>
  <c r="A783" i="14"/>
  <c r="A782" i="14"/>
  <c r="A781" i="14"/>
  <c r="A780" i="14"/>
  <c r="A767" i="14"/>
  <c r="A766" i="14"/>
  <c r="A765" i="14"/>
  <c r="A760" i="14"/>
  <c r="A759" i="14"/>
  <c r="A756" i="14"/>
  <c r="A755" i="14"/>
  <c r="A754" i="14"/>
  <c r="A748" i="14"/>
  <c r="A743" i="14"/>
  <c r="A742" i="14"/>
  <c r="A740" i="14"/>
  <c r="A739" i="14"/>
  <c r="A738" i="14"/>
  <c r="A737" i="14"/>
  <c r="A736" i="14"/>
  <c r="A735" i="14"/>
  <c r="A734" i="14"/>
  <c r="A733" i="14"/>
  <c r="A732" i="14"/>
  <c r="A730" i="14"/>
  <c r="A729" i="14"/>
  <c r="A728" i="14"/>
  <c r="A727" i="14"/>
  <c r="I726" i="14"/>
  <c r="A726" i="14"/>
  <c r="A725" i="14"/>
  <c r="I724" i="14"/>
  <c r="A724" i="14"/>
  <c r="A723" i="14"/>
  <c r="A717" i="14"/>
  <c r="A716" i="14"/>
  <c r="A715" i="14"/>
  <c r="A708" i="14"/>
  <c r="A707" i="14"/>
  <c r="A706" i="14"/>
  <c r="A704" i="14"/>
  <c r="A703" i="14"/>
  <c r="A702" i="14"/>
  <c r="A693" i="14"/>
  <c r="A692" i="14"/>
  <c r="A690" i="14"/>
  <c r="A689" i="14"/>
  <c r="A688" i="14"/>
  <c r="A687" i="14"/>
  <c r="A686" i="14"/>
  <c r="A685" i="14"/>
  <c r="A684" i="14"/>
  <c r="A683" i="14"/>
  <c r="A682" i="14"/>
  <c r="A681" i="14"/>
  <c r="A680" i="14"/>
  <c r="A679" i="14"/>
  <c r="I678" i="14"/>
  <c r="A678" i="14"/>
  <c r="A677" i="14"/>
  <c r="A676" i="14"/>
  <c r="A675" i="14"/>
  <c r="A674" i="14"/>
  <c r="A673" i="14"/>
  <c r="A672" i="14"/>
  <c r="I671" i="14"/>
  <c r="I666" i="14" s="1"/>
  <c r="A671" i="14"/>
  <c r="A670" i="14"/>
  <c r="A669" i="14"/>
  <c r="A668" i="14"/>
  <c r="A667" i="14"/>
  <c r="A666" i="14"/>
  <c r="A665" i="14"/>
  <c r="A664" i="14"/>
  <c r="A663" i="14"/>
  <c r="A662" i="14"/>
  <c r="A652" i="14"/>
  <c r="A651" i="14"/>
  <c r="A650" i="14"/>
  <c r="A649" i="14"/>
  <c r="A648" i="14"/>
  <c r="A647" i="14"/>
  <c r="A646" i="14"/>
  <c r="A645" i="14"/>
  <c r="A644" i="14"/>
  <c r="A643" i="14"/>
  <c r="A642" i="14"/>
  <c r="A641" i="14"/>
  <c r="A640" i="14"/>
  <c r="A639" i="14"/>
  <c r="F31" i="16"/>
  <c r="A638" i="14"/>
  <c r="A637" i="14"/>
  <c r="A636" i="14"/>
  <c r="A635" i="14"/>
  <c r="I634" i="14"/>
  <c r="A634" i="14"/>
  <c r="A633" i="14"/>
  <c r="I632" i="14"/>
  <c r="A632" i="14"/>
  <c r="A631" i="14"/>
  <c r="A630" i="14"/>
  <c r="A627" i="14"/>
  <c r="A626" i="14"/>
  <c r="A625" i="14"/>
  <c r="A624" i="14"/>
  <c r="A623" i="14"/>
  <c r="A622" i="14"/>
  <c r="A621" i="14"/>
  <c r="A620" i="14"/>
  <c r="A616" i="14"/>
  <c r="A615" i="14"/>
  <c r="A614" i="14"/>
  <c r="A613" i="14"/>
  <c r="A612" i="14"/>
  <c r="I607" i="14"/>
  <c r="I604" i="14" s="1"/>
  <c r="A606" i="14"/>
  <c r="A605" i="14"/>
  <c r="A604" i="14"/>
  <c r="A603" i="14"/>
  <c r="A602" i="14"/>
  <c r="A596" i="14"/>
  <c r="A565" i="14"/>
  <c r="A564" i="14"/>
  <c r="A563" i="14"/>
  <c r="A562" i="14"/>
  <c r="I561" i="14"/>
  <c r="A561" i="14"/>
  <c r="A560" i="14"/>
  <c r="A559" i="14"/>
  <c r="A558" i="14"/>
  <c r="A557" i="14"/>
  <c r="A556" i="14"/>
  <c r="A555" i="14"/>
  <c r="A554" i="14"/>
  <c r="A537" i="14"/>
  <c r="A536" i="14"/>
  <c r="A535" i="14"/>
  <c r="A534" i="14"/>
  <c r="A531" i="14"/>
  <c r="A530" i="14"/>
  <c r="A527" i="14"/>
  <c r="A526" i="14"/>
  <c r="A525" i="14"/>
  <c r="A524" i="14"/>
  <c r="A521" i="14"/>
  <c r="A520" i="14"/>
  <c r="A519" i="14"/>
  <c r="A513" i="14"/>
  <c r="A512" i="14"/>
  <c r="A511" i="14"/>
  <c r="A510" i="14"/>
  <c r="A505" i="14"/>
  <c r="A504" i="14"/>
  <c r="A503" i="14"/>
  <c r="A502" i="14"/>
  <c r="A501" i="14"/>
  <c r="A491" i="14"/>
  <c r="A490" i="14"/>
  <c r="I483" i="14"/>
  <c r="I473" i="14" s="1"/>
  <c r="A483" i="14"/>
  <c r="A475" i="14"/>
  <c r="A474" i="14"/>
  <c r="A473" i="14"/>
  <c r="A472" i="14"/>
  <c r="A471" i="14"/>
  <c r="A470" i="14"/>
  <c r="A463" i="14"/>
  <c r="A454" i="14"/>
  <c r="A453" i="14"/>
  <c r="A452" i="14"/>
  <c r="A451" i="14"/>
  <c r="A448" i="14"/>
  <c r="A447" i="14"/>
  <c r="A446" i="14"/>
  <c r="A445" i="14"/>
  <c r="A436" i="14"/>
  <c r="I425" i="14"/>
  <c r="A435" i="14"/>
  <c r="A434" i="14"/>
  <c r="A433" i="14"/>
  <c r="A432" i="14"/>
  <c r="A431" i="14"/>
  <c r="A428" i="14"/>
  <c r="A427" i="14"/>
  <c r="A426" i="14"/>
  <c r="A425" i="14"/>
  <c r="A424" i="14"/>
  <c r="A423" i="14"/>
  <c r="A422" i="14"/>
  <c r="A421" i="14"/>
  <c r="A420" i="14"/>
  <c r="A419" i="14"/>
  <c r="A418" i="14"/>
  <c r="A404" i="14"/>
  <c r="A403" i="14"/>
  <c r="A357" i="14"/>
  <c r="A356" i="14"/>
  <c r="A354" i="14"/>
  <c r="A353" i="14"/>
  <c r="A221" i="14"/>
  <c r="A219" i="14"/>
  <c r="A137" i="14"/>
  <c r="A118" i="14"/>
  <c r="A117" i="14"/>
  <c r="A116" i="14"/>
  <c r="A115" i="14"/>
  <c r="A114" i="14"/>
  <c r="A113" i="14"/>
  <c r="A109" i="14"/>
  <c r="A108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C10" i="5" l="1"/>
  <c r="E10" i="5" s="1"/>
  <c r="L591" i="15"/>
  <c r="L590" i="15" s="1"/>
  <c r="I591" i="15"/>
  <c r="I590" i="15" s="1"/>
  <c r="I990" i="14"/>
  <c r="I989" i="14" s="1"/>
  <c r="I988" i="14" s="1"/>
  <c r="I987" i="14" s="1"/>
  <c r="I443" i="15"/>
  <c r="I472" i="14"/>
  <c r="I471" i="14"/>
  <c r="I723" i="14"/>
  <c r="I717" i="14" s="1"/>
  <c r="I716" i="14" s="1"/>
  <c r="I715" i="14" s="1"/>
  <c r="I803" i="14"/>
  <c r="I802" i="14" s="1"/>
  <c r="I801" i="14" s="1"/>
  <c r="I800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889" i="14"/>
  <c r="I888" i="14" s="1"/>
  <c r="D54" i="16"/>
  <c r="F22" i="16"/>
  <c r="C15" i="5"/>
  <c r="E15" i="5" s="1"/>
  <c r="E18" i="5"/>
  <c r="E11" i="6"/>
  <c r="D14" i="7" s="1"/>
  <c r="D20" i="7" s="1"/>
  <c r="C10" i="6"/>
  <c r="H11" i="6"/>
  <c r="F10" i="6"/>
  <c r="I1017" i="14"/>
  <c r="I875" i="14"/>
  <c r="I866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563" i="14"/>
  <c r="I564" i="14"/>
  <c r="F33" i="16"/>
  <c r="I692" i="14"/>
  <c r="I691" i="14" s="1"/>
  <c r="I1142" i="14"/>
  <c r="D104" i="16"/>
  <c r="F104" i="16"/>
  <c r="I511" i="14"/>
  <c r="D43" i="16"/>
  <c r="F43" i="16"/>
  <c r="I1147" i="14"/>
  <c r="F125" i="16"/>
  <c r="C52" i="3"/>
  <c r="I54" i="14"/>
  <c r="I422" i="14"/>
  <c r="I418" i="14" s="1"/>
  <c r="I404" i="14" s="1"/>
  <c r="I403" i="14" s="1"/>
  <c r="I423" i="14"/>
  <c r="I626" i="14"/>
  <c r="I625" i="14" s="1"/>
  <c r="I1122" i="14"/>
  <c r="D122" i="16"/>
  <c r="I555" i="14"/>
  <c r="I556" i="14"/>
  <c r="I619" i="14"/>
  <c r="F36" i="16" s="1"/>
  <c r="I620" i="14"/>
  <c r="I504" i="14"/>
  <c r="I1049" i="14"/>
  <c r="I1048" i="14" s="1"/>
  <c r="F58" i="16" s="1"/>
  <c r="I661" i="14"/>
  <c r="I637" i="14" s="1"/>
  <c r="I636" i="14" s="1"/>
  <c r="I662" i="14"/>
  <c r="I702" i="14"/>
  <c r="I703" i="14"/>
  <c r="I766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865" i="14" l="1"/>
  <c r="I864" i="14" s="1"/>
  <c r="I863" i="14" s="1"/>
  <c r="L589" i="15"/>
  <c r="L588" i="15" s="1"/>
  <c r="I1016" i="14"/>
  <c r="I1015" i="14" s="1"/>
  <c r="I1014" i="14" s="1"/>
  <c r="I589" i="15"/>
  <c r="I588" i="15" s="1"/>
  <c r="L352" i="15"/>
  <c r="L346" i="15" s="1"/>
  <c r="I442" i="15"/>
  <c r="I441" i="15" s="1"/>
  <c r="I440" i="15" s="1"/>
  <c r="I423" i="15" s="1"/>
  <c r="I603" i="14"/>
  <c r="I602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765" i="14"/>
  <c r="I755" i="14" s="1"/>
  <c r="D44" i="16"/>
  <c r="F37" i="16"/>
  <c r="D29" i="16"/>
  <c r="I510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146" i="14"/>
  <c r="F59" i="16" s="1"/>
  <c r="D69" i="16"/>
  <c r="F69" i="16"/>
  <c r="I560" i="14"/>
  <c r="I1120" i="14"/>
  <c r="I1051" i="14" s="1"/>
  <c r="I1121" i="14"/>
  <c r="D103" i="16"/>
  <c r="F103" i="16"/>
  <c r="E52" i="3"/>
  <c r="D65" i="16"/>
  <c r="F65" i="16"/>
  <c r="I1141" i="14"/>
  <c r="I689" i="14"/>
  <c r="I690" i="14"/>
  <c r="C20" i="3"/>
  <c r="F21" i="16"/>
  <c r="I554" i="14"/>
  <c r="I519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02" i="14"/>
  <c r="I503" i="14"/>
  <c r="D64" i="16"/>
  <c r="F64" i="16"/>
  <c r="C60" i="3"/>
  <c r="F30" i="16"/>
  <c r="I984" i="14"/>
  <c r="D23" i="16"/>
  <c r="F23" i="16"/>
  <c r="D100" i="16"/>
  <c r="F100" i="16"/>
  <c r="D68" i="16"/>
  <c r="D108" i="16"/>
  <c r="D125" i="16"/>
  <c r="I631" i="14"/>
  <c r="F35" i="16"/>
  <c r="I1047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793" i="14"/>
  <c r="I792" i="14" s="1"/>
  <c r="I791" i="14" s="1"/>
  <c r="I780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3" i="14"/>
  <c r="I33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046" i="14"/>
  <c r="D60" i="16"/>
  <c r="D17" i="16"/>
  <c r="I630" i="14"/>
  <c r="F17" i="16" s="1"/>
  <c r="F121" i="16"/>
  <c r="D121" i="16"/>
  <c r="I1144" i="14"/>
  <c r="I1145" i="14"/>
  <c r="I983" i="14"/>
  <c r="E62" i="3" s="1"/>
  <c r="C117" i="3"/>
  <c r="E118" i="3"/>
  <c r="E117" i="3" s="1"/>
  <c r="D28" i="16"/>
  <c r="I624" i="14"/>
  <c r="F14" i="16" s="1"/>
  <c r="D14" i="16"/>
  <c r="I1139" i="14"/>
  <c r="I1124" i="14" s="1"/>
  <c r="I1140" i="14"/>
  <c r="F40" i="16" s="1"/>
  <c r="I558" i="14"/>
  <c r="I513" i="14" s="1"/>
  <c r="I559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754" i="14" l="1"/>
  <c r="E171" i="21"/>
  <c r="E174" i="21" s="1"/>
  <c r="D171" i="21"/>
  <c r="H22" i="4"/>
  <c r="I267" i="15"/>
  <c r="F60" i="16"/>
  <c r="I1013" i="14"/>
  <c r="I969" i="14" s="1"/>
  <c r="H73" i="4"/>
  <c r="F118" i="16"/>
  <c r="F112" i="16"/>
  <c r="F18" i="21"/>
  <c r="C85" i="4"/>
  <c r="F19" i="16"/>
  <c r="I501" i="14"/>
  <c r="I470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23" i="14"/>
  <c r="I622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596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48" i="14"/>
  <c r="E105" i="3" s="1"/>
  <c r="E103" i="3" s="1"/>
  <c r="D186" i="16"/>
  <c r="D190" i="16" s="1"/>
  <c r="I10" i="14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463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89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995" i="14"/>
  <c r="H990" i="14" s="1"/>
  <c r="H989" i="14" s="1"/>
  <c r="H988" i="14" l="1"/>
  <c r="E19" i="16"/>
  <c r="H987" i="14" l="1"/>
  <c r="E10" i="16"/>
  <c r="E186" i="16" s="1"/>
  <c r="E190" i="16" l="1"/>
  <c r="H969" i="14"/>
  <c r="H1189" i="14" s="1"/>
  <c r="D74" i="3"/>
  <c r="D71" i="3" s="1"/>
  <c r="D121" i="3" s="1"/>
  <c r="D22" i="5" s="1"/>
  <c r="D122" i="3" l="1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<sst xmlns="http://schemas.openxmlformats.org/spreadsheetml/2006/main" count="5039" uniqueCount="1791">
  <si>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</si>
  <si>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</si>
  <si>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</si>
  <si>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</si>
  <si>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</si>
  <si>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</si>
  <si>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</si>
  <si>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</si>
  <si>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</si>
  <si>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</si>
  <si>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</si>
  <si>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</si>
  <si>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</si>
  <si>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</si>
  <si>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</si>
  <si>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</si>
  <si>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</si>
  <si>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</si>
  <si>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</si>
  <si>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</si>
  <si>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</si>
  <si>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</si>
  <si>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</si>
  <si>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</si>
  <si>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</si>
  <si>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</si>
  <si>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</si>
  <si>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</si>
  <si>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</si>
  <si>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</si>
  <si>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</si>
  <si>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</si>
  <si>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</si>
  <si>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</si>
  <si>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</si>
  <si>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</si>
  <si>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</si>
  <si>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</si>
  <si>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</si>
  <si>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</si>
  <si>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</si>
  <si>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</si>
  <si>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</si>
  <si>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</si>
  <si>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</si>
  <si>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</si>
  <si>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</si>
  <si>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</si>
  <si>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</si>
  <si>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</si>
  <si>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</si>
  <si>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</si>
  <si>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</si>
  <si>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</si>
  <si>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</si>
  <si>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</si>
  <si>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</si>
  <si>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</si>
  <si>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</si>
  <si>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</si>
  <si>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</si>
  <si>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</si>
  <si>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</si>
  <si>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</si>
  <si>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</si>
  <si>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</si>
  <si>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</si>
  <si>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</si>
  <si>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</si>
  <si>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</si>
  <si>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</si>
  <si>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</si>
  <si>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</si>
  <si>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</si>
  <si>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</si>
  <si>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</si>
  <si>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</si>
  <si>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</si>
  <si>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</si>
  <si>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</si>
  <si>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</si>
  <si>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</si>
  <si>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</si>
  <si>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</si>
  <si>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</si>
  <si>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</si>
  <si>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</si>
  <si>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</si>
  <si>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</si>
  <si>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</si>
  <si>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</si>
  <si>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</si>
  <si>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</si>
  <si>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</si>
  <si>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</si>
  <si>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</si>
  <si>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</si>
  <si>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</si>
  <si>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</si>
  <si>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</si>
  <si>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</si>
  <si>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</si>
  <si>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</si>
  <si>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</si>
  <si>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</si>
  <si>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</si>
  <si>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</si>
  <si>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</si>
  <si>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</si>
  <si>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</si>
  <si>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</si>
  <si>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</si>
  <si>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</si>
  <si>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</si>
  <si>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</si>
  <si>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</si>
  <si>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</si>
  <si>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</si>
  <si>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</si>
  <si>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</si>
  <si>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</si>
  <si>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</si>
  <si>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</si>
  <si>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</si>
  <si>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</si>
  <si>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</si>
  <si>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</si>
  <si>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</si>
  <si>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</si>
  <si>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</si>
  <si>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</si>
  <si>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</si>
  <si>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</si>
  <si>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</si>
  <si>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</si>
  <si>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</si>
  <si>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</si>
  <si>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</si>
  <si>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</si>
  <si>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</si>
  <si>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</si>
  <si>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</si>
  <si>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</si>
  <si>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</si>
  <si>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</si>
  <si>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</si>
  <si>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</si>
  <si>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</si>
  <si>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</si>
  <si>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</si>
  <si>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</si>
  <si>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</si>
  <si>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</si>
  <si>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</si>
  <si>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</si>
  <si>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</si>
  <si>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</si>
  <si>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</si>
  <si>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</si>
  <si>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</si>
  <si>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</si>
  <si>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</si>
  <si>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</si>
  <si>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</si>
  <si>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</si>
  <si>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</si>
  <si>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</si>
  <si>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</si>
  <si>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</si>
  <si>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</si>
  <si>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</si>
  <si>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</si>
  <si>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</si>
  <si>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</si>
  <si>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</si>
  <si>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</si>
  <si>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</si>
  <si>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</si>
  <si>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</si>
  <si>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</si>
  <si>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</si>
  <si>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</si>
  <si>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</si>
  <si>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</si>
  <si>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</si>
  <si>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</si>
  <si>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</si>
  <si>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</si>
  <si>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</si>
  <si>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</si>
  <si>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</si>
  <si>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</si>
  <si>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</si>
  <si>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</si>
  <si>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</si>
  <si>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</si>
  <si>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</si>
  <si>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</si>
  <si>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</si>
  <si>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</si>
  <si>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</si>
  <si>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</si>
  <si>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</si>
  <si>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</si>
  <si>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</si>
  <si>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</si>
  <si>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</si>
  <si>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</si>
  <si>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</si>
  <si>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</si>
  <si>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</si>
  <si>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</si>
  <si>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</si>
  <si>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</si>
  <si>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</si>
  <si>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</si>
  <si>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</si>
  <si>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</si>
  <si>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</si>
  <si>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</si>
  <si>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</si>
  <si>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</si>
  <si>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</si>
  <si>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</si>
  <si>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</si>
  <si>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</si>
  <si>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</si>
  <si>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</si>
  <si>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</si>
  <si>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</si>
  <si>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</si>
  <si>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</si>
  <si>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</si>
  <si>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</si>
  <si>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</si>
  <si>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</si>
  <si>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</si>
  <si>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</si>
  <si>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</si>
  <si>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</si>
  <si>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</si>
  <si>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</si>
  <si>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</si>
  <si>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</si>
  <si>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</si>
  <si>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</si>
  <si>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</si>
  <si>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</si>
  <si>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</si>
  <si>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</si>
  <si>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</si>
  <si>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</si>
  <si>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</si>
  <si>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</si>
  <si>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</si>
  <si>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</si>
  <si>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</si>
  <si>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</si>
  <si>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</si>
  <si>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</si>
  <si>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</si>
  <si>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</si>
  <si>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</si>
  <si>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</si>
  <si>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</si>
  <si>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</si>
  <si>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</si>
  <si>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</si>
  <si>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</si>
  <si>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</si>
  <si>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</si>
  <si>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</si>
  <si>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</si>
  <si>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</si>
  <si>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</si>
  <si>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</si>
  <si>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</si>
  <si>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</si>
  <si>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</si>
  <si>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</si>
  <si>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</si>
  <si>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</si>
  <si>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</si>
  <si>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</si>
  <si>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</si>
  <si>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</si>
  <si>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</si>
  <si>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</si>
  <si>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</si>
  <si>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</si>
  <si>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</si>
  <si>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</si>
  <si>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</si>
  <si>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</si>
  <si>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</si>
  <si>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</si>
  <si>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</si>
  <si>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</si>
  <si>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</si>
  <si>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</si>
  <si>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</si>
  <si>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</si>
  <si>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</si>
  <si>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</si>
  <si>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</si>
  <si>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</si>
  <si>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</si>
  <si>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</si>
  <si>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</si>
  <si>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</si>
  <si>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</si>
  <si>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</si>
  <si>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</si>
  <si>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</si>
  <si>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</si>
  <si>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</si>
  <si>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</si>
  <si>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</si>
  <si>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</si>
  <si>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</si>
  <si>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</si>
  <si>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</si>
  <si>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</si>
  <si>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</si>
  <si>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</si>
  <si>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</si>
  <si>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</si>
  <si>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</si>
  <si>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</si>
  <si>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</si>
  <si>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</si>
  <si>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</si>
  <si>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</si>
  <si>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</si>
  <si>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</si>
  <si>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</si>
  <si>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</si>
  <si>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</si>
  <si>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</si>
  <si>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</si>
  <si>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</si>
  <si>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</si>
  <si>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</si>
  <si>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</si>
  <si>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</si>
  <si>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</si>
  <si>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</si>
  <si>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</si>
  <si>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</si>
  <si>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</si>
  <si>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</si>
  <si>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</si>
  <si>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</si>
  <si>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</si>
  <si>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</si>
  <si>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</si>
  <si>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</si>
  <si>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</si>
  <si>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</si>
  <si>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</si>
  <si>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</si>
  <si>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</si>
  <si>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</si>
  <si>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</si>
  <si>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</si>
  <si>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</si>
  <si>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</si>
  <si>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</si>
  <si>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</si>
  <si>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</si>
  <si>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</si>
  <si>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</si>
  <si>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</si>
  <si>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</si>
  <si>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</si>
  <si>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</si>
  <si>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</si>
  <si>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</si>
  <si>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</si>
  <si>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</si>
  <si>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</si>
  <si>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</si>
  <si>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</si>
  <si>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</si>
  <si>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</si>
  <si>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</si>
  <si>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</si>
  <si>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</si>
  <si>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</si>
  <si>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</si>
  <si>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</si>
  <si>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</si>
  <si>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</si>
  <si>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</si>
  <si>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</si>
  <si>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</si>
  <si>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</si>
  <si>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</si>
  <si>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</si>
  <si>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</si>
  <si>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</si>
  <si>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</si>
  <si>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</si>
  <si>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</si>
  <si>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</si>
  <si>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</si>
  <si>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</si>
  <si>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</si>
  <si>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</si>
  <si>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</si>
  <si>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</si>
  <si>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</si>
  <si>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</si>
  <si>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</si>
  <si>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</si>
  <si>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</si>
  <si>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</si>
  <si>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</si>
  <si>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</si>
  <si>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</si>
  <si>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</si>
  <si>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</si>
  <si>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</si>
  <si>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</si>
  <si>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</si>
  <si>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</si>
  <si>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</si>
  <si>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</si>
  <si>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</si>
  <si>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</si>
  <si>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</si>
  <si>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</si>
  <si>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</si>
  <si>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</si>
  <si>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</si>
  <si>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</si>
  <si>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</si>
  <si>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</si>
  <si>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</si>
  <si>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</si>
  <si>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</si>
  <si>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</si>
  <si>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</si>
  <si>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</si>
  <si>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</si>
  <si>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</si>
  <si>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</si>
  <si>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</si>
  <si>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</si>
  <si>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</si>
  <si>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</si>
  <si>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</si>
  <si>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</si>
  <si>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</si>
  <si>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</si>
  <si>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</si>
  <si>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</si>
  <si>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</si>
  <si>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</si>
  <si>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</si>
  <si>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</si>
  <si>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</si>
  <si>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</si>
  <si>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</si>
  <si>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</si>
  <si>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</si>
  <si>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</si>
  <si>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</si>
  <si>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</si>
  <si>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</si>
  <si>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</si>
  <si>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</si>
  <si>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</si>
  <si>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</si>
  <si>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</si>
  <si>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</si>
  <si>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</si>
  <si>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</si>
  <si>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</si>
  <si>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</si>
  <si>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</si>
  <si>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</si>
  <si>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</si>
  <si>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</si>
  <si>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</si>
  <si>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</si>
  <si>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</si>
  <si>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</si>
  <si>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</si>
  <si>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</si>
  <si>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</si>
  <si>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</si>
  <si>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</si>
  <si>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</si>
  <si>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</si>
  <si>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</si>
  <si>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</si>
  <si>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</si>
  <si>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</si>
  <si>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</si>
  <si>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</si>
  <si>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</si>
  <si>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</si>
  <si>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</si>
  <si>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</si>
  <si>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</si>
  <si>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</si>
  <si>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</si>
  <si>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</si>
  <si>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</si>
  <si>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</si>
  <si>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</si>
  <si>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</si>
  <si>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</si>
  <si>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</si>
  <si>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</si>
  <si>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</si>
  <si>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</si>
  <si>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</si>
  <si>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</si>
  <si>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</si>
  <si>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</si>
  <si>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</si>
  <si>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</si>
  <si>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</si>
  <si>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</si>
  <si>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</si>
  <si>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</si>
  <si>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</si>
  <si>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</si>
  <si>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</si>
  <si>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</si>
  <si>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</si>
  <si>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</si>
  <si>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</si>
  <si>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</si>
  <si>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</si>
  <si>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</si>
  <si>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</si>
  <si>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</si>
  <si>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</si>
  <si>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</si>
  <si>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</si>
  <si>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</si>
  <si>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</si>
  <si>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</si>
  <si>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</si>
  <si>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</si>
  <si>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</si>
  <si>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</si>
  <si>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</si>
  <si>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</si>
  <si>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</si>
  <si>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</si>
  <si>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</si>
  <si>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</si>
  <si>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</si>
  <si>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</si>
  <si>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</si>
  <si>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</si>
  <si>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</si>
  <si>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</si>
  <si>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</si>
  <si>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</si>
  <si>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</si>
  <si>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</si>
  <si>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</si>
  <si>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</si>
  <si>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</si>
  <si>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</si>
  <si>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</si>
  <si>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</si>
  <si>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</si>
  <si>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</si>
  <si>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</si>
  <si>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</si>
  <si>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</si>
  <si>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</si>
  <si>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</si>
  <si>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</si>
  <si>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</si>
  <si>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</si>
  <si>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</si>
  <si>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</si>
  <si>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</si>
  <si>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</si>
  <si>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</si>
  <si>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</si>
  <si>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</si>
  <si>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</si>
  <si>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</si>
  <si>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</si>
  <si>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</si>
  <si>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</si>
  <si>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</si>
  <si>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</si>
  <si>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</si>
  <si>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</si>
  <si>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</si>
  <si>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</si>
  <si>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</si>
  <si>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</si>
  <si>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</si>
  <si>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</si>
  <si>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</si>
  <si>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</si>
  <si>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</si>
  <si>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</si>
  <si>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</si>
  <si>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</si>
  <si>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</si>
  <si>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</si>
  <si>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</si>
  <si>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</si>
  <si>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</si>
  <si>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</si>
  <si>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</si>
  <si>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</si>
  <si>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</si>
  <si>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</si>
  <si>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</si>
  <si>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</si>
  <si>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</si>
  <si>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</si>
  <si>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</si>
  <si>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</si>
  <si>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</si>
  <si>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</si>
  <si>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</si>
  <si>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</si>
  <si>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</si>
  <si>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</si>
  <si>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</si>
  <si>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</si>
  <si>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</si>
  <si>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</si>
  <si>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</si>
  <si>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</si>
  <si>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</si>
  <si>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</si>
  <si>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</si>
  <si>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</si>
  <si>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</si>
  <si>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</si>
  <si>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</si>
  <si>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</si>
  <si>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</si>
  <si>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</si>
  <si>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</si>
  <si>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</si>
  <si>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</si>
  <si>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</si>
  <si>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</si>
  <si>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</si>
  <si>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</si>
  <si>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</si>
  <si>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</si>
  <si>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</si>
  <si>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</si>
  <si>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</si>
  <si>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</si>
  <si>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</si>
  <si>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</si>
  <si>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</si>
  <si>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</si>
  <si>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</si>
  <si>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</si>
  <si>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</si>
  <si>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</si>
  <si>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</si>
  <si>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</si>
  <si>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</si>
  <si>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</si>
  <si>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</si>
  <si>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</si>
  <si>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</si>
  <si>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</si>
  <si>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</si>
  <si>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</si>
  <si>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</si>
  <si>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</si>
  <si>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</si>
  <si>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</si>
  <si>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</si>
  <si>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</si>
  <si>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</si>
  <si>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</si>
  <si>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</si>
  <si>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</si>
  <si>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</si>
  <si>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</si>
  <si>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</si>
  <si>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</si>
  <si>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</si>
  <si>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</si>
  <si>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</si>
  <si>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</si>
  <si>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</si>
  <si>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</si>
  <si>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</si>
  <si>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</si>
  <si>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</si>
  <si>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</si>
  <si>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</si>
  <si>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</si>
  <si>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</si>
  <si>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</si>
  <si>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</si>
  <si>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</si>
  <si>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</si>
  <si>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</si>
  <si>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</si>
  <si>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</si>
  <si>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</si>
  <si>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</si>
  <si>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</si>
  <si>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</si>
  <si>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</si>
  <si>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</si>
  <si>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</si>
  <si>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</si>
  <si>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</si>
  <si>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</si>
  <si>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</si>
  <si>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</si>
  <si>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</si>
  <si>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</si>
  <si>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</si>
  <si>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</si>
  <si>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</si>
  <si>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</si>
  <si>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</si>
  <si>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</si>
  <si>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</si>
  <si>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</si>
  <si>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</si>
  <si>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</si>
  <si>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</si>
  <si>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</si>
  <si>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</si>
  <si>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</si>
  <si>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</si>
  <si>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</si>
  <si>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</si>
  <si>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</si>
  <si>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</si>
  <si>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</si>
  <si>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</si>
  <si>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</si>
  <si>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</si>
  <si>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</si>
  <si>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</si>
  <si>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</si>
  <si>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</si>
  <si>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</si>
  <si>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</si>
  <si>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</si>
  <si>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</si>
  <si>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</si>
  <si>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</si>
  <si>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</si>
  <si>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</si>
  <si>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</si>
  <si>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</si>
  <si>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</si>
  <si>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</si>
  <si>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</si>
  <si>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</si>
  <si>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</si>
  <si>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</si>
  <si>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</si>
  <si>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</si>
  <si>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</si>
  <si>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</si>
  <si>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</si>
  <si>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</si>
  <si>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</si>
  <si>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</si>
  <si>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</si>
  <si>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</si>
  <si>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</si>
  <si>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</si>
  <si>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</si>
  <si>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</si>
  <si>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</si>
  <si>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</si>
  <si>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</si>
  <si>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</si>
  <si>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</si>
  <si>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</si>
  <si>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</si>
  <si>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</si>
  <si>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</si>
  <si>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</si>
  <si>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</si>
  <si>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</si>
  <si>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</si>
  <si>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</si>
  <si>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</si>
  <si>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</si>
  <si>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</si>
  <si>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</si>
  <si>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</si>
  <si>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</si>
  <si>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</si>
  <si>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</si>
  <si>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</si>
  <si>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</si>
  <si>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</si>
  <si>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</si>
  <si>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</si>
  <si>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</si>
  <si>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</si>
  <si>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</si>
  <si>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</si>
  <si>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</si>
  <si>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</si>
  <si>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</si>
  <si>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</si>
  <si>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</si>
  <si>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</si>
  <si>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</si>
  <si>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</si>
  <si>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</si>
  <si>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</si>
  <si>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</si>
  <si>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</si>
  <si>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</si>
  <si>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</si>
  <si>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</si>
  <si>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</si>
  <si>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</si>
  <si>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</si>
  <si>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</si>
  <si>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</si>
  <si>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</si>
  <si>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</si>
  <si>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</si>
  <si>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</si>
  <si>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</si>
  <si>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</si>
  <si>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</si>
  <si>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</si>
  <si>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</si>
  <si>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</si>
  <si>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</si>
  <si>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</si>
  <si>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</si>
  <si>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</si>
  <si>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</si>
  <si>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</si>
  <si>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</si>
  <si>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</si>
  <si>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</si>
  <si>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</si>
  <si>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</si>
  <si>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</si>
  <si>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</si>
  <si>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</si>
  <si>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</si>
  <si>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</si>
  <si>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</si>
  <si>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</si>
  <si>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</si>
  <si>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</si>
  <si>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</si>
  <si>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</si>
  <si>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</si>
  <si>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</si>
  <si>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</si>
  <si>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</si>
  <si>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</si>
  <si>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</si>
  <si>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</si>
  <si>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</si>
  <si>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</si>
  <si>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</si>
  <si>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</si>
  <si>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</si>
  <si>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</si>
  <si>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</si>
  <si>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</si>
  <si>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</si>
  <si>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</si>
  <si>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</si>
  <si>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</si>
  <si>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</si>
  <si>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</si>
  <si>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</si>
  <si>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</si>
  <si>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</si>
  <si>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</si>
  <si>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</si>
  <si>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</si>
  <si>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</si>
  <si>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</si>
  <si>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</si>
  <si>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</si>
  <si>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</si>
  <si>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</si>
  <si>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</si>
  <si>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</si>
  <si>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</si>
  <si>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</si>
  <si>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</si>
  <si>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</si>
  <si>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</si>
  <si>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</si>
  <si>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</si>
  <si>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</si>
  <si>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</si>
  <si>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</si>
  <si>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</si>
  <si>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</si>
  <si>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</si>
  <si>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</si>
  <si>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</si>
  <si>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</si>
  <si>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</si>
  <si>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</si>
  <si>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</si>
  <si>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</si>
  <si>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</si>
  <si>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</si>
  <si>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</si>
  <si>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</si>
  <si>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</si>
  <si>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</si>
  <si>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</si>
  <si>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</si>
  <si>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</si>
  <si>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</si>
  <si>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</si>
  <si>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</si>
  <si>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</si>
  <si>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</si>
  <si>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</si>
  <si>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</si>
  <si>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</si>
  <si>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</si>
  <si>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</si>
  <si>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</si>
  <si>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</si>
  <si>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</si>
  <si>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</si>
  <si>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</si>
  <si>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</si>
  <si>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</si>
  <si>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</si>
  <si>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</si>
  <si>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</si>
  <si>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</si>
  <si>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</si>
  <si>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</si>
  <si>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</si>
  <si>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</si>
  <si>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</si>
  <si>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</si>
  <si>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</si>
  <si>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</si>
  <si>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</si>
  <si>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</si>
  <si>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</si>
  <si>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</si>
  <si>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</si>
  <si>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</si>
  <si>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</si>
  <si>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</si>
  <si>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</si>
  <si>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</si>
  <si>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</si>
  <si>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</si>
  <si>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</si>
  <si>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</si>
  <si>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</si>
  <si>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</si>
  <si>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</si>
  <si>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</si>
  <si>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</si>
  <si>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</si>
  <si>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</si>
  <si>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</si>
  <si>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</si>
  <si>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</si>
  <si>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</si>
  <si>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</si>
  <si>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</si>
  <si>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</si>
  <si>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</si>
  <si>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</si>
  <si>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</si>
  <si>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</si>
  <si>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</si>
  <si>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</si>
  <si>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</si>
  <si>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</si>
  <si>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</si>
  <si>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</si>
  <si>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</si>
  <si>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</si>
  <si>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</si>
  <si>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</si>
  <si>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</si>
  <si>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</si>
  <si>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</si>
  <si>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</si>
  <si>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</si>
  <si>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</si>
  <si>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</si>
  <si>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</si>
  <si>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</si>
  <si>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</si>
  <si>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</si>
  <si>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</si>
  <si>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</si>
  <si>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</si>
  <si>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</si>
  <si>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</si>
  <si>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</si>
  <si>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</si>
  <si>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</si>
  <si>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</si>
  <si>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</si>
  <si>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</si>
  <si>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</si>
  <si>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</si>
  <si>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</si>
  <si>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</si>
  <si>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</si>
  <si>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</si>
  <si>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</si>
  <si>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</si>
  <si>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</si>
  <si>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</si>
  <si>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</si>
  <si>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</si>
  <si>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</si>
  <si>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</si>
  <si>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</si>
  <si>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</si>
  <si>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</si>
  <si>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</si>
  <si>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</si>
  <si>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</si>
  <si>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</si>
  <si>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</si>
  <si>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</si>
  <si>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</si>
  <si>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</si>
  <si>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</si>
  <si>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</si>
  <si>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</si>
  <si>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</si>
  <si>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</si>
  <si>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</si>
  <si>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</si>
  <si>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</si>
  <si>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</si>
  <si>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</si>
  <si>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</si>
  <si>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</si>
  <si>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</si>
  <si>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</si>
  <si>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</si>
  <si>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</si>
  <si>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</si>
  <si>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</si>
  <si>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</si>
  <si>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</si>
  <si>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</si>
  <si>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</si>
  <si>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</si>
  <si>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</si>
  <si>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</si>
  <si>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</si>
  <si>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</si>
  <si>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</si>
  <si>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</si>
  <si>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</si>
  <si>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</si>
  <si>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</si>
  <si>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</si>
  <si>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</si>
  <si>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</si>
  <si>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</si>
  <si>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</si>
  <si>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</si>
  <si>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</si>
  <si>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</si>
  <si>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</si>
  <si>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</si>
  <si>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</si>
  <si>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</si>
  <si>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</si>
  <si>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</si>
  <si>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</si>
  <si>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</si>
  <si>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</si>
  <si>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</si>
  <si>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</si>
  <si>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</si>
  <si>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</si>
  <si>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</si>
  <si>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</si>
  <si>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</si>
  <si>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</si>
  <si>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</si>
  <si>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</si>
  <si>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</si>
  <si>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</si>
  <si>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</si>
  <si>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</si>
  <si>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</si>
  <si>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</si>
  <si>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</si>
  <si>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</si>
  <si>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</si>
  <si>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</si>
  <si>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</si>
  <si>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</si>
  <si>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</si>
  <si>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</si>
  <si>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</si>
  <si>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</si>
  <si>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</si>
  <si>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</si>
  <si>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</si>
  <si>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</si>
  <si>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</si>
  <si>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</si>
  <si>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</si>
  <si>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</si>
  <si>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</si>
  <si>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</si>
  <si>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</si>
  <si>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</si>
  <si>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</si>
  <si>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</si>
  <si>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</si>
  <si>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</si>
  <si>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</si>
  <si>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</si>
  <si>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</si>
  <si>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</si>
  <si>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</si>
  <si>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</si>
  <si>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</si>
  <si>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</si>
  <si>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</si>
  <si>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</si>
  <si>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</si>
  <si>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</si>
  <si>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</si>
  <si>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</si>
  <si>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</si>
  <si>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</si>
  <si>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</si>
  <si>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</si>
  <si>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</si>
  <si>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</si>
  <si>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</si>
  <si>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</si>
  <si>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</si>
  <si>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</si>
  <si>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</si>
  <si>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</si>
  <si>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</si>
  <si>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</si>
  <si>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</si>
  <si>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</si>
  <si>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</si>
  <si>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</si>
  <si>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</si>
  <si>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</si>
  <si>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</si>
  <si>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</si>
  <si>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</si>
  <si>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</si>
  <si>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</si>
  <si>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</si>
  <si>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</si>
  <si>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</si>
  <si>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</si>
  <si>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</si>
  <si>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</si>
  <si>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</si>
  <si>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</si>
  <si>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</si>
  <si>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</si>
  <si>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</si>
  <si>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</si>
  <si>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</si>
  <si>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</si>
  <si>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</si>
  <si>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</si>
  <si>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</si>
  <si>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</si>
  <si>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</si>
  <si>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</si>
  <si>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</si>
  <si>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</si>
  <si>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</si>
  <si>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</si>
  <si>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</si>
  <si>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</si>
  <si>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</si>
  <si>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</si>
  <si>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</si>
  <si>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</si>
  <si>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</si>
  <si>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</si>
  <si>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</si>
  <si>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</si>
  <si>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</si>
  <si>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</si>
  <si>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</si>
  <si>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</si>
  <si>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</si>
  <si>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</si>
  <si>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</si>
  <si>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</si>
  <si>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</si>
  <si>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</si>
  <si>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</si>
  <si>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</si>
  <si>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</si>
  <si>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</si>
  <si>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</si>
  <si>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</si>
  <si>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</si>
  <si>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</si>
  <si>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</si>
  <si>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</si>
  <si>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</si>
  <si>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</si>
  <si>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</si>
  <si>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</si>
  <si>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</si>
  <si>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</si>
  <si>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</si>
  <si>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</si>
  <si>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</si>
  <si>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</si>
  <si>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</si>
  <si>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</si>
  <si>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</si>
  <si>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</si>
  <si>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</si>
  <si>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</si>
  <si>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</si>
  <si>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</si>
  <si>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</si>
  <si>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</si>
  <si>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</si>
  <si>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</si>
  <si>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</si>
  <si>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</si>
  <si>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</si>
  <si>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</si>
  <si>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</si>
  <si>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</si>
  <si>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</si>
  <si>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</si>
  <si>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</si>
  <si>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</si>
  <si>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</si>
  <si>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</si>
  <si>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</si>
  <si>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</si>
  <si>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</si>
  <si>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</si>
  <si>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</si>
  <si>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</si>
  <si>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</si>
  <si>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</si>
  <si>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</si>
  <si>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</si>
  <si>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</si>
  <si>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</si>
  <si>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</si>
  <si>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</si>
  <si>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</si>
  <si>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</si>
  <si>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</si>
  <si>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</si>
  <si>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</si>
  <si>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</si>
  <si>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</si>
  <si>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</si>
  <si>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</si>
  <si>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</si>
  <si>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</si>
  <si>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</si>
  <si>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</si>
  <si>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</si>
  <si>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</si>
  <si>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</si>
  <si>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</si>
  <si>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</si>
  <si>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</si>
  <si>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</si>
  <si>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</si>
  <si>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</si>
  <si>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</si>
  <si>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</si>
  <si>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</si>
  <si>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</si>
  <si>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</si>
  <si>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</si>
  <si>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</si>
  <si>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</si>
  <si>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</si>
  <si>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</si>
  <si>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</si>
  <si>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</si>
  <si>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</si>
  <si>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</si>
  <si>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</si>
  <si>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</si>
  <si>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</si>
  <si>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</si>
  <si>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</si>
  <si>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</si>
  <si>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</si>
  <si>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</si>
  <si>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</si>
  <si>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</si>
  <si>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</si>
  <si>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</si>
  <si>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</si>
  <si>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</si>
  <si>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</si>
  <si>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</si>
  <si>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</si>
  <si>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</si>
  <si>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</si>
  <si>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</si>
  <si>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</si>
  <si>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</si>
  <si>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</si>
  <si>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</si>
  <si>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</si>
  <si>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</si>
  <si>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</si>
  <si>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</si>
  <si>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</si>
  <si>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</si>
  <si>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</si>
  <si>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</si>
  <si>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</si>
  <si>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</si>
  <si>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</si>
  <si>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</si>
  <si>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</si>
  <si>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</si>
  <si>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</si>
  <si>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</si>
  <si>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</si>
  <si>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</si>
  <si>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</si>
  <si>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</si>
  <si>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</si>
  <si>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</si>
  <si>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</si>
  <si>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</si>
  <si>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</si>
  <si>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</si>
  <si>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</si>
  <si>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</si>
  <si>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</si>
  <si>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</si>
  <si>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</si>
  <si>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</si>
  <si>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</si>
  <si>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</si>
  <si>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</si>
  <si>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</si>
  <si>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</si>
  <si>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</si>
  <si>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</si>
  <si>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</si>
  <si>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</si>
  <si>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</si>
  <si>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</si>
  <si>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</si>
  <si>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</si>
  <si>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</si>
  <si>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</si>
  <si>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</si>
  <si>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</si>
  <si>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</si>
  <si>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</si>
  <si>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</si>
  <si>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</si>
  <si>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</si>
  <si>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</si>
  <si>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</si>
  <si>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</si>
  <si>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</si>
  <si>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</si>
  <si>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</si>
  <si>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</si>
  <si>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</si>
  <si>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</si>
  <si>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</si>
  <si>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</si>
  <si>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</si>
  <si>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</si>
  <si>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</si>
  <si>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</si>
  <si>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</si>
  <si>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</si>
  <si>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</si>
  <si>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</si>
  <si>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</si>
  <si>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</si>
  <si>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</si>
  <si>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</si>
  <si>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</si>
  <si>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</si>
  <si>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</si>
  <si>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</si>
  <si>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</si>
  <si>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</si>
  <si>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</si>
  <si>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</si>
  <si>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</si>
  <si>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</si>
  <si>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</si>
  <si>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</si>
  <si>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</si>
  <si>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</si>
  <si>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</si>
  <si>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</si>
  <si>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</si>
  <si>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</si>
  <si>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</si>
  <si>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</si>
  <si>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</si>
  <si>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</si>
  <si>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</si>
  <si>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</si>
  <si>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</si>
  <si>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</si>
  <si>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</si>
  <si>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</si>
  <si>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</si>
  <si>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</si>
  <si>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</si>
  <si>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</si>
  <si>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</si>
  <si>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</si>
  <si>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</si>
  <si>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</si>
  <si>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</si>
  <si>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</si>
  <si>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</si>
  <si>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</si>
  <si>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</si>
  <si>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</si>
  <si>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</si>
  <si>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</si>
  <si>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</si>
  <si>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</si>
  <si>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</si>
  <si>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</si>
  <si>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</si>
  <si>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</si>
  <si>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</si>
  <si>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</si>
  <si>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</si>
  <si>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</si>
  <si>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</si>
  <si>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</si>
  <si>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</si>
  <si>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</si>
  <si>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</si>
  <si>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</si>
  <si>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</si>
  <si>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</si>
  <si>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</si>
  <si>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</si>
  <si>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</si>
  <si>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</si>
  <si>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</si>
  <si>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</si>
  <si>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</si>
  <si>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</si>
  <si>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</si>
  <si>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</si>
  <si>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</si>
  <si>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</si>
  <si>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</si>
  <si>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</si>
  <si>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</si>
  <si>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</si>
  <si>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</si>
  <si>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</si>
  <si>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</si>
  <si>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</si>
  <si>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</si>
  <si>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</si>
  <si>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</si>
  <si>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</si>
  <si>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</si>
  <si>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</si>
  <si>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</si>
  <si>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</si>
  <si>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</si>
  <si>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</si>
  <si>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</si>
  <si>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</si>
  <si>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</si>
  <si>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</si>
  <si>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</si>
  <si>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</si>
  <si>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</si>
  <si>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</si>
  <si>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</si>
  <si>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</si>
  <si>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</si>
  <si>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</si>
  <si>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</si>
  <si>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</si>
  <si>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</si>
  <si>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</si>
  <si>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</si>
  <si>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</si>
  <si>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</si>
  <si>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</si>
  <si>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</si>
  <si>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</si>
  <si>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</si>
  <si>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</si>
  <si>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</si>
  <si>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</si>
  <si>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</si>
  <si>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</si>
  <si>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</si>
  <si>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</si>
  <si>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</si>
  <si>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</si>
  <si>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</si>
  <si>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</si>
  <si>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</si>
  <si>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</si>
  <si>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</si>
  <si>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</si>
  <si>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</si>
  <si>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</si>
  <si>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</si>
  <si>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</si>
  <si>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</si>
  <si>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</si>
  <si>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</si>
  <si>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</si>
  <si>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</si>
  <si>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</si>
  <si>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</si>
  <si>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</si>
  <si>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</si>
  <si>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</si>
  <si>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</si>
  <si>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</si>
  <si>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</si>
  <si>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</si>
  <si>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</si>
  <si>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</si>
  <si>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</si>
  <si>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</si>
  <si>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</si>
  <si>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</si>
  <si>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</si>
  <si>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</si>
  <si>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</si>
  <si>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</si>
  <si>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</si>
  <si>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</si>
  <si>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</si>
  <si>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</si>
  <si>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</si>
  <si>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</si>
  <si>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</si>
  <si>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</si>
  <si>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</si>
  <si>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</si>
  <si>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</si>
  <si>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</si>
  <si>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</si>
  <si>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</si>
  <si>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</si>
  <si>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</si>
  <si>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</si>
  <si>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</si>
  <si>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</si>
  <si>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</si>
  <si>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</si>
  <si>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</si>
  <si>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</si>
  <si>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</si>
  <si>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</si>
  <si>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</si>
  <si>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</si>
  <si>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</si>
  <si>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</si>
  <si>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</si>
  <si>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</si>
  <si>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</si>
  <si>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</si>
  <si>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</si>
  <si>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</si>
  <si>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</si>
  <si>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</si>
  <si>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</si>
  <si>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</si>
  <si>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</si>
  <si>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</si>
  <si>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</si>
  <si>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</si>
  <si>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</si>
  <si>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</si>
  <si>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</si>
  <si>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</si>
  <si>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</si>
  <si>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</si>
  <si>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</si>
  <si>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</si>
  <si>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</si>
  <si>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</si>
  <si>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</si>
  <si>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</si>
  <si>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</si>
  <si>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</si>
  <si>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</si>
  <si>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</si>
  <si>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</si>
  <si>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</si>
  <si>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</si>
  <si>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</si>
  <si>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</si>
  <si>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</si>
  <si>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</si>
  <si>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</si>
  <si>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</si>
  <si>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</si>
  <si>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</si>
  <si>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</si>
  <si>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</si>
  <si>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</si>
  <si>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</si>
  <si>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</si>
  <si>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</si>
  <si>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</si>
  <si>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</si>
  <si>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</si>
  <si>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</si>
  <si>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</si>
  <si>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</si>
  <si>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</si>
  <si>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</si>
  <si>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</si>
  <si>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</si>
  <si>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</si>
  <si>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</si>
  <si>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</si>
  <si>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</si>
  <si>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</si>
  <si>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</si>
  <si>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</si>
  <si>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</si>
  <si>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</si>
  <si>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</si>
  <si>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</si>
  <si>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</si>
  <si>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</si>
  <si>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</si>
  <si>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</si>
  <si>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</si>
  <si>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</si>
  <si>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</si>
  <si>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</si>
  <si>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</si>
  <si>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</si>
  <si>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</si>
  <si>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</si>
  <si>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</si>
  <si>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</si>
  <si>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</si>
  <si>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</si>
  <si>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</si>
  <si>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</si>
  <si>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</si>
  <si>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</si>
  <si>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</si>
  <si>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</si>
  <si>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</si>
  <si>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</si>
  <si>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</si>
  <si>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</si>
  <si>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</si>
  <si>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</si>
  <si>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</si>
  <si>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</si>
  <si>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</si>
  <si>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</si>
  <si>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</si>
  <si>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</si>
  <si>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</si>
  <si>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</si>
  <si>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</si>
  <si>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</si>
  <si>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</si>
  <si>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</si>
  <si>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</si>
  <si>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</si>
  <si>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</si>
  <si>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</si>
  <si>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</si>
  <si>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</si>
  <si>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</si>
  <si>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</si>
  <si>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</si>
  <si>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</si>
  <si>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</si>
  <si>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</si>
  <si>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</si>
  <si>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</si>
  <si>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</si>
  <si>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</si>
  <si>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</si>
  <si>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</si>
  <si>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</si>
  <si>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</si>
  <si>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</si>
  <si>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</si>
  <si>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</si>
  <si>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</si>
  <si>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</si>
  <si>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</si>
  <si>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</si>
  <si>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</si>
  <si>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</si>
  <si>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</si>
  <si>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</si>
  <si>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</si>
  <si>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</si>
  <si>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</si>
  <si>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</si>
  <si>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</si>
  <si>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</si>
  <si>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</si>
  <si>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</si>
  <si>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</si>
  <si>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</si>
  <si>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</si>
  <si>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</si>
  <si>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</si>
  <si>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</si>
  <si>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</si>
  <si>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</si>
  <si>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</si>
  <si>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</si>
  <si>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</si>
  <si>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</si>
  <si>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</si>
  <si>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</si>
  <si>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</si>
  <si>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</si>
  <si>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</si>
  <si>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</si>
  <si>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</si>
  <si>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</si>
  <si>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</si>
  <si>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</si>
  <si>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</si>
  <si>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</si>
  <si>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</si>
  <si>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</si>
  <si>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</si>
  <si>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</si>
  <si>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</si>
  <si>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</si>
  <si>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</si>
  <si>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</si>
  <si>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</si>
  <si>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</si>
  <si>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</si>
  <si>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</si>
  <si>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</si>
  <si>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</si>
  <si>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от 29.09.2022 г.№ 155-г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</si>
</sst>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10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59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3" fontId="71" fillId="12" borderId="1" xfId="0" applyNumberFormat="1" applyFont="1" applyFill="1" applyBorder="1" applyAlignment="1">
      <alignment horizontal="right" vertical="center"/>
    </xf>
    <xf numFmtId="1" fontId="23" fillId="0" borderId="1" xfId="0" applyNumberFormat="1" applyFont="1" applyFill="1" applyBorder="1" applyAlignment="1">
      <alignment horizontal="center" vertical="center"/>
    </xf>
    <xf numFmtId="165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166" fontId="23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top" wrapText="1"/>
    </xf>
    <xf numFmtId="0" fontId="47" fillId="0" borderId="1" xfId="0" applyFont="1" applyBorder="1" applyAlignment="1">
      <alignment horizontal="left" vertical="top" wrapText="1" indent="2"/>
    </xf>
    <xf numFmtId="1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0" fontId="72" fillId="0" borderId="0" xfId="0" applyFont="1"/>
    <xf numFmtId="3" fontId="23" fillId="10" borderId="1" xfId="0" applyNumberFormat="1" applyFont="1" applyFill="1" applyBorder="1" applyAlignment="1">
      <alignment horizontal="right" vertical="center"/>
    </xf>
    <xf numFmtId="3" fontId="3" fillId="20" borderId="1" xfId="0" applyNumberFormat="1" applyFont="1" applyFill="1" applyBorder="1" applyAlignment="1">
      <alignment horizontal="right" vertical="center"/>
    </xf>
    <xf numFmtId="0" fontId="31" fillId="0" borderId="16" xfId="0" applyFont="1" applyBorder="1" applyAlignment="1">
      <alignment horizontal="left" wrapText="1"/>
    </xf>
    <xf numFmtId="3" fontId="18" fillId="0" borderId="7" xfId="0" applyNumberFormat="1" applyFont="1" applyBorder="1" applyAlignment="1">
      <alignment horizontal="right" wrapText="1"/>
    </xf>
    <xf numFmtId="3" fontId="18" fillId="0" borderId="24" xfId="0" applyNumberFormat="1" applyFont="1" applyBorder="1" applyAlignment="1">
      <alignment horizontal="right" wrapText="1"/>
    </xf>
    <xf numFmtId="0" fontId="73" fillId="6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7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43" fillId="12" borderId="0" xfId="0" applyNumberFormat="1" applyFont="1" applyFill="1" applyBorder="1" applyAlignment="1">
      <alignment horizontal="left" wrapText="1"/>
    </xf>
    <xf numFmtId="167" fontId="34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view="pageBreakPreview" zoomScaleSheetLayoutView="100" workbookViewId="0">
      <selection activeCell="I8" sqref="I8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1" hidden="1" customWidth="1"/>
    <col min="11" max="11" width="19.7109375" style="1" hidden="1" customWidth="1"/>
    <col min="12" max="12" width="15.57031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920" t="s">
        <v>0</v>
      </c>
      <c r="H1" s="920"/>
      <c r="I1" s="920"/>
      <c r="J1" s="920"/>
      <c r="K1" s="920"/>
      <c r="L1" s="920"/>
    </row>
    <row r="2" spans="1:12" ht="15.75" x14ac:dyDescent="0.25">
      <c r="G2" s="920" t="s">
        <v>1</v>
      </c>
      <c r="H2" s="920"/>
      <c r="I2" s="920"/>
      <c r="J2" s="920"/>
      <c r="K2" s="920"/>
      <c r="L2" s="920"/>
    </row>
    <row r="3" spans="1:12" ht="15.75" x14ac:dyDescent="0.25">
      <c r="G3" s="920" t="s">
        <v>2</v>
      </c>
      <c r="H3" s="920"/>
      <c r="I3" s="920"/>
      <c r="J3" s="920"/>
      <c r="K3" s="920"/>
      <c r="L3" s="920"/>
    </row>
    <row r="4" spans="1:12" ht="15.75" x14ac:dyDescent="0.25">
      <c r="G4" s="920" t="s">
        <v>1790</v>
      </c>
      <c r="H4" s="920"/>
      <c r="I4" s="920"/>
      <c r="J4" s="920"/>
      <c r="K4" s="920"/>
      <c r="L4" s="920"/>
    </row>
    <row r="5" spans="1:12" ht="15.75" x14ac:dyDescent="0.25">
      <c r="G5" s="4"/>
      <c r="H5" s="5"/>
    </row>
    <row r="6" spans="1:12" ht="50.25" customHeight="1" x14ac:dyDescent="0.2">
      <c r="A6" s="921" t="s">
        <v>1616</v>
      </c>
      <c r="B6" s="921"/>
      <c r="C6" s="921"/>
      <c r="D6" s="921"/>
      <c r="E6" s="921"/>
      <c r="F6" s="921"/>
      <c r="G6" s="921"/>
      <c r="H6" s="921"/>
      <c r="I6" s="921"/>
      <c r="J6" s="921"/>
      <c r="K6" s="921"/>
      <c r="L6" s="921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922" t="s">
        <v>3</v>
      </c>
      <c r="B9" s="922"/>
      <c r="C9" s="922"/>
      <c r="D9" s="922"/>
      <c r="E9" s="922"/>
      <c r="F9" s="922"/>
      <c r="G9" s="922"/>
      <c r="H9" s="922"/>
      <c r="I9" s="919" t="s">
        <v>4</v>
      </c>
      <c r="J9" s="919" t="s">
        <v>5</v>
      </c>
      <c r="K9" s="919" t="s">
        <v>5</v>
      </c>
      <c r="L9" s="919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919"/>
      <c r="J10" s="919"/>
      <c r="K10" s="919"/>
      <c r="L10" s="919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251265450</v>
      </c>
      <c r="K11" s="15">
        <f>K12+K14+K16+K20+K24+K33+K35+K37+K43+K44</f>
        <v>4234000</v>
      </c>
      <c r="L11" s="15">
        <f>L12+L14+L16+L20+L24+L33+L35+L37+L43+L44</f>
        <v>255499450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3">
        <f t="shared" ref="L13:L74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3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8950000</v>
      </c>
      <c r="K16" s="22">
        <f t="shared" ref="K16:L16" si="3">K17+K18+K19</f>
        <v>0</v>
      </c>
      <c r="L16" s="22">
        <f t="shared" si="3"/>
        <v>8950000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3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490000</v>
      </c>
      <c r="K18" s="19"/>
      <c r="L18" s="303">
        <f t="shared" si="1"/>
        <v>490000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47" t="s">
        <v>33</v>
      </c>
      <c r="J19" s="25">
        <v>8460000</v>
      </c>
      <c r="K19" s="25"/>
      <c r="L19" s="303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3">
        <f t="shared" si="1"/>
        <v>8200000</v>
      </c>
    </row>
    <row r="22" spans="1:12" ht="31.5" hidden="1" x14ac:dyDescent="0.2">
      <c r="A22" s="23" t="s">
        <v>1172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3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10843000</v>
      </c>
      <c r="K24" s="22">
        <f>K25+K27+K31</f>
        <v>0</v>
      </c>
      <c r="L24" s="22">
        <f>L25+L27+L31</f>
        <v>10843000</v>
      </c>
    </row>
    <row r="25" spans="1:12" ht="78.75" x14ac:dyDescent="0.2">
      <c r="A25" s="333" t="s">
        <v>45</v>
      </c>
      <c r="B25" s="333" t="s">
        <v>15</v>
      </c>
      <c r="C25" s="333" t="s">
        <v>43</v>
      </c>
      <c r="D25" s="333" t="s">
        <v>18</v>
      </c>
      <c r="E25" s="333" t="s">
        <v>14</v>
      </c>
      <c r="F25" s="333" t="s">
        <v>16</v>
      </c>
      <c r="G25" s="334" t="s">
        <v>17</v>
      </c>
      <c r="H25" s="334" t="s">
        <v>46</v>
      </c>
      <c r="I25" s="335" t="s">
        <v>47</v>
      </c>
      <c r="J25" s="336">
        <v>30000</v>
      </c>
      <c r="K25" s="336">
        <f t="shared" ref="K25:L25" si="5">K26</f>
        <v>0</v>
      </c>
      <c r="L25" s="336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4"/>
      <c r="L26" s="303">
        <f t="shared" si="1"/>
        <v>30000</v>
      </c>
    </row>
    <row r="27" spans="1:12" s="26" customFormat="1" ht="84.75" customHeight="1" x14ac:dyDescent="0.25">
      <c r="A27" s="333" t="s">
        <v>14</v>
      </c>
      <c r="B27" s="333" t="s">
        <v>15</v>
      </c>
      <c r="C27" s="333" t="s">
        <v>43</v>
      </c>
      <c r="D27" s="333" t="s">
        <v>28</v>
      </c>
      <c r="E27" s="333" t="s">
        <v>14</v>
      </c>
      <c r="F27" s="333" t="s">
        <v>16</v>
      </c>
      <c r="G27" s="334" t="s">
        <v>17</v>
      </c>
      <c r="H27" s="334" t="s">
        <v>46</v>
      </c>
      <c r="I27" s="335" t="s">
        <v>50</v>
      </c>
      <c r="J27" s="337">
        <v>10450000</v>
      </c>
      <c r="K27" s="337">
        <f>K28+K29+K30</f>
        <v>0</v>
      </c>
      <c r="L27" s="337">
        <f>L28+L29+L30</f>
        <v>10450000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1120</v>
      </c>
      <c r="J28" s="25">
        <v>4800000</v>
      </c>
      <c r="K28" s="337"/>
      <c r="L28" s="303">
        <f t="shared" si="1"/>
        <v>4800000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1545</v>
      </c>
      <c r="J29" s="25">
        <v>4250000</v>
      </c>
      <c r="K29" s="25"/>
      <c r="L29" s="303">
        <f t="shared" si="1"/>
        <v>4250000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3">
        <f t="shared" si="1"/>
        <v>1400000</v>
      </c>
    </row>
    <row r="31" spans="1:12" s="26" customFormat="1" ht="81" customHeight="1" x14ac:dyDescent="0.25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1642</v>
      </c>
      <c r="J31" s="337">
        <v>363000</v>
      </c>
      <c r="K31" s="337">
        <f>K32</f>
        <v>0</v>
      </c>
      <c r="L31" s="337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1588</v>
      </c>
      <c r="F32" s="23" t="s">
        <v>28</v>
      </c>
      <c r="G32" s="24" t="s">
        <v>17</v>
      </c>
      <c r="H32" s="24" t="s">
        <v>46</v>
      </c>
      <c r="I32" s="784" t="s">
        <v>1576</v>
      </c>
      <c r="J32" s="25">
        <v>363000</v>
      </c>
      <c r="K32" s="25"/>
      <c r="L32" s="303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2872000</v>
      </c>
      <c r="K33" s="22">
        <f>K34</f>
        <v>0</v>
      </c>
      <c r="L33" s="22">
        <f>J33+K33</f>
        <v>2872000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2872000</v>
      </c>
      <c r="K34" s="19"/>
      <c r="L34" s="303">
        <f t="shared" si="1"/>
        <v>2872000</v>
      </c>
    </row>
    <row r="35" spans="1:12" ht="31.5" x14ac:dyDescent="0.2">
      <c r="A35" s="20" t="s">
        <v>14</v>
      </c>
      <c r="B35" s="20" t="s">
        <v>15</v>
      </c>
      <c r="C35" s="20" t="s">
        <v>58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59</v>
      </c>
      <c r="I35" s="14" t="s">
        <v>60</v>
      </c>
      <c r="J35" s="22">
        <v>58177000</v>
      </c>
      <c r="K35" s="22">
        <f>K36</f>
        <v>100000</v>
      </c>
      <c r="L35" s="22">
        <f>L36</f>
        <v>58277000</v>
      </c>
    </row>
    <row r="36" spans="1:12" ht="31.5" x14ac:dyDescent="0.2">
      <c r="A36" s="23" t="s">
        <v>14</v>
      </c>
      <c r="B36" s="23" t="s">
        <v>15</v>
      </c>
      <c r="C36" s="23" t="s">
        <v>58</v>
      </c>
      <c r="D36" s="23" t="s">
        <v>18</v>
      </c>
      <c r="E36" s="23" t="s">
        <v>61</v>
      </c>
      <c r="F36" s="23" t="s">
        <v>28</v>
      </c>
      <c r="G36" s="24" t="s">
        <v>17</v>
      </c>
      <c r="H36" s="24" t="s">
        <v>59</v>
      </c>
      <c r="I36" s="18" t="s">
        <v>62</v>
      </c>
      <c r="J36" s="19">
        <v>58177000</v>
      </c>
      <c r="K36" s="19">
        <v>100000</v>
      </c>
      <c r="L36" s="303">
        <f t="shared" si="1"/>
        <v>58277000</v>
      </c>
    </row>
    <row r="37" spans="1:12" ht="24" customHeight="1" x14ac:dyDescent="0.2">
      <c r="A37" s="20" t="s">
        <v>14</v>
      </c>
      <c r="B37" s="20" t="s">
        <v>15</v>
      </c>
      <c r="C37" s="20" t="s">
        <v>63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64</v>
      </c>
      <c r="J37" s="22">
        <v>20000000</v>
      </c>
      <c r="K37" s="22">
        <f t="shared" ref="K37:L37" si="6">K38+K39</f>
        <v>0</v>
      </c>
      <c r="L37" s="22">
        <f t="shared" si="6"/>
        <v>20000000</v>
      </c>
    </row>
    <row r="38" spans="1:12" ht="78.75" x14ac:dyDescent="0.2">
      <c r="A38" s="23" t="s">
        <v>45</v>
      </c>
      <c r="B38" s="23" t="s">
        <v>15</v>
      </c>
      <c r="C38" s="23" t="s">
        <v>63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65</v>
      </c>
      <c r="J38" s="19">
        <v>12000000</v>
      </c>
      <c r="K38" s="19"/>
      <c r="L38" s="303">
        <f t="shared" si="1"/>
        <v>12000000</v>
      </c>
    </row>
    <row r="39" spans="1:12" ht="31.5" x14ac:dyDescent="0.2">
      <c r="A39" s="333" t="s">
        <v>14</v>
      </c>
      <c r="B39" s="333" t="s">
        <v>15</v>
      </c>
      <c r="C39" s="333" t="s">
        <v>63</v>
      </c>
      <c r="D39" s="333" t="s">
        <v>66</v>
      </c>
      <c r="E39" s="333" t="s">
        <v>14</v>
      </c>
      <c r="F39" s="333" t="s">
        <v>16</v>
      </c>
      <c r="G39" s="334" t="s">
        <v>17</v>
      </c>
      <c r="H39" s="334" t="s">
        <v>67</v>
      </c>
      <c r="I39" s="335" t="s">
        <v>68</v>
      </c>
      <c r="J39" s="336">
        <v>8000000</v>
      </c>
      <c r="K39" s="336">
        <f>K40+K41+K42</f>
        <v>0</v>
      </c>
      <c r="L39" s="336">
        <f>L40+L41+L42</f>
        <v>8000000</v>
      </c>
    </row>
    <row r="40" spans="1:12" ht="63" x14ac:dyDescent="0.2">
      <c r="A40" s="23" t="s">
        <v>45</v>
      </c>
      <c r="B40" s="23" t="s">
        <v>15</v>
      </c>
      <c r="C40" s="23" t="s">
        <v>63</v>
      </c>
      <c r="D40" s="23" t="s">
        <v>66</v>
      </c>
      <c r="E40" s="23" t="s">
        <v>69</v>
      </c>
      <c r="F40" s="23" t="s">
        <v>28</v>
      </c>
      <c r="G40" s="24" t="s">
        <v>17</v>
      </c>
      <c r="H40" s="24" t="s">
        <v>67</v>
      </c>
      <c r="I40" s="18" t="s">
        <v>1121</v>
      </c>
      <c r="J40" s="19">
        <v>2000000</v>
      </c>
      <c r="K40" s="19"/>
      <c r="L40" s="303">
        <f t="shared" si="1"/>
        <v>2000000</v>
      </c>
    </row>
    <row r="41" spans="1:12" ht="47.25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58</v>
      </c>
      <c r="G41" s="24" t="s">
        <v>17</v>
      </c>
      <c r="H41" s="24" t="s">
        <v>67</v>
      </c>
      <c r="I41" s="18" t="s">
        <v>71</v>
      </c>
      <c r="J41" s="19">
        <v>5500000</v>
      </c>
      <c r="K41" s="19"/>
      <c r="L41" s="303">
        <f t="shared" si="1"/>
        <v>5500000</v>
      </c>
    </row>
    <row r="42" spans="1:12" ht="63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72</v>
      </c>
      <c r="F42" s="23" t="s">
        <v>28</v>
      </c>
      <c r="G42" s="24" t="s">
        <v>17</v>
      </c>
      <c r="H42" s="24" t="s">
        <v>67</v>
      </c>
      <c r="I42" s="18" t="s">
        <v>73</v>
      </c>
      <c r="J42" s="19">
        <v>500000</v>
      </c>
      <c r="K42" s="19"/>
      <c r="L42" s="303">
        <f t="shared" si="1"/>
        <v>500000</v>
      </c>
    </row>
    <row r="43" spans="1:12" ht="15.75" x14ac:dyDescent="0.2">
      <c r="A43" s="20" t="s">
        <v>14</v>
      </c>
      <c r="B43" s="20" t="s">
        <v>15</v>
      </c>
      <c r="C43" s="20" t="s">
        <v>74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75</v>
      </c>
      <c r="J43" s="22">
        <v>1410000</v>
      </c>
      <c r="K43" s="22">
        <v>4134000</v>
      </c>
      <c r="L43" s="15">
        <f t="shared" si="1"/>
        <v>5544000</v>
      </c>
    </row>
    <row r="44" spans="1:12" ht="15.75" x14ac:dyDescent="0.2">
      <c r="A44" s="20" t="s">
        <v>14</v>
      </c>
      <c r="B44" s="20" t="s">
        <v>15</v>
      </c>
      <c r="C44" s="20" t="s">
        <v>76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77</v>
      </c>
      <c r="J44" s="22">
        <v>1435460</v>
      </c>
      <c r="K44" s="22"/>
      <c r="L44" s="15">
        <f t="shared" si="1"/>
        <v>1435460</v>
      </c>
    </row>
    <row r="45" spans="1:12" ht="15.75" x14ac:dyDescent="0.2">
      <c r="A45" s="20" t="s">
        <v>14</v>
      </c>
      <c r="B45" s="20" t="s">
        <v>78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79</v>
      </c>
      <c r="J45" s="22">
        <v>2441104309</v>
      </c>
      <c r="K45" s="22">
        <f>K46+K146</f>
        <v>45738153</v>
      </c>
      <c r="L45" s="22">
        <f>L46+L146</f>
        <v>2486842462</v>
      </c>
    </row>
    <row r="46" spans="1:12" ht="31.5" x14ac:dyDescent="0.2">
      <c r="A46" s="20" t="s">
        <v>14</v>
      </c>
      <c r="B46" s="20" t="s">
        <v>78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80</v>
      </c>
      <c r="J46" s="22">
        <v>2435104309</v>
      </c>
      <c r="K46" s="22">
        <f>K47+K54+K75+K115</f>
        <v>45738153</v>
      </c>
      <c r="L46" s="22">
        <f>L47+L54+L75+L115</f>
        <v>2480842462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70</v>
      </c>
      <c r="E47" s="20" t="s">
        <v>14</v>
      </c>
      <c r="F47" s="20" t="s">
        <v>16</v>
      </c>
      <c r="G47" s="27" t="s">
        <v>17</v>
      </c>
      <c r="H47" s="27" t="s">
        <v>1173</v>
      </c>
      <c r="I47" s="28" t="s">
        <v>82</v>
      </c>
      <c r="J47" s="22">
        <v>539458000</v>
      </c>
      <c r="K47" s="22">
        <f>K48+K49+K50+K51+K52+K53</f>
        <v>2960000</v>
      </c>
      <c r="L47" s="22">
        <f>L48+L49+L50+L51+L52+L53</f>
        <v>542418000</v>
      </c>
    </row>
    <row r="48" spans="1:12" ht="31.5" x14ac:dyDescent="0.2">
      <c r="A48" s="23" t="s">
        <v>83</v>
      </c>
      <c r="B48" s="23" t="s">
        <v>78</v>
      </c>
      <c r="C48" s="23" t="s">
        <v>21</v>
      </c>
      <c r="D48" s="23" t="s">
        <v>663</v>
      </c>
      <c r="E48" s="23" t="s">
        <v>84</v>
      </c>
      <c r="F48" s="23" t="s">
        <v>28</v>
      </c>
      <c r="G48" s="29" t="s">
        <v>17</v>
      </c>
      <c r="H48" s="29" t="s">
        <v>1173</v>
      </c>
      <c r="I48" s="30" t="s">
        <v>85</v>
      </c>
      <c r="J48" s="19">
        <v>429133000</v>
      </c>
      <c r="K48" s="19"/>
      <c r="L48" s="303">
        <f t="shared" si="1"/>
        <v>429133000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663</v>
      </c>
      <c r="E49" s="23" t="s">
        <v>1069</v>
      </c>
      <c r="F49" s="23" t="s">
        <v>28</v>
      </c>
      <c r="G49" s="29" t="s">
        <v>17</v>
      </c>
      <c r="H49" s="29" t="s">
        <v>1173</v>
      </c>
      <c r="I49" s="30" t="s">
        <v>86</v>
      </c>
      <c r="J49" s="19">
        <v>92935000</v>
      </c>
      <c r="K49" s="19"/>
      <c r="L49" s="303">
        <f t="shared" si="1"/>
        <v>92935000</v>
      </c>
    </row>
    <row r="50" spans="1:12" ht="47.25" x14ac:dyDescent="0.2">
      <c r="A50" s="23" t="s">
        <v>83</v>
      </c>
      <c r="B50" s="23" t="s">
        <v>78</v>
      </c>
      <c r="C50" s="23" t="s">
        <v>21</v>
      </c>
      <c r="D50" s="23" t="s">
        <v>1317</v>
      </c>
      <c r="E50" s="23" t="s">
        <v>93</v>
      </c>
      <c r="F50" s="23" t="s">
        <v>28</v>
      </c>
      <c r="G50" s="29" t="s">
        <v>1318</v>
      </c>
      <c r="H50" s="29" t="s">
        <v>1173</v>
      </c>
      <c r="I50" s="30" t="s">
        <v>1316</v>
      </c>
      <c r="J50" s="19">
        <v>11800000</v>
      </c>
      <c r="K50" s="19">
        <v>2960000</v>
      </c>
      <c r="L50" s="303">
        <f>SUM(J50:K50)</f>
        <v>14760000</v>
      </c>
    </row>
    <row r="51" spans="1:12" ht="15.75" hidden="1" x14ac:dyDescent="0.2">
      <c r="A51" s="23" t="s">
        <v>37</v>
      </c>
      <c r="B51" s="23" t="s">
        <v>78</v>
      </c>
      <c r="C51" s="23" t="s">
        <v>21</v>
      </c>
      <c r="D51" s="23" t="s">
        <v>1317</v>
      </c>
      <c r="E51" s="23" t="s">
        <v>93</v>
      </c>
      <c r="F51" s="23" t="s">
        <v>28</v>
      </c>
      <c r="G51" s="29" t="s">
        <v>1589</v>
      </c>
      <c r="H51" s="29" t="s">
        <v>1173</v>
      </c>
      <c r="I51" s="785" t="s">
        <v>1590</v>
      </c>
      <c r="J51" s="19">
        <v>0</v>
      </c>
      <c r="K51" s="19"/>
      <c r="L51" s="303">
        <f>SUM(J51:K51)</f>
        <v>0</v>
      </c>
    </row>
    <row r="52" spans="1:12" ht="47.25" x14ac:dyDescent="0.2">
      <c r="A52" s="23" t="s">
        <v>37</v>
      </c>
      <c r="B52" s="23" t="s">
        <v>78</v>
      </c>
      <c r="C52" s="23" t="s">
        <v>21</v>
      </c>
      <c r="D52" s="23" t="s">
        <v>1317</v>
      </c>
      <c r="E52" s="23" t="s">
        <v>93</v>
      </c>
      <c r="F52" s="23" t="s">
        <v>28</v>
      </c>
      <c r="G52" s="29" t="s">
        <v>1710</v>
      </c>
      <c r="H52" s="29" t="s">
        <v>1173</v>
      </c>
      <c r="I52" s="874" t="s">
        <v>1754</v>
      </c>
      <c r="J52" s="19">
        <v>5000000</v>
      </c>
      <c r="K52" s="19"/>
      <c r="L52" s="303">
        <f>SUM(J52:K52)</f>
        <v>5000000</v>
      </c>
    </row>
    <row r="53" spans="1:12" ht="47.25" x14ac:dyDescent="0.2">
      <c r="A53" s="23" t="s">
        <v>37</v>
      </c>
      <c r="B53" s="23" t="s">
        <v>78</v>
      </c>
      <c r="C53" s="23" t="s">
        <v>21</v>
      </c>
      <c r="D53" s="23" t="s">
        <v>1317</v>
      </c>
      <c r="E53" s="23" t="s">
        <v>93</v>
      </c>
      <c r="F53" s="23" t="s">
        <v>28</v>
      </c>
      <c r="G53" s="29" t="s">
        <v>1769</v>
      </c>
      <c r="H53" s="29" t="s">
        <v>1173</v>
      </c>
      <c r="I53" s="893" t="s">
        <v>1770</v>
      </c>
      <c r="J53" s="19">
        <v>590000</v>
      </c>
      <c r="K53" s="19"/>
      <c r="L53" s="303">
        <f>SUM(J53:K53)</f>
        <v>590000</v>
      </c>
    </row>
    <row r="54" spans="1:12" ht="31.5" x14ac:dyDescent="0.2">
      <c r="A54" s="20" t="s">
        <v>14</v>
      </c>
      <c r="B54" s="20" t="s">
        <v>78</v>
      </c>
      <c r="C54" s="20" t="s">
        <v>21</v>
      </c>
      <c r="D54" s="20" t="s">
        <v>1070</v>
      </c>
      <c r="E54" s="20" t="s">
        <v>14</v>
      </c>
      <c r="F54" s="20" t="s">
        <v>16</v>
      </c>
      <c r="G54" s="27" t="s">
        <v>17</v>
      </c>
      <c r="H54" s="27" t="s">
        <v>1173</v>
      </c>
      <c r="I54" s="28" t="s">
        <v>87</v>
      </c>
      <c r="J54" s="22">
        <v>108755120</v>
      </c>
      <c r="K54" s="22">
        <f>SUM(K55:K74)</f>
        <v>80748</v>
      </c>
      <c r="L54" s="22">
        <f>SUM(L55:L74)</f>
        <v>108835868</v>
      </c>
    </row>
    <row r="55" spans="1:12" ht="15.75" x14ac:dyDescent="0.2">
      <c r="A55" s="23" t="s">
        <v>37</v>
      </c>
      <c r="B55" s="23" t="s">
        <v>78</v>
      </c>
      <c r="C55" s="23" t="s">
        <v>21</v>
      </c>
      <c r="D55" s="23" t="s">
        <v>1070</v>
      </c>
      <c r="E55" s="23" t="s">
        <v>89</v>
      </c>
      <c r="F55" s="23" t="s">
        <v>28</v>
      </c>
      <c r="G55" s="29" t="s">
        <v>17</v>
      </c>
      <c r="H55" s="29" t="s">
        <v>1173</v>
      </c>
      <c r="I55" s="30" t="s">
        <v>90</v>
      </c>
      <c r="J55" s="19">
        <v>10771487</v>
      </c>
      <c r="K55" s="19"/>
      <c r="L55" s="303">
        <f>SUM(J55:K55)</f>
        <v>10771487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1070</v>
      </c>
      <c r="E56" s="31" t="s">
        <v>1117</v>
      </c>
      <c r="F56" s="31" t="s">
        <v>28</v>
      </c>
      <c r="G56" s="32" t="s">
        <v>17</v>
      </c>
      <c r="H56" s="32" t="s">
        <v>1173</v>
      </c>
      <c r="I56" s="325" t="s">
        <v>1178</v>
      </c>
      <c r="J56" s="34">
        <v>0</v>
      </c>
      <c r="K56" s="34"/>
      <c r="L56" s="303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1396</v>
      </c>
      <c r="E57" s="23" t="s">
        <v>1397</v>
      </c>
      <c r="F57" s="23" t="s">
        <v>28</v>
      </c>
      <c r="G57" s="29" t="s">
        <v>17</v>
      </c>
      <c r="H57" s="29" t="s">
        <v>1173</v>
      </c>
      <c r="I57" s="35" t="s">
        <v>1398</v>
      </c>
      <c r="J57" s="19">
        <v>0</v>
      </c>
      <c r="K57" s="19"/>
      <c r="L57" s="303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1396</v>
      </c>
      <c r="E58" s="23" t="s">
        <v>1522</v>
      </c>
      <c r="F58" s="23" t="s">
        <v>28</v>
      </c>
      <c r="G58" s="29" t="s">
        <v>17</v>
      </c>
      <c r="H58" s="29" t="s">
        <v>1173</v>
      </c>
      <c r="I58" s="35" t="s">
        <v>1385</v>
      </c>
      <c r="J58" s="19">
        <v>0</v>
      </c>
      <c r="K58" s="19"/>
      <c r="L58" s="303">
        <f>J58+K58</f>
        <v>0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1396</v>
      </c>
      <c r="E59" s="23" t="s">
        <v>1498</v>
      </c>
      <c r="F59" s="23" t="s">
        <v>28</v>
      </c>
      <c r="G59" s="29" t="s">
        <v>17</v>
      </c>
      <c r="H59" s="29" t="s">
        <v>1173</v>
      </c>
      <c r="I59" s="35" t="s">
        <v>1499</v>
      </c>
      <c r="J59" s="19">
        <v>1554507</v>
      </c>
      <c r="K59" s="19"/>
      <c r="L59" s="303">
        <f>SUM(J59:K59)</f>
        <v>1554507</v>
      </c>
    </row>
    <row r="60" spans="1:12" ht="47.25" x14ac:dyDescent="0.2">
      <c r="A60" s="312" t="s">
        <v>92</v>
      </c>
      <c r="B60" s="23" t="s">
        <v>78</v>
      </c>
      <c r="C60" s="23" t="s">
        <v>21</v>
      </c>
      <c r="D60" s="23" t="s">
        <v>1396</v>
      </c>
      <c r="E60" s="23" t="s">
        <v>1446</v>
      </c>
      <c r="F60" s="23" t="s">
        <v>28</v>
      </c>
      <c r="G60" s="598" t="s">
        <v>17</v>
      </c>
      <c r="H60" s="29" t="s">
        <v>1173</v>
      </c>
      <c r="I60" s="30" t="s">
        <v>1643</v>
      </c>
      <c r="J60" s="19">
        <v>164610</v>
      </c>
      <c r="K60" s="19"/>
      <c r="L60" s="303">
        <f>SUM(J60:K60)</f>
        <v>164610</v>
      </c>
    </row>
    <row r="61" spans="1:12" ht="47.25" x14ac:dyDescent="0.2">
      <c r="A61" s="312" t="s">
        <v>92</v>
      </c>
      <c r="B61" s="23" t="s">
        <v>78</v>
      </c>
      <c r="C61" s="23" t="s">
        <v>21</v>
      </c>
      <c r="D61" s="23" t="s">
        <v>1396</v>
      </c>
      <c r="E61" s="23" t="s">
        <v>1446</v>
      </c>
      <c r="F61" s="23" t="s">
        <v>28</v>
      </c>
      <c r="G61" s="598" t="s">
        <v>17</v>
      </c>
      <c r="H61" s="29" t="s">
        <v>1173</v>
      </c>
      <c r="I61" s="30" t="s">
        <v>1561</v>
      </c>
      <c r="J61" s="19">
        <v>29888908</v>
      </c>
      <c r="K61" s="19"/>
      <c r="L61" s="303">
        <f>SUM(J61:K61)</f>
        <v>29888908</v>
      </c>
    </row>
    <row r="62" spans="1:12" ht="47.25" x14ac:dyDescent="0.2">
      <c r="A62" s="312" t="s">
        <v>94</v>
      </c>
      <c r="B62" s="23" t="s">
        <v>78</v>
      </c>
      <c r="C62" s="23" t="s">
        <v>21</v>
      </c>
      <c r="D62" s="23" t="s">
        <v>1071</v>
      </c>
      <c r="E62" s="23" t="s">
        <v>93</v>
      </c>
      <c r="F62" s="23" t="s">
        <v>28</v>
      </c>
      <c r="G62" s="598" t="s">
        <v>1771</v>
      </c>
      <c r="H62" s="29" t="s">
        <v>1173</v>
      </c>
      <c r="I62" s="893" t="s">
        <v>1772</v>
      </c>
      <c r="J62" s="19">
        <v>1800000</v>
      </c>
      <c r="K62" s="19"/>
      <c r="L62" s="303">
        <f t="shared" ref="L62:L63" si="7">SUM(J62:K62)</f>
        <v>1800000</v>
      </c>
    </row>
    <row r="63" spans="1:12" ht="31.5" x14ac:dyDescent="0.2">
      <c r="A63" s="312" t="s">
        <v>92</v>
      </c>
      <c r="B63" s="23" t="s">
        <v>78</v>
      </c>
      <c r="C63" s="23" t="s">
        <v>21</v>
      </c>
      <c r="D63" s="23" t="s">
        <v>1071</v>
      </c>
      <c r="E63" s="23" t="s">
        <v>93</v>
      </c>
      <c r="F63" s="23" t="s">
        <v>28</v>
      </c>
      <c r="G63" s="598" t="s">
        <v>1773</v>
      </c>
      <c r="H63" s="29" t="s">
        <v>1173</v>
      </c>
      <c r="I63" s="893" t="s">
        <v>1774</v>
      </c>
      <c r="J63" s="19">
        <v>60473</v>
      </c>
      <c r="K63" s="19"/>
      <c r="L63" s="303">
        <f t="shared" si="7"/>
        <v>60473</v>
      </c>
    </row>
    <row r="64" spans="1:12" ht="31.5" x14ac:dyDescent="0.2">
      <c r="A64" s="23" t="s">
        <v>92</v>
      </c>
      <c r="B64" s="23" t="s">
        <v>78</v>
      </c>
      <c r="C64" s="23" t="s">
        <v>21</v>
      </c>
      <c r="D64" s="23" t="s">
        <v>1071</v>
      </c>
      <c r="E64" s="23" t="s">
        <v>93</v>
      </c>
      <c r="F64" s="23" t="s">
        <v>28</v>
      </c>
      <c r="G64" s="29" t="s">
        <v>1500</v>
      </c>
      <c r="H64" s="29" t="s">
        <v>1173</v>
      </c>
      <c r="I64" s="35" t="s">
        <v>1501</v>
      </c>
      <c r="J64" s="19">
        <v>2215744</v>
      </c>
      <c r="K64" s="19"/>
      <c r="L64" s="303">
        <f t="shared" si="1"/>
        <v>2215744</v>
      </c>
    </row>
    <row r="65" spans="1:12" ht="31.5" hidden="1" x14ac:dyDescent="0.2">
      <c r="A65" s="23" t="s">
        <v>94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29" t="s">
        <v>1502</v>
      </c>
      <c r="H65" s="29" t="s">
        <v>1173</v>
      </c>
      <c r="I65" s="35" t="s">
        <v>1614</v>
      </c>
      <c r="J65" s="19">
        <v>0</v>
      </c>
      <c r="K65" s="19"/>
      <c r="L65" s="303">
        <f t="shared" si="1"/>
        <v>0</v>
      </c>
    </row>
    <row r="66" spans="1:12" ht="47.25" x14ac:dyDescent="0.2">
      <c r="A66" s="23" t="s">
        <v>94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29" t="s">
        <v>1116</v>
      </c>
      <c r="H66" s="29" t="s">
        <v>1173</v>
      </c>
      <c r="I66" s="35" t="s">
        <v>95</v>
      </c>
      <c r="J66" s="19">
        <v>928622</v>
      </c>
      <c r="K66" s="19"/>
      <c r="L66" s="303">
        <f t="shared" si="1"/>
        <v>928622</v>
      </c>
    </row>
    <row r="67" spans="1:12" ht="47.25" x14ac:dyDescent="0.2">
      <c r="A67" s="23" t="s">
        <v>37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1503</v>
      </c>
      <c r="H67" s="29" t="s">
        <v>1173</v>
      </c>
      <c r="I67" s="35" t="s">
        <v>1504</v>
      </c>
      <c r="J67" s="19">
        <v>12783333</v>
      </c>
      <c r="K67" s="19"/>
      <c r="L67" s="303">
        <f t="shared" si="1"/>
        <v>12783333</v>
      </c>
    </row>
    <row r="68" spans="1:12" ht="31.5" x14ac:dyDescent="0.2">
      <c r="A68" s="23" t="s">
        <v>37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1358</v>
      </c>
      <c r="H68" s="29" t="s">
        <v>1173</v>
      </c>
      <c r="I68" s="35" t="s">
        <v>1359</v>
      </c>
      <c r="J68" s="19">
        <v>555156</v>
      </c>
      <c r="K68" s="19"/>
      <c r="L68" s="19">
        <f t="shared" si="1"/>
        <v>555156</v>
      </c>
    </row>
    <row r="69" spans="1:12" ht="31.5" x14ac:dyDescent="0.2">
      <c r="A69" s="312" t="s">
        <v>94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324" t="s">
        <v>1176</v>
      </c>
      <c r="H69" s="29" t="s">
        <v>1173</v>
      </c>
      <c r="I69" s="30" t="s">
        <v>1175</v>
      </c>
      <c r="J69" s="19">
        <v>8223075</v>
      </c>
      <c r="K69" s="19"/>
      <c r="L69" s="303">
        <f t="shared" si="1"/>
        <v>8223075</v>
      </c>
    </row>
    <row r="70" spans="1:12" ht="31.5" x14ac:dyDescent="0.2">
      <c r="A70" s="312" t="s">
        <v>92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324" t="s">
        <v>1174</v>
      </c>
      <c r="H70" s="29" t="s">
        <v>1173</v>
      </c>
      <c r="I70" s="30" t="s">
        <v>1177</v>
      </c>
      <c r="J70" s="19">
        <v>33344728</v>
      </c>
      <c r="K70" s="19"/>
      <c r="L70" s="303">
        <f t="shared" si="1"/>
        <v>33344728</v>
      </c>
    </row>
    <row r="71" spans="1:12" ht="31.5" x14ac:dyDescent="0.2">
      <c r="A71" s="312" t="s">
        <v>92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324" t="s">
        <v>1458</v>
      </c>
      <c r="H71" s="29" t="s">
        <v>1173</v>
      </c>
      <c r="I71" s="678" t="s">
        <v>1459</v>
      </c>
      <c r="J71" s="19">
        <v>807485</v>
      </c>
      <c r="K71" s="19">
        <v>80748</v>
      </c>
      <c r="L71" s="303">
        <f t="shared" si="1"/>
        <v>888233</v>
      </c>
    </row>
    <row r="72" spans="1:12" ht="31.5" x14ac:dyDescent="0.2">
      <c r="A72" s="312" t="s">
        <v>37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324" t="s">
        <v>1644</v>
      </c>
      <c r="H72" s="29" t="s">
        <v>1173</v>
      </c>
      <c r="I72" s="828" t="s">
        <v>1645</v>
      </c>
      <c r="J72" s="19">
        <v>447065</v>
      </c>
      <c r="K72" s="19"/>
      <c r="L72" s="303">
        <f t="shared" si="1"/>
        <v>447065</v>
      </c>
    </row>
    <row r="73" spans="1:12" ht="31.5" x14ac:dyDescent="0.2">
      <c r="A73" s="312" t="s">
        <v>92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324" t="s">
        <v>1711</v>
      </c>
      <c r="H73" s="29" t="s">
        <v>1173</v>
      </c>
      <c r="I73" s="874" t="s">
        <v>1712</v>
      </c>
      <c r="J73" s="19">
        <v>3209927</v>
      </c>
      <c r="K73" s="19"/>
      <c r="L73" s="303">
        <f t="shared" si="1"/>
        <v>3209927</v>
      </c>
    </row>
    <row r="74" spans="1:12" ht="47.25" x14ac:dyDescent="0.2">
      <c r="A74" s="312" t="s">
        <v>94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598" t="s">
        <v>1457</v>
      </c>
      <c r="H74" s="29" t="s">
        <v>1173</v>
      </c>
      <c r="I74" s="678" t="s">
        <v>1713</v>
      </c>
      <c r="J74" s="19">
        <v>2000000</v>
      </c>
      <c r="K74" s="19"/>
      <c r="L74" s="303">
        <f t="shared" si="1"/>
        <v>2000000</v>
      </c>
    </row>
    <row r="75" spans="1:12" s="36" customFormat="1" ht="31.5" x14ac:dyDescent="0.25">
      <c r="A75" s="20" t="s">
        <v>14</v>
      </c>
      <c r="B75" s="20" t="s">
        <v>78</v>
      </c>
      <c r="C75" s="20" t="s">
        <v>21</v>
      </c>
      <c r="D75" s="20" t="s">
        <v>1076</v>
      </c>
      <c r="E75" s="20" t="s">
        <v>14</v>
      </c>
      <c r="F75" s="20" t="s">
        <v>16</v>
      </c>
      <c r="G75" s="27" t="s">
        <v>17</v>
      </c>
      <c r="H75" s="27" t="s">
        <v>1173</v>
      </c>
      <c r="I75" s="28" t="s">
        <v>97</v>
      </c>
      <c r="J75" s="22">
        <v>1365193583</v>
      </c>
      <c r="K75" s="22">
        <f>SUM(K76:K114)</f>
        <v>-16623767</v>
      </c>
      <c r="L75" s="22">
        <f>SUM(L76:L114)</f>
        <v>1348569816</v>
      </c>
    </row>
    <row r="76" spans="1:12" s="355" customFormat="1" ht="31.5" x14ac:dyDescent="0.25">
      <c r="A76" s="23" t="s">
        <v>98</v>
      </c>
      <c r="B76" s="23" t="s">
        <v>78</v>
      </c>
      <c r="C76" s="23" t="s">
        <v>21</v>
      </c>
      <c r="D76" s="23" t="s">
        <v>1076</v>
      </c>
      <c r="E76" s="23" t="s">
        <v>1181</v>
      </c>
      <c r="F76" s="23" t="s">
        <v>28</v>
      </c>
      <c r="G76" s="29" t="s">
        <v>17</v>
      </c>
      <c r="H76" s="29" t="s">
        <v>1173</v>
      </c>
      <c r="I76" s="30" t="s">
        <v>101</v>
      </c>
      <c r="J76" s="19">
        <v>28658000</v>
      </c>
      <c r="K76" s="19"/>
      <c r="L76" s="303">
        <f>J76+K76</f>
        <v>28658000</v>
      </c>
    </row>
    <row r="77" spans="1:12" s="302" customFormat="1" ht="47.25" x14ac:dyDescent="0.25">
      <c r="A77" s="23" t="s">
        <v>98</v>
      </c>
      <c r="B77" s="23" t="s">
        <v>78</v>
      </c>
      <c r="C77" s="23" t="s">
        <v>21</v>
      </c>
      <c r="D77" s="23" t="s">
        <v>1076</v>
      </c>
      <c r="E77" s="23" t="s">
        <v>102</v>
      </c>
      <c r="F77" s="23" t="s">
        <v>28</v>
      </c>
      <c r="G77" s="29" t="s">
        <v>1096</v>
      </c>
      <c r="H77" s="29" t="s">
        <v>1173</v>
      </c>
      <c r="I77" s="18" t="s">
        <v>105</v>
      </c>
      <c r="J77" s="19">
        <v>78435</v>
      </c>
      <c r="K77" s="19"/>
      <c r="L77" s="303">
        <f>J77+K77</f>
        <v>78435</v>
      </c>
    </row>
    <row r="78" spans="1:12" s="302" customFormat="1" ht="31.5" x14ac:dyDescent="0.25">
      <c r="A78" s="23" t="s">
        <v>98</v>
      </c>
      <c r="B78" s="23" t="s">
        <v>78</v>
      </c>
      <c r="C78" s="23" t="s">
        <v>21</v>
      </c>
      <c r="D78" s="23" t="s">
        <v>1076</v>
      </c>
      <c r="E78" s="23" t="s">
        <v>102</v>
      </c>
      <c r="F78" s="23" t="s">
        <v>28</v>
      </c>
      <c r="G78" s="29" t="s">
        <v>1097</v>
      </c>
      <c r="H78" s="29" t="s">
        <v>1173</v>
      </c>
      <c r="I78" s="742" t="s">
        <v>1140</v>
      </c>
      <c r="J78" s="19">
        <v>2478334</v>
      </c>
      <c r="K78" s="19"/>
      <c r="L78" s="303">
        <f t="shared" ref="L78:L107" si="8">SUM(J78:K78)</f>
        <v>2478334</v>
      </c>
    </row>
    <row r="79" spans="1:12" s="302" customFormat="1" ht="63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102</v>
      </c>
      <c r="F79" s="23" t="s">
        <v>28</v>
      </c>
      <c r="G79" s="29" t="s">
        <v>1098</v>
      </c>
      <c r="H79" s="29" t="s">
        <v>1173</v>
      </c>
      <c r="I79" s="747" t="s">
        <v>106</v>
      </c>
      <c r="J79" s="19">
        <v>68101000</v>
      </c>
      <c r="K79" s="19"/>
      <c r="L79" s="303">
        <f t="shared" si="8"/>
        <v>68101000</v>
      </c>
    </row>
    <row r="80" spans="1:12" s="302" customFormat="1" ht="63" x14ac:dyDescent="0.25">
      <c r="A80" s="23" t="s">
        <v>94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1113</v>
      </c>
      <c r="H80" s="29" t="s">
        <v>1173</v>
      </c>
      <c r="I80" s="18" t="s">
        <v>120</v>
      </c>
      <c r="J80" s="19">
        <v>5536142</v>
      </c>
      <c r="K80" s="19"/>
      <c r="L80" s="303">
        <f t="shared" si="8"/>
        <v>5536142</v>
      </c>
    </row>
    <row r="81" spans="1:12" s="302" customFormat="1" ht="31.5" x14ac:dyDescent="0.25">
      <c r="A81" s="23" t="s">
        <v>94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1110</v>
      </c>
      <c r="H81" s="29" t="s">
        <v>1173</v>
      </c>
      <c r="I81" s="18" t="s">
        <v>117</v>
      </c>
      <c r="J81" s="19">
        <v>149601</v>
      </c>
      <c r="K81" s="19">
        <v>100000</v>
      </c>
      <c r="L81" s="303">
        <f t="shared" si="8"/>
        <v>249601</v>
      </c>
    </row>
    <row r="82" spans="1:12" s="302" customFormat="1" ht="63" x14ac:dyDescent="0.25">
      <c r="A82" s="23" t="s">
        <v>94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1108</v>
      </c>
      <c r="H82" s="29" t="s">
        <v>1173</v>
      </c>
      <c r="I82" s="742" t="s">
        <v>115</v>
      </c>
      <c r="J82" s="19">
        <v>9205899</v>
      </c>
      <c r="K82" s="19"/>
      <c r="L82" s="303">
        <f t="shared" si="8"/>
        <v>9205899</v>
      </c>
    </row>
    <row r="83" spans="1:12" s="302" customFormat="1" ht="31.5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1106</v>
      </c>
      <c r="H83" s="29" t="s">
        <v>1173</v>
      </c>
      <c r="I83" s="747" t="s">
        <v>113</v>
      </c>
      <c r="J83" s="19">
        <v>3542684</v>
      </c>
      <c r="K83" s="19"/>
      <c r="L83" s="303">
        <f t="shared" si="8"/>
        <v>3542684</v>
      </c>
    </row>
    <row r="84" spans="1:12" s="302" customFormat="1" ht="31.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1093</v>
      </c>
      <c r="H84" s="29" t="s">
        <v>1173</v>
      </c>
      <c r="I84" s="18" t="s">
        <v>103</v>
      </c>
      <c r="J84" s="19">
        <v>236317534</v>
      </c>
      <c r="K84" s="19"/>
      <c r="L84" s="303">
        <f t="shared" si="8"/>
        <v>236317534</v>
      </c>
    </row>
    <row r="85" spans="1:12" s="302" customFormat="1" ht="31.5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1107</v>
      </c>
      <c r="H85" s="29" t="s">
        <v>1173</v>
      </c>
      <c r="I85" s="18" t="s">
        <v>114</v>
      </c>
      <c r="J85" s="19">
        <v>408283400</v>
      </c>
      <c r="K85" s="19"/>
      <c r="L85" s="303">
        <f t="shared" si="8"/>
        <v>408283400</v>
      </c>
    </row>
    <row r="86" spans="1:12" s="302" customFormat="1" ht="31.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1094</v>
      </c>
      <c r="H86" s="29" t="s">
        <v>1173</v>
      </c>
      <c r="I86" s="18" t="s">
        <v>104</v>
      </c>
      <c r="J86" s="19">
        <v>24969539</v>
      </c>
      <c r="K86" s="19"/>
      <c r="L86" s="303">
        <f t="shared" si="8"/>
        <v>24969539</v>
      </c>
    </row>
    <row r="87" spans="1:12" s="302" customFormat="1" ht="47.25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1111</v>
      </c>
      <c r="H87" s="29" t="s">
        <v>1173</v>
      </c>
      <c r="I87" s="18" t="s">
        <v>119</v>
      </c>
      <c r="J87" s="19">
        <v>27292878</v>
      </c>
      <c r="K87" s="19"/>
      <c r="L87" s="303">
        <f t="shared" si="8"/>
        <v>27292878</v>
      </c>
    </row>
    <row r="88" spans="1:12" s="302" customFormat="1" ht="15.75" x14ac:dyDescent="0.25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1102</v>
      </c>
      <c r="H88" s="29" t="s">
        <v>1173</v>
      </c>
      <c r="I88" s="18" t="s">
        <v>111</v>
      </c>
      <c r="J88" s="19">
        <v>20062823</v>
      </c>
      <c r="K88" s="19"/>
      <c r="L88" s="303">
        <f t="shared" si="8"/>
        <v>20062823</v>
      </c>
    </row>
    <row r="89" spans="1:12" s="302" customFormat="1" ht="78.75" x14ac:dyDescent="0.25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1109</v>
      </c>
      <c r="H89" s="29" t="s">
        <v>1173</v>
      </c>
      <c r="I89" s="18" t="s">
        <v>116</v>
      </c>
      <c r="J89" s="19">
        <v>84397443</v>
      </c>
      <c r="K89" s="19"/>
      <c r="L89" s="303">
        <f t="shared" si="8"/>
        <v>84397443</v>
      </c>
    </row>
    <row r="90" spans="1:12" s="302" customFormat="1" ht="31.5" x14ac:dyDescent="0.25">
      <c r="A90" s="23" t="s">
        <v>98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1103</v>
      </c>
      <c r="H90" s="29" t="s">
        <v>1173</v>
      </c>
      <c r="I90" s="18" t="s">
        <v>112</v>
      </c>
      <c r="J90" s="19">
        <v>3598600</v>
      </c>
      <c r="K90" s="19">
        <v>500000</v>
      </c>
      <c r="L90" s="303">
        <f t="shared" si="8"/>
        <v>4098600</v>
      </c>
    </row>
    <row r="91" spans="1:12" s="302" customFormat="1" ht="15.75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1104</v>
      </c>
      <c r="H91" s="29" t="s">
        <v>1173</v>
      </c>
      <c r="I91" s="747" t="s">
        <v>1558</v>
      </c>
      <c r="J91" s="19">
        <v>29440000</v>
      </c>
      <c r="K91" s="19">
        <v>-9000000</v>
      </c>
      <c r="L91" s="303">
        <f t="shared" si="8"/>
        <v>20440000</v>
      </c>
    </row>
    <row r="92" spans="1:12" s="302" customFormat="1" ht="63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1105</v>
      </c>
      <c r="H92" s="29" t="s">
        <v>1173</v>
      </c>
      <c r="I92" s="747" t="s">
        <v>1557</v>
      </c>
      <c r="J92" s="19">
        <v>38653000</v>
      </c>
      <c r="K92" s="19">
        <v>-600000</v>
      </c>
      <c r="L92" s="303">
        <f t="shared" si="8"/>
        <v>38053000</v>
      </c>
    </row>
    <row r="93" spans="1:12" s="302" customFormat="1" ht="47.25" x14ac:dyDescent="0.25">
      <c r="A93" s="23" t="s">
        <v>37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1115</v>
      </c>
      <c r="H93" s="29" t="s">
        <v>1173</v>
      </c>
      <c r="I93" s="18" t="s">
        <v>122</v>
      </c>
      <c r="J93" s="19">
        <v>4590</v>
      </c>
      <c r="K93" s="19"/>
      <c r="L93" s="303">
        <f t="shared" si="8"/>
        <v>4590</v>
      </c>
    </row>
    <row r="94" spans="1:12" s="302" customFormat="1" ht="31.5" x14ac:dyDescent="0.25">
      <c r="A94" s="23" t="s">
        <v>37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1114</v>
      </c>
      <c r="H94" s="29" t="s">
        <v>1173</v>
      </c>
      <c r="I94" s="18" t="s">
        <v>1554</v>
      </c>
      <c r="J94" s="19">
        <v>876254</v>
      </c>
      <c r="K94" s="19"/>
      <c r="L94" s="303">
        <f t="shared" si="8"/>
        <v>876254</v>
      </c>
    </row>
    <row r="95" spans="1:12" s="302" customFormat="1" ht="31.5" x14ac:dyDescent="0.25">
      <c r="A95" s="37">
        <v>950</v>
      </c>
      <c r="B95" s="38" t="s">
        <v>78</v>
      </c>
      <c r="C95" s="38" t="s">
        <v>21</v>
      </c>
      <c r="D95" s="38" t="s">
        <v>1076</v>
      </c>
      <c r="E95" s="38" t="s">
        <v>102</v>
      </c>
      <c r="F95" s="38" t="s">
        <v>28</v>
      </c>
      <c r="G95" s="38" t="s">
        <v>1095</v>
      </c>
      <c r="H95" s="38" t="s">
        <v>1173</v>
      </c>
      <c r="I95" s="18" t="s">
        <v>107</v>
      </c>
      <c r="J95" s="19">
        <v>2779530</v>
      </c>
      <c r="K95" s="19"/>
      <c r="L95" s="303">
        <f t="shared" si="8"/>
        <v>2779530</v>
      </c>
    </row>
    <row r="96" spans="1:12" s="302" customFormat="1" ht="31.5" x14ac:dyDescent="0.25">
      <c r="A96" s="23" t="s">
        <v>98</v>
      </c>
      <c r="B96" s="23" t="s">
        <v>78</v>
      </c>
      <c r="C96" s="23" t="s">
        <v>21</v>
      </c>
      <c r="D96" s="23" t="s">
        <v>1076</v>
      </c>
      <c r="E96" s="23" t="s">
        <v>102</v>
      </c>
      <c r="F96" s="23" t="s">
        <v>28</v>
      </c>
      <c r="G96" s="29" t="s">
        <v>1099</v>
      </c>
      <c r="H96" s="29" t="s">
        <v>1173</v>
      </c>
      <c r="I96" s="18" t="s">
        <v>108</v>
      </c>
      <c r="J96" s="19">
        <v>16450279</v>
      </c>
      <c r="K96" s="19"/>
      <c r="L96" s="303">
        <f t="shared" si="8"/>
        <v>16450279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1100</v>
      </c>
      <c r="H97" s="29" t="s">
        <v>1173</v>
      </c>
      <c r="I97" s="18" t="s">
        <v>109</v>
      </c>
      <c r="J97" s="19">
        <v>4315658</v>
      </c>
      <c r="K97" s="19"/>
      <c r="L97" s="303">
        <f t="shared" si="8"/>
        <v>4315658</v>
      </c>
    </row>
    <row r="98" spans="1:12" s="36" customFormat="1" ht="31.5" x14ac:dyDescent="0.25">
      <c r="A98" s="23" t="s">
        <v>37</v>
      </c>
      <c r="B98" s="23" t="s">
        <v>78</v>
      </c>
      <c r="C98" s="23" t="s">
        <v>21</v>
      </c>
      <c r="D98" s="23" t="s">
        <v>1076</v>
      </c>
      <c r="E98" s="23" t="s">
        <v>102</v>
      </c>
      <c r="F98" s="23" t="s">
        <v>28</v>
      </c>
      <c r="G98" s="29" t="s">
        <v>1101</v>
      </c>
      <c r="H98" s="29" t="s">
        <v>1173</v>
      </c>
      <c r="I98" s="18" t="s">
        <v>110</v>
      </c>
      <c r="J98" s="19">
        <v>487448</v>
      </c>
      <c r="K98" s="19"/>
      <c r="L98" s="303">
        <f t="shared" si="8"/>
        <v>487448</v>
      </c>
    </row>
    <row r="99" spans="1:12" s="36" customFormat="1" ht="31.5" x14ac:dyDescent="0.25">
      <c r="A99" s="23" t="s">
        <v>94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1112</v>
      </c>
      <c r="H99" s="29" t="s">
        <v>1173</v>
      </c>
      <c r="I99" s="18" t="s">
        <v>118</v>
      </c>
      <c r="J99" s="19">
        <v>24933</v>
      </c>
      <c r="K99" s="19"/>
      <c r="L99" s="303">
        <f t="shared" si="8"/>
        <v>24933</v>
      </c>
    </row>
    <row r="100" spans="1:12" s="338" customFormat="1" ht="63" x14ac:dyDescent="0.25">
      <c r="A100" s="23" t="s">
        <v>98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1142</v>
      </c>
      <c r="H100" s="29" t="s">
        <v>1173</v>
      </c>
      <c r="I100" s="18" t="s">
        <v>1399</v>
      </c>
      <c r="J100" s="19">
        <v>620000</v>
      </c>
      <c r="K100" s="19"/>
      <c r="L100" s="303">
        <f t="shared" si="8"/>
        <v>620000</v>
      </c>
    </row>
    <row r="101" spans="1:12" s="338" customFormat="1" ht="63" x14ac:dyDescent="0.25">
      <c r="A101" s="23" t="s">
        <v>98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1143</v>
      </c>
      <c r="H101" s="29" t="s">
        <v>1173</v>
      </c>
      <c r="I101" s="18" t="s">
        <v>1182</v>
      </c>
      <c r="J101" s="19">
        <v>30317</v>
      </c>
      <c r="K101" s="19"/>
      <c r="L101" s="303">
        <f t="shared" si="8"/>
        <v>30317</v>
      </c>
    </row>
    <row r="102" spans="1:12" s="355" customFormat="1" ht="47.25" x14ac:dyDescent="0.25">
      <c r="A102" s="312" t="s">
        <v>98</v>
      </c>
      <c r="B102" s="312" t="s">
        <v>78</v>
      </c>
      <c r="C102" s="312" t="s">
        <v>21</v>
      </c>
      <c r="D102" s="312" t="s">
        <v>1076</v>
      </c>
      <c r="E102" s="312" t="s">
        <v>102</v>
      </c>
      <c r="F102" s="312" t="s">
        <v>28</v>
      </c>
      <c r="G102" s="324" t="s">
        <v>1526</v>
      </c>
      <c r="H102" s="324" t="s">
        <v>1173</v>
      </c>
      <c r="I102" s="301" t="s">
        <v>1555</v>
      </c>
      <c r="J102" s="321">
        <v>257038</v>
      </c>
      <c r="K102" s="321"/>
      <c r="L102" s="746">
        <f t="shared" si="8"/>
        <v>257038</v>
      </c>
    </row>
    <row r="103" spans="1:12" s="355" customFormat="1" ht="47.25" x14ac:dyDescent="0.25">
      <c r="A103" s="23" t="s">
        <v>98</v>
      </c>
      <c r="B103" s="23" t="s">
        <v>78</v>
      </c>
      <c r="C103" s="23" t="s">
        <v>21</v>
      </c>
      <c r="D103" s="23" t="s">
        <v>1076</v>
      </c>
      <c r="E103" s="23" t="s">
        <v>102</v>
      </c>
      <c r="F103" s="23" t="s">
        <v>28</v>
      </c>
      <c r="G103" s="29" t="s">
        <v>1505</v>
      </c>
      <c r="H103" s="29" t="s">
        <v>1173</v>
      </c>
      <c r="I103" s="747" t="s">
        <v>1506</v>
      </c>
      <c r="J103" s="19">
        <v>1625852</v>
      </c>
      <c r="K103" s="19"/>
      <c r="L103" s="303">
        <f t="shared" si="8"/>
        <v>1625852</v>
      </c>
    </row>
    <row r="104" spans="1:12" s="338" customFormat="1" ht="47.25" x14ac:dyDescent="0.25">
      <c r="A104" s="23" t="s">
        <v>98</v>
      </c>
      <c r="B104" s="23" t="s">
        <v>78</v>
      </c>
      <c r="C104" s="23" t="s">
        <v>21</v>
      </c>
      <c r="D104" s="23" t="s">
        <v>1072</v>
      </c>
      <c r="E104" s="23" t="s">
        <v>1141</v>
      </c>
      <c r="F104" s="23" t="s">
        <v>28</v>
      </c>
      <c r="G104" s="29" t="s">
        <v>17</v>
      </c>
      <c r="H104" s="29" t="s">
        <v>1173</v>
      </c>
      <c r="I104" s="18" t="s">
        <v>1401</v>
      </c>
      <c r="J104" s="19">
        <v>47017152</v>
      </c>
      <c r="K104" s="19"/>
      <c r="L104" s="303">
        <f t="shared" si="8"/>
        <v>47017152</v>
      </c>
    </row>
    <row r="105" spans="1:12" s="338" customFormat="1" ht="63" x14ac:dyDescent="0.25">
      <c r="A105" s="23" t="s">
        <v>37</v>
      </c>
      <c r="B105" s="23" t="s">
        <v>78</v>
      </c>
      <c r="C105" s="23" t="s">
        <v>21</v>
      </c>
      <c r="D105" s="23" t="s">
        <v>1072</v>
      </c>
      <c r="E105" s="23" t="s">
        <v>46</v>
      </c>
      <c r="F105" s="23" t="s">
        <v>28</v>
      </c>
      <c r="G105" s="29" t="s">
        <v>17</v>
      </c>
      <c r="H105" s="29" t="s">
        <v>1173</v>
      </c>
      <c r="I105" s="18" t="s">
        <v>1083</v>
      </c>
      <c r="J105" s="19">
        <v>51506</v>
      </c>
      <c r="K105" s="19"/>
      <c r="L105" s="303">
        <f t="shared" si="8"/>
        <v>51506</v>
      </c>
    </row>
    <row r="106" spans="1:12" s="302" customFormat="1" ht="53.25" customHeight="1" x14ac:dyDescent="0.25">
      <c r="A106" s="23" t="s">
        <v>98</v>
      </c>
      <c r="B106" s="23" t="s">
        <v>78</v>
      </c>
      <c r="C106" s="23" t="s">
        <v>21</v>
      </c>
      <c r="D106" s="23" t="s">
        <v>1072</v>
      </c>
      <c r="E106" s="23" t="s">
        <v>1074</v>
      </c>
      <c r="F106" s="23" t="s">
        <v>28</v>
      </c>
      <c r="G106" s="29" t="s">
        <v>17</v>
      </c>
      <c r="H106" s="29" t="s">
        <v>1173</v>
      </c>
      <c r="I106" s="18" t="s">
        <v>1648</v>
      </c>
      <c r="J106" s="19">
        <v>6425042</v>
      </c>
      <c r="K106" s="914">
        <f>14520+79590</f>
        <v>94110</v>
      </c>
      <c r="L106" s="303">
        <f t="shared" si="8"/>
        <v>6519152</v>
      </c>
    </row>
    <row r="107" spans="1:12" s="302" customFormat="1" ht="31.5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1073</v>
      </c>
      <c r="F107" s="23" t="s">
        <v>28</v>
      </c>
      <c r="G107" s="29" t="s">
        <v>17</v>
      </c>
      <c r="H107" s="29" t="s">
        <v>1173</v>
      </c>
      <c r="I107" s="747" t="s">
        <v>1649</v>
      </c>
      <c r="J107" s="19">
        <v>40985534</v>
      </c>
      <c r="K107" s="19">
        <v>-7000000</v>
      </c>
      <c r="L107" s="303">
        <f t="shared" si="8"/>
        <v>33985534</v>
      </c>
    </row>
    <row r="108" spans="1:12" s="355" customFormat="1" ht="47.25" x14ac:dyDescent="0.25">
      <c r="A108" s="23" t="s">
        <v>98</v>
      </c>
      <c r="B108" s="23" t="s">
        <v>78</v>
      </c>
      <c r="C108" s="23" t="s">
        <v>21</v>
      </c>
      <c r="D108" s="23" t="s">
        <v>1072</v>
      </c>
      <c r="E108" s="23" t="s">
        <v>1507</v>
      </c>
      <c r="F108" s="23" t="s">
        <v>28</v>
      </c>
      <c r="G108" s="29" t="s">
        <v>17</v>
      </c>
      <c r="H108" s="29" t="s">
        <v>1173</v>
      </c>
      <c r="I108" s="747" t="s">
        <v>1508</v>
      </c>
      <c r="J108" s="19">
        <v>127071678</v>
      </c>
      <c r="K108" s="19"/>
      <c r="L108" s="303">
        <f t="shared" ref="L108:L147" si="9">SUM(J108:K108)</f>
        <v>127071678</v>
      </c>
    </row>
    <row r="109" spans="1:12" s="355" customFormat="1" ht="63" x14ac:dyDescent="0.25">
      <c r="A109" s="23" t="s">
        <v>94</v>
      </c>
      <c r="B109" s="23" t="s">
        <v>78</v>
      </c>
      <c r="C109" s="23" t="s">
        <v>21</v>
      </c>
      <c r="D109" s="23" t="s">
        <v>1072</v>
      </c>
      <c r="E109" s="23" t="s">
        <v>1509</v>
      </c>
      <c r="F109" s="23" t="s">
        <v>28</v>
      </c>
      <c r="G109" s="29" t="s">
        <v>17</v>
      </c>
      <c r="H109" s="29" t="s">
        <v>1173</v>
      </c>
      <c r="I109" s="744" t="s">
        <v>1524</v>
      </c>
      <c r="J109" s="19">
        <v>23201640</v>
      </c>
      <c r="K109" s="19">
        <v>721030</v>
      </c>
      <c r="L109" s="303">
        <f t="shared" si="9"/>
        <v>23922670</v>
      </c>
    </row>
    <row r="110" spans="1:12" s="355" customFormat="1" ht="63" x14ac:dyDescent="0.25">
      <c r="A110" s="23" t="s">
        <v>94</v>
      </c>
      <c r="B110" s="23" t="s">
        <v>78</v>
      </c>
      <c r="C110" s="23" t="s">
        <v>21</v>
      </c>
      <c r="D110" s="23" t="s">
        <v>1072</v>
      </c>
      <c r="E110" s="23" t="s">
        <v>1527</v>
      </c>
      <c r="F110" s="23" t="s">
        <v>28</v>
      </c>
      <c r="G110" s="29" t="s">
        <v>17</v>
      </c>
      <c r="H110" s="29" t="s">
        <v>1173</v>
      </c>
      <c r="I110" s="747" t="s">
        <v>1528</v>
      </c>
      <c r="J110" s="19">
        <v>29653021</v>
      </c>
      <c r="K110" s="19"/>
      <c r="L110" s="303">
        <f t="shared" si="9"/>
        <v>29653021</v>
      </c>
    </row>
    <row r="111" spans="1:12" s="36" customFormat="1" ht="47.25" x14ac:dyDescent="0.25">
      <c r="A111" s="763" t="s">
        <v>98</v>
      </c>
      <c r="B111" s="763" t="s">
        <v>78</v>
      </c>
      <c r="C111" s="763" t="s">
        <v>21</v>
      </c>
      <c r="D111" s="763" t="s">
        <v>1072</v>
      </c>
      <c r="E111" s="763" t="s">
        <v>1556</v>
      </c>
      <c r="F111" s="763" t="s">
        <v>28</v>
      </c>
      <c r="G111" s="764" t="s">
        <v>17</v>
      </c>
      <c r="H111" s="764" t="s">
        <v>1173</v>
      </c>
      <c r="I111" s="765" t="s">
        <v>1525</v>
      </c>
      <c r="J111" s="766">
        <v>17135868</v>
      </c>
      <c r="K111" s="766">
        <v>-1438907</v>
      </c>
      <c r="L111" s="303">
        <f t="shared" si="9"/>
        <v>15696961</v>
      </c>
    </row>
    <row r="112" spans="1:12" s="36" customFormat="1" ht="47.25" x14ac:dyDescent="0.25">
      <c r="A112" s="31" t="s">
        <v>98</v>
      </c>
      <c r="B112" s="31" t="s">
        <v>78</v>
      </c>
      <c r="C112" s="31" t="s">
        <v>21</v>
      </c>
      <c r="D112" s="31" t="s">
        <v>1072</v>
      </c>
      <c r="E112" s="31" t="s">
        <v>1078</v>
      </c>
      <c r="F112" s="31" t="s">
        <v>28</v>
      </c>
      <c r="G112" s="39" t="s">
        <v>17</v>
      </c>
      <c r="H112" s="39" t="s">
        <v>1173</v>
      </c>
      <c r="I112" s="33" t="s">
        <v>124</v>
      </c>
      <c r="J112" s="19">
        <v>1761596</v>
      </c>
      <c r="K112" s="19"/>
      <c r="L112" s="303">
        <f>SUM(J112:K112)</f>
        <v>1761596</v>
      </c>
    </row>
    <row r="113" spans="1:13" s="355" customFormat="1" ht="48" customHeight="1" x14ac:dyDescent="0.25">
      <c r="A113" s="31" t="s">
        <v>98</v>
      </c>
      <c r="B113" s="31" t="s">
        <v>78</v>
      </c>
      <c r="C113" s="31" t="s">
        <v>21</v>
      </c>
      <c r="D113" s="31" t="s">
        <v>1072</v>
      </c>
      <c r="E113" s="31" t="s">
        <v>1179</v>
      </c>
      <c r="F113" s="31" t="s">
        <v>28</v>
      </c>
      <c r="G113" s="39" t="s">
        <v>17</v>
      </c>
      <c r="H113" s="39" t="s">
        <v>1173</v>
      </c>
      <c r="I113" s="33" t="s">
        <v>1180</v>
      </c>
      <c r="J113" s="19">
        <v>50979068</v>
      </c>
      <c r="K113" s="19"/>
      <c r="L113" s="303">
        <f t="shared" ref="L113:L114" si="10">SUM(J113:K113)</f>
        <v>50979068</v>
      </c>
    </row>
    <row r="114" spans="1:13" s="338" customFormat="1" ht="31.5" x14ac:dyDescent="0.25">
      <c r="A114" s="31" t="s">
        <v>37</v>
      </c>
      <c r="B114" s="31" t="s">
        <v>78</v>
      </c>
      <c r="C114" s="31" t="s">
        <v>21</v>
      </c>
      <c r="D114" s="31" t="s">
        <v>1072</v>
      </c>
      <c r="E114" s="31" t="s">
        <v>1144</v>
      </c>
      <c r="F114" s="31" t="s">
        <v>28</v>
      </c>
      <c r="G114" s="39" t="s">
        <v>17</v>
      </c>
      <c r="H114" s="39" t="s">
        <v>1173</v>
      </c>
      <c r="I114" s="33" t="s">
        <v>1082</v>
      </c>
      <c r="J114" s="19">
        <v>2674267</v>
      </c>
      <c r="K114" s="19"/>
      <c r="L114" s="303">
        <f t="shared" si="10"/>
        <v>2674267</v>
      </c>
    </row>
    <row r="115" spans="1:13" s="36" customFormat="1" ht="15.75" x14ac:dyDescent="0.25">
      <c r="A115" s="20" t="s">
        <v>14</v>
      </c>
      <c r="B115" s="20" t="s">
        <v>78</v>
      </c>
      <c r="C115" s="20" t="s">
        <v>21</v>
      </c>
      <c r="D115" s="20" t="s">
        <v>1081</v>
      </c>
      <c r="E115" s="20" t="s">
        <v>14</v>
      </c>
      <c r="F115" s="20" t="s">
        <v>16</v>
      </c>
      <c r="G115" s="27" t="s">
        <v>17</v>
      </c>
      <c r="H115" s="27" t="s">
        <v>1173</v>
      </c>
      <c r="I115" s="28" t="s">
        <v>126</v>
      </c>
      <c r="J115" s="22">
        <v>421697606</v>
      </c>
      <c r="K115" s="22">
        <f>K116+K137+K139</f>
        <v>59321172</v>
      </c>
      <c r="L115" s="22">
        <f>J115+K115</f>
        <v>481018778</v>
      </c>
    </row>
    <row r="116" spans="1:13" s="355" customFormat="1" ht="78.75" x14ac:dyDescent="0.25">
      <c r="A116" s="786" t="s">
        <v>14</v>
      </c>
      <c r="B116" s="786" t="s">
        <v>78</v>
      </c>
      <c r="C116" s="786" t="s">
        <v>21</v>
      </c>
      <c r="D116" s="786" t="s">
        <v>1081</v>
      </c>
      <c r="E116" s="786" t="s">
        <v>128</v>
      </c>
      <c r="F116" s="786" t="s">
        <v>28</v>
      </c>
      <c r="G116" s="787" t="s">
        <v>17</v>
      </c>
      <c r="H116" s="787" t="s">
        <v>1173</v>
      </c>
      <c r="I116" s="788" t="s">
        <v>1593</v>
      </c>
      <c r="J116" s="789">
        <v>404102516</v>
      </c>
      <c r="K116" s="789">
        <f>K117+K118+K119+K120+K121+K122+K123+K124+K125+K126+K127+K128+K129+K130+K131+K132+K133+K134+K135+K136</f>
        <v>64674589</v>
      </c>
      <c r="L116" s="789">
        <f>J116+K116</f>
        <v>468777105</v>
      </c>
      <c r="M116" s="827"/>
    </row>
    <row r="117" spans="1:13" s="355" customFormat="1" ht="36" customHeight="1" x14ac:dyDescent="0.25">
      <c r="A117" s="23" t="s">
        <v>83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764" t="s">
        <v>1650</v>
      </c>
      <c r="H117" s="29" t="s">
        <v>1173</v>
      </c>
      <c r="I117" s="604" t="s">
        <v>1651</v>
      </c>
      <c r="J117" s="19">
        <v>22445627</v>
      </c>
      <c r="K117" s="321">
        <v>10981</v>
      </c>
      <c r="L117" s="303">
        <f t="shared" si="9"/>
        <v>22456608</v>
      </c>
    </row>
    <row r="118" spans="1:13" s="355" customFormat="1" ht="47.25" x14ac:dyDescent="0.25">
      <c r="A118" s="23" t="s">
        <v>45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1716</v>
      </c>
      <c r="H118" s="29" t="s">
        <v>1173</v>
      </c>
      <c r="I118" s="604" t="s">
        <v>1734</v>
      </c>
      <c r="J118" s="19">
        <v>2173360</v>
      </c>
      <c r="K118" s="19">
        <f>-70000+150000-80000-449060</f>
        <v>-449060</v>
      </c>
      <c r="L118" s="303">
        <f t="shared" si="9"/>
        <v>1724300</v>
      </c>
    </row>
    <row r="119" spans="1:13" s="35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1717</v>
      </c>
      <c r="H119" s="29" t="s">
        <v>1173</v>
      </c>
      <c r="I119" s="785" t="s">
        <v>1735</v>
      </c>
      <c r="J119" s="19">
        <v>3300000</v>
      </c>
      <c r="K119" s="19">
        <v>-100000</v>
      </c>
      <c r="L119" s="303">
        <f t="shared" si="9"/>
        <v>3200000</v>
      </c>
    </row>
    <row r="120" spans="1:13" s="355" customFormat="1" ht="31.5" x14ac:dyDescent="0.25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1718</v>
      </c>
      <c r="H120" s="29" t="s">
        <v>1173</v>
      </c>
      <c r="I120" s="678" t="s">
        <v>1736</v>
      </c>
      <c r="J120" s="19">
        <v>130670649</v>
      </c>
      <c r="K120" s="773">
        <f>-413030+400000+13030-2100000+730025+3016000+57300000</f>
        <v>58946025</v>
      </c>
      <c r="L120" s="303">
        <f t="shared" si="9"/>
        <v>189616674</v>
      </c>
    </row>
    <row r="121" spans="1:13" s="355" customFormat="1" ht="47.25" x14ac:dyDescent="0.25">
      <c r="A121" s="23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1719</v>
      </c>
      <c r="H121" s="29" t="s">
        <v>1173</v>
      </c>
      <c r="I121" s="785" t="s">
        <v>1737</v>
      </c>
      <c r="J121" s="19">
        <v>8511090</v>
      </c>
      <c r="K121" s="19">
        <v>-1584000</v>
      </c>
      <c r="L121" s="303">
        <f t="shared" si="9"/>
        <v>6927090</v>
      </c>
    </row>
    <row r="122" spans="1:13" s="36" customFormat="1" ht="31.5" x14ac:dyDescent="0.25">
      <c r="A122" s="23" t="s">
        <v>37</v>
      </c>
      <c r="B122" s="23" t="s">
        <v>88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1720</v>
      </c>
      <c r="H122" s="29" t="s">
        <v>1173</v>
      </c>
      <c r="I122" s="677" t="s">
        <v>1738</v>
      </c>
      <c r="J122" s="40">
        <v>3165246</v>
      </c>
      <c r="K122" s="40">
        <v>1000000</v>
      </c>
      <c r="L122" s="303">
        <f t="shared" si="9"/>
        <v>4165246</v>
      </c>
    </row>
    <row r="123" spans="1:13" s="36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1721</v>
      </c>
      <c r="H123" s="29" t="s">
        <v>1173</v>
      </c>
      <c r="I123" s="18" t="s">
        <v>1739</v>
      </c>
      <c r="J123" s="303">
        <v>199200</v>
      </c>
      <c r="K123" s="40">
        <v>161883</v>
      </c>
      <c r="L123" s="303">
        <f t="shared" si="9"/>
        <v>361083</v>
      </c>
    </row>
    <row r="124" spans="1:13" s="355" customFormat="1" ht="47.25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1722</v>
      </c>
      <c r="H124" s="29" t="s">
        <v>1173</v>
      </c>
      <c r="I124" s="677" t="s">
        <v>1740</v>
      </c>
      <c r="J124" s="303">
        <v>2436196</v>
      </c>
      <c r="K124" s="40">
        <v>-944890</v>
      </c>
      <c r="L124" s="303">
        <f t="shared" si="9"/>
        <v>1491306</v>
      </c>
    </row>
    <row r="125" spans="1:13" s="36" customFormat="1" ht="47.25" x14ac:dyDescent="0.25">
      <c r="A125" s="23" t="s">
        <v>92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1723</v>
      </c>
      <c r="H125" s="29" t="s">
        <v>1173</v>
      </c>
      <c r="I125" s="679" t="s">
        <v>1741</v>
      </c>
      <c r="J125" s="303">
        <v>1644050</v>
      </c>
      <c r="K125" s="40">
        <v>170000</v>
      </c>
      <c r="L125" s="303">
        <f t="shared" si="9"/>
        <v>1814050</v>
      </c>
    </row>
    <row r="126" spans="1:13" s="36" customFormat="1" ht="47.25" x14ac:dyDescent="0.25">
      <c r="A126" s="23" t="s">
        <v>94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1724</v>
      </c>
      <c r="H126" s="29" t="s">
        <v>1173</v>
      </c>
      <c r="I126" s="41" t="s">
        <v>1742</v>
      </c>
      <c r="J126" s="303">
        <v>350000</v>
      </c>
      <c r="K126" s="40"/>
      <c r="L126" s="303">
        <f t="shared" si="9"/>
        <v>350000</v>
      </c>
    </row>
    <row r="127" spans="1:13" s="36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1725</v>
      </c>
      <c r="H127" s="29" t="s">
        <v>1173</v>
      </c>
      <c r="I127" s="18" t="s">
        <v>1743</v>
      </c>
      <c r="J127" s="303">
        <v>41978471</v>
      </c>
      <c r="K127" s="40">
        <f>55475+700000+5832300+298578+941169</f>
        <v>7827522</v>
      </c>
      <c r="L127" s="303">
        <f t="shared" si="9"/>
        <v>49805993</v>
      </c>
    </row>
    <row r="128" spans="1:13" s="36" customFormat="1" ht="31.5" x14ac:dyDescent="0.25">
      <c r="A128" s="23" t="s">
        <v>37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1726</v>
      </c>
      <c r="H128" s="29" t="s">
        <v>1173</v>
      </c>
      <c r="I128" s="18" t="s">
        <v>1744</v>
      </c>
      <c r="J128" s="303">
        <v>131977163</v>
      </c>
      <c r="K128" s="40">
        <v>2910703</v>
      </c>
      <c r="L128" s="303">
        <f t="shared" si="9"/>
        <v>134887866</v>
      </c>
    </row>
    <row r="129" spans="1:12" s="355" customFormat="1" ht="31.5" x14ac:dyDescent="0.25">
      <c r="A129" s="23" t="s">
        <v>37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1745</v>
      </c>
      <c r="H129" s="29" t="s">
        <v>1173</v>
      </c>
      <c r="I129" s="677" t="s">
        <v>1746</v>
      </c>
      <c r="J129" s="303">
        <v>629124</v>
      </c>
      <c r="K129" s="40">
        <v>-10890</v>
      </c>
      <c r="L129" s="303">
        <f t="shared" si="9"/>
        <v>618234</v>
      </c>
    </row>
    <row r="130" spans="1:12" s="355" customFormat="1" ht="47.25" x14ac:dyDescent="0.25">
      <c r="A130" s="433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1727</v>
      </c>
      <c r="H130" s="29" t="s">
        <v>1173</v>
      </c>
      <c r="I130" s="18" t="s">
        <v>1747</v>
      </c>
      <c r="J130" s="303">
        <v>2520000</v>
      </c>
      <c r="K130" s="40"/>
      <c r="L130" s="303">
        <f t="shared" si="9"/>
        <v>2520000</v>
      </c>
    </row>
    <row r="131" spans="1:12" s="355" customFormat="1" ht="31.5" x14ac:dyDescent="0.25">
      <c r="A131" s="433" t="s">
        <v>92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1729</v>
      </c>
      <c r="H131" s="29" t="s">
        <v>1173</v>
      </c>
      <c r="I131" s="876" t="s">
        <v>1748</v>
      </c>
      <c r="J131" s="303">
        <v>180000</v>
      </c>
      <c r="K131" s="40"/>
      <c r="L131" s="303">
        <f t="shared" si="9"/>
        <v>180000</v>
      </c>
    </row>
    <row r="132" spans="1:12" s="36" customFormat="1" ht="33.75" customHeight="1" x14ac:dyDescent="0.25">
      <c r="A132" s="23" t="s">
        <v>37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1728</v>
      </c>
      <c r="H132" s="29" t="s">
        <v>1173</v>
      </c>
      <c r="I132" s="679" t="s">
        <v>1749</v>
      </c>
      <c r="J132" s="303">
        <v>700000</v>
      </c>
      <c r="K132" s="40"/>
      <c r="L132" s="303">
        <f>SUM(J132:K132)</f>
        <v>700000</v>
      </c>
    </row>
    <row r="133" spans="1:12" s="36" customFormat="1" ht="31.5" x14ac:dyDescent="0.25">
      <c r="A133" s="23" t="s">
        <v>92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1730</v>
      </c>
      <c r="H133" s="29" t="s">
        <v>1173</v>
      </c>
      <c r="I133" s="41" t="s">
        <v>1750</v>
      </c>
      <c r="J133" s="303">
        <v>300000</v>
      </c>
      <c r="K133" s="40">
        <v>-170000</v>
      </c>
      <c r="L133" s="303">
        <f t="shared" si="9"/>
        <v>130000</v>
      </c>
    </row>
    <row r="134" spans="1:12" s="36" customFormat="1" ht="33" customHeight="1" x14ac:dyDescent="0.25">
      <c r="A134" s="23" t="s">
        <v>98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1731</v>
      </c>
      <c r="H134" s="29" t="s">
        <v>1173</v>
      </c>
      <c r="I134" s="679" t="s">
        <v>1751</v>
      </c>
      <c r="J134" s="303">
        <v>651000</v>
      </c>
      <c r="K134" s="40">
        <v>-63878</v>
      </c>
      <c r="L134" s="303">
        <f t="shared" si="9"/>
        <v>587122</v>
      </c>
    </row>
    <row r="135" spans="1:12" s="36" customFormat="1" ht="63" x14ac:dyDescent="0.25">
      <c r="A135" s="23" t="s">
        <v>37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1732</v>
      </c>
      <c r="H135" s="29" t="s">
        <v>1173</v>
      </c>
      <c r="I135" s="679" t="s">
        <v>1752</v>
      </c>
      <c r="J135" s="303">
        <v>50097679</v>
      </c>
      <c r="K135" s="40">
        <v>-3079150</v>
      </c>
      <c r="L135" s="303">
        <f t="shared" si="9"/>
        <v>47018529</v>
      </c>
    </row>
    <row r="136" spans="1:12" s="36" customFormat="1" ht="47.25" x14ac:dyDescent="0.25">
      <c r="A136" s="23" t="s">
        <v>37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1733</v>
      </c>
      <c r="H136" s="29" t="s">
        <v>1173</v>
      </c>
      <c r="I136" s="18" t="s">
        <v>1753</v>
      </c>
      <c r="J136" s="303">
        <v>173661</v>
      </c>
      <c r="K136" s="40">
        <v>49343</v>
      </c>
      <c r="L136" s="303">
        <f t="shared" si="9"/>
        <v>223004</v>
      </c>
    </row>
    <row r="137" spans="1:12" s="355" customFormat="1" ht="63" x14ac:dyDescent="0.25">
      <c r="A137" s="786" t="s">
        <v>14</v>
      </c>
      <c r="B137" s="786" t="s">
        <v>78</v>
      </c>
      <c r="C137" s="786" t="s">
        <v>21</v>
      </c>
      <c r="D137" s="786" t="s">
        <v>1309</v>
      </c>
      <c r="E137" s="786" t="s">
        <v>1360</v>
      </c>
      <c r="F137" s="786" t="s">
        <v>28</v>
      </c>
      <c r="G137" s="787" t="s">
        <v>17</v>
      </c>
      <c r="H137" s="787" t="s">
        <v>1173</v>
      </c>
      <c r="I137" s="793" t="s">
        <v>127</v>
      </c>
      <c r="J137" s="790">
        <v>74490</v>
      </c>
      <c r="K137" s="794">
        <f>K138</f>
        <v>0</v>
      </c>
      <c r="L137" s="790">
        <f>J137+K137</f>
        <v>74490</v>
      </c>
    </row>
    <row r="138" spans="1:12" s="355" customFormat="1" ht="63" x14ac:dyDescent="0.25">
      <c r="A138" s="23" t="s">
        <v>83</v>
      </c>
      <c r="B138" s="23" t="s">
        <v>78</v>
      </c>
      <c r="C138" s="23" t="s">
        <v>21</v>
      </c>
      <c r="D138" s="23" t="s">
        <v>1309</v>
      </c>
      <c r="E138" s="23" t="s">
        <v>1360</v>
      </c>
      <c r="F138" s="23" t="s">
        <v>28</v>
      </c>
      <c r="G138" s="29" t="s">
        <v>1361</v>
      </c>
      <c r="H138" s="29" t="s">
        <v>1173</v>
      </c>
      <c r="I138" s="784" t="s">
        <v>1362</v>
      </c>
      <c r="J138" s="303">
        <v>74490</v>
      </c>
      <c r="K138" s="434"/>
      <c r="L138" s="303">
        <f t="shared" si="9"/>
        <v>74490</v>
      </c>
    </row>
    <row r="139" spans="1:12" s="355" customFormat="1" ht="31.5" x14ac:dyDescent="0.25">
      <c r="A139" s="786" t="s">
        <v>14</v>
      </c>
      <c r="B139" s="786" t="s">
        <v>78</v>
      </c>
      <c r="C139" s="786" t="s">
        <v>21</v>
      </c>
      <c r="D139" s="786" t="s">
        <v>1332</v>
      </c>
      <c r="E139" s="786" t="s">
        <v>93</v>
      </c>
      <c r="F139" s="786" t="s">
        <v>28</v>
      </c>
      <c r="G139" s="787" t="s">
        <v>17</v>
      </c>
      <c r="H139" s="787" t="s">
        <v>1173</v>
      </c>
      <c r="I139" s="791" t="s">
        <v>302</v>
      </c>
      <c r="J139" s="792">
        <v>17520600</v>
      </c>
      <c r="K139" s="792">
        <f>K140+K141+K142+K143+K144+K145</f>
        <v>-5353417</v>
      </c>
      <c r="L139" s="792">
        <f>J139+K139</f>
        <v>12167183</v>
      </c>
    </row>
    <row r="140" spans="1:12" s="355" customFormat="1" ht="63" hidden="1" x14ac:dyDescent="0.25">
      <c r="A140" s="23" t="s">
        <v>37</v>
      </c>
      <c r="B140" s="23" t="s">
        <v>78</v>
      </c>
      <c r="C140" s="23" t="s">
        <v>21</v>
      </c>
      <c r="D140" s="23" t="s">
        <v>1332</v>
      </c>
      <c r="E140" s="23" t="s">
        <v>93</v>
      </c>
      <c r="F140" s="23" t="s">
        <v>28</v>
      </c>
      <c r="G140" s="29" t="s">
        <v>1333</v>
      </c>
      <c r="H140" s="29" t="s">
        <v>1173</v>
      </c>
      <c r="I140" s="18" t="s">
        <v>1334</v>
      </c>
      <c r="J140" s="303">
        <v>0</v>
      </c>
      <c r="K140" s="392"/>
      <c r="L140" s="303">
        <f t="shared" si="9"/>
        <v>0</v>
      </c>
    </row>
    <row r="141" spans="1:12" s="355" customFormat="1" ht="63" x14ac:dyDescent="0.25">
      <c r="A141" s="23" t="s">
        <v>98</v>
      </c>
      <c r="B141" s="23" t="s">
        <v>78</v>
      </c>
      <c r="C141" s="23" t="s">
        <v>21</v>
      </c>
      <c r="D141" s="23" t="s">
        <v>1332</v>
      </c>
      <c r="E141" s="23" t="s">
        <v>93</v>
      </c>
      <c r="F141" s="23" t="s">
        <v>28</v>
      </c>
      <c r="G141" s="29" t="s">
        <v>1510</v>
      </c>
      <c r="H141" s="29" t="s">
        <v>1173</v>
      </c>
      <c r="I141" s="688" t="s">
        <v>1511</v>
      </c>
      <c r="J141" s="303">
        <v>259000</v>
      </c>
      <c r="K141" s="392">
        <v>74000</v>
      </c>
      <c r="L141" s="303">
        <f t="shared" si="9"/>
        <v>333000</v>
      </c>
    </row>
    <row r="142" spans="1:12" s="355" customFormat="1" ht="31.5" x14ac:dyDescent="0.25">
      <c r="A142" s="23" t="s">
        <v>94</v>
      </c>
      <c r="B142" s="23" t="s">
        <v>78</v>
      </c>
      <c r="C142" s="23" t="s">
        <v>21</v>
      </c>
      <c r="D142" s="23" t="s">
        <v>1332</v>
      </c>
      <c r="E142" s="23" t="s">
        <v>93</v>
      </c>
      <c r="F142" s="23" t="s">
        <v>28</v>
      </c>
      <c r="G142" s="29" t="s">
        <v>1592</v>
      </c>
      <c r="H142" s="29" t="s">
        <v>1173</v>
      </c>
      <c r="I142" s="784" t="s">
        <v>1597</v>
      </c>
      <c r="J142" s="872">
        <v>1000000</v>
      </c>
      <c r="K142" s="392"/>
      <c r="L142" s="303">
        <f t="shared" si="9"/>
        <v>1000000</v>
      </c>
    </row>
    <row r="143" spans="1:12" s="355" customFormat="1" ht="31.5" x14ac:dyDescent="0.25">
      <c r="A143" s="23" t="s">
        <v>45</v>
      </c>
      <c r="B143" s="23" t="s">
        <v>78</v>
      </c>
      <c r="C143" s="23" t="s">
        <v>21</v>
      </c>
      <c r="D143" s="23" t="s">
        <v>1332</v>
      </c>
      <c r="E143" s="23" t="s">
        <v>93</v>
      </c>
      <c r="F143" s="23" t="s">
        <v>28</v>
      </c>
      <c r="G143" s="29" t="s">
        <v>1714</v>
      </c>
      <c r="H143" s="29" t="s">
        <v>1173</v>
      </c>
      <c r="I143" s="873" t="s">
        <v>1715</v>
      </c>
      <c r="J143" s="872">
        <v>7555640</v>
      </c>
      <c r="K143" s="392">
        <v>-5427417</v>
      </c>
      <c r="L143" s="303">
        <f t="shared" si="9"/>
        <v>2128223</v>
      </c>
    </row>
    <row r="144" spans="1:12" s="355" customFormat="1" ht="63" x14ac:dyDescent="0.25">
      <c r="A144" s="23" t="s">
        <v>92</v>
      </c>
      <c r="B144" s="23" t="s">
        <v>78</v>
      </c>
      <c r="C144" s="23" t="s">
        <v>21</v>
      </c>
      <c r="D144" s="23" t="s">
        <v>1332</v>
      </c>
      <c r="E144" s="23" t="s">
        <v>93</v>
      </c>
      <c r="F144" s="23" t="s">
        <v>28</v>
      </c>
      <c r="G144" s="29" t="s">
        <v>1775</v>
      </c>
      <c r="H144" s="29" t="s">
        <v>1173</v>
      </c>
      <c r="I144" s="892" t="s">
        <v>1777</v>
      </c>
      <c r="J144" s="872">
        <v>900000</v>
      </c>
      <c r="K144" s="392"/>
      <c r="L144" s="303">
        <f t="shared" si="9"/>
        <v>900000</v>
      </c>
    </row>
    <row r="145" spans="1:12" s="355" customFormat="1" ht="63" x14ac:dyDescent="0.25">
      <c r="A145" s="23" t="s">
        <v>94</v>
      </c>
      <c r="B145" s="23" t="s">
        <v>78</v>
      </c>
      <c r="C145" s="23" t="s">
        <v>21</v>
      </c>
      <c r="D145" s="23" t="s">
        <v>1332</v>
      </c>
      <c r="E145" s="23" t="s">
        <v>93</v>
      </c>
      <c r="F145" s="23" t="s">
        <v>28</v>
      </c>
      <c r="G145" s="29" t="s">
        <v>1776</v>
      </c>
      <c r="H145" s="29" t="s">
        <v>1173</v>
      </c>
      <c r="I145" s="892" t="s">
        <v>1778</v>
      </c>
      <c r="J145" s="872">
        <v>7805960</v>
      </c>
      <c r="K145" s="392"/>
      <c r="L145" s="303">
        <f t="shared" si="9"/>
        <v>7805960</v>
      </c>
    </row>
    <row r="146" spans="1:12" s="355" customFormat="1" ht="15.75" x14ac:dyDescent="0.25">
      <c r="A146" s="20" t="s">
        <v>14</v>
      </c>
      <c r="B146" s="20" t="s">
        <v>78</v>
      </c>
      <c r="C146" s="20" t="s">
        <v>38</v>
      </c>
      <c r="D146" s="20" t="s">
        <v>16</v>
      </c>
      <c r="E146" s="20" t="s">
        <v>14</v>
      </c>
      <c r="F146" s="20" t="s">
        <v>16</v>
      </c>
      <c r="G146" s="27" t="s">
        <v>17</v>
      </c>
      <c r="H146" s="27" t="s">
        <v>14</v>
      </c>
      <c r="I146" s="14" t="s">
        <v>1363</v>
      </c>
      <c r="J146" s="870">
        <v>6000000</v>
      </c>
      <c r="K146" s="870">
        <f>K147</f>
        <v>0</v>
      </c>
      <c r="L146" s="15">
        <f>J146+K146</f>
        <v>6000000</v>
      </c>
    </row>
    <row r="147" spans="1:12" s="355" customFormat="1" ht="31.5" x14ac:dyDescent="0.25">
      <c r="A147" s="23" t="s">
        <v>37</v>
      </c>
      <c r="B147" s="23" t="s">
        <v>78</v>
      </c>
      <c r="C147" s="23" t="s">
        <v>38</v>
      </c>
      <c r="D147" s="23" t="s">
        <v>28</v>
      </c>
      <c r="E147" s="23" t="s">
        <v>1364</v>
      </c>
      <c r="F147" s="23" t="s">
        <v>28</v>
      </c>
      <c r="G147" s="29" t="s">
        <v>17</v>
      </c>
      <c r="H147" s="29" t="s">
        <v>1173</v>
      </c>
      <c r="I147" s="18" t="s">
        <v>1365</v>
      </c>
      <c r="J147" s="303">
        <v>6000000</v>
      </c>
      <c r="K147" s="871"/>
      <c r="L147" s="303">
        <f t="shared" si="9"/>
        <v>6000000</v>
      </c>
    </row>
    <row r="148" spans="1:12" s="36" customFormat="1" ht="15.75" x14ac:dyDescent="0.25">
      <c r="A148" s="23"/>
      <c r="B148" s="23"/>
      <c r="C148" s="23"/>
      <c r="D148" s="23"/>
      <c r="E148" s="23"/>
      <c r="F148" s="23"/>
      <c r="G148" s="29"/>
      <c r="H148" s="29"/>
      <c r="I148" s="14" t="s">
        <v>129</v>
      </c>
      <c r="J148" s="22">
        <v>2692369759</v>
      </c>
      <c r="K148" s="22">
        <f>K11+K45</f>
        <v>49972153</v>
      </c>
      <c r="L148" s="22">
        <f>L11+L45</f>
        <v>2742341912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2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3"/>
  <sheetViews>
    <sheetView showGridLines="0" view="pageBreakPreview" zoomScaleSheetLayoutView="100" workbookViewId="0">
      <selection activeCell="C5" sqref="C5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7109375" style="762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920" t="s">
        <v>281</v>
      </c>
      <c r="B1" s="920"/>
      <c r="C1" s="920"/>
      <c r="D1" s="920"/>
      <c r="E1" s="920"/>
      <c r="F1" s="920"/>
      <c r="G1" s="920"/>
      <c r="H1" s="920"/>
      <c r="I1" s="920"/>
    </row>
    <row r="2" spans="1:9" x14ac:dyDescent="0.25">
      <c r="A2" s="920" t="s">
        <v>1</v>
      </c>
      <c r="B2" s="920"/>
      <c r="C2" s="920"/>
      <c r="D2" s="920"/>
      <c r="E2" s="920"/>
      <c r="F2" s="920"/>
      <c r="G2" s="920"/>
      <c r="H2" s="920"/>
      <c r="I2" s="920"/>
    </row>
    <row r="3" spans="1:9" x14ac:dyDescent="0.25">
      <c r="A3" s="920" t="s">
        <v>2</v>
      </c>
      <c r="B3" s="920"/>
      <c r="C3" s="920"/>
      <c r="D3" s="920"/>
      <c r="E3" s="920"/>
      <c r="F3" s="920"/>
      <c r="G3" s="920"/>
      <c r="H3" s="920"/>
      <c r="I3" s="920"/>
    </row>
    <row r="4" spans="1:9" x14ac:dyDescent="0.25">
      <c r="A4" s="920" t="s">
        <v>1790</v>
      </c>
      <c r="B4" s="920"/>
      <c r="C4" s="920"/>
      <c r="D4" s="920"/>
      <c r="E4" s="920"/>
      <c r="F4" s="920"/>
      <c r="G4" s="920"/>
      <c r="H4" s="920"/>
      <c r="I4" s="920"/>
    </row>
    <row r="5" spans="1:9" x14ac:dyDescent="0.25">
      <c r="B5" s="101"/>
      <c r="C5" s="101"/>
      <c r="D5" s="102"/>
      <c r="E5" s="103"/>
      <c r="F5" s="101"/>
    </row>
    <row r="6" spans="1:9" x14ac:dyDescent="0.25">
      <c r="A6" s="990" t="s">
        <v>1634</v>
      </c>
      <c r="B6" s="990"/>
      <c r="C6" s="990"/>
      <c r="D6" s="990"/>
      <c r="E6" s="990"/>
      <c r="F6" s="990"/>
      <c r="G6" s="990"/>
      <c r="H6" s="990"/>
      <c r="I6" s="990"/>
    </row>
    <row r="7" spans="1:9" ht="22.7" customHeight="1" x14ac:dyDescent="0.3">
      <c r="A7" s="777"/>
      <c r="B7" s="104"/>
      <c r="C7" s="104"/>
      <c r="D7" s="104"/>
      <c r="E7" s="104"/>
      <c r="F7" s="104"/>
    </row>
    <row r="8" spans="1:9" x14ac:dyDescent="0.25">
      <c r="A8" s="992" t="s">
        <v>139</v>
      </c>
      <c r="B8" s="993" t="s">
        <v>303</v>
      </c>
      <c r="C8" s="993" t="s">
        <v>304</v>
      </c>
      <c r="D8" s="994" t="s">
        <v>305</v>
      </c>
      <c r="E8" s="994"/>
      <c r="F8" s="993" t="s">
        <v>306</v>
      </c>
      <c r="G8" s="991" t="s">
        <v>140</v>
      </c>
      <c r="H8" s="988" t="s">
        <v>140</v>
      </c>
      <c r="I8" s="989" t="s">
        <v>140</v>
      </c>
    </row>
    <row r="9" spans="1:9" s="105" customFormat="1" x14ac:dyDescent="0.2">
      <c r="A9" s="992"/>
      <c r="B9" s="993"/>
      <c r="C9" s="993"/>
      <c r="D9" s="493" t="s">
        <v>307</v>
      </c>
      <c r="E9" s="494" t="s">
        <v>308</v>
      </c>
      <c r="F9" s="993"/>
      <c r="G9" s="991"/>
      <c r="H9" s="988"/>
      <c r="I9" s="989"/>
    </row>
    <row r="10" spans="1:9" s="106" customFormat="1" ht="31.5" x14ac:dyDescent="0.25">
      <c r="A10" s="778" t="str">
        <f>IF(B10&gt;0,VLOOKUP(B10,КВСР!A1:B1166,2),IF(C10&gt;0,VLOOKUP(C10,КФСР!A1:B1513,2),IF(D10&gt;0,VLOOKUP(D10,Программа!A$1:B$5124,2),IF(F10&gt;0,VLOOKUP(F10,КВР!A$1:B$5001,2),IF(E10&gt;0,VLOOKUP(E10,Направление!A$1:B$4812,2))))))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68">
        <v>627958382.02999997</v>
      </c>
      <c r="H10" s="329">
        <f>H11+H15+H25+H29+H33+H137+H148+H219+H244+H377+H353+H129+H158+H373+H236+H297+H391+H363</f>
        <v>63311610</v>
      </c>
      <c r="I10" s="368">
        <f>I11+I15+I25+I29+I33+I137+I148+I219+I244+I377+I353+I129+I158+I373+I236+I297+I391+I363</f>
        <v>691269992.02999997</v>
      </c>
    </row>
    <row r="11" spans="1:9" s="106" customFormat="1" ht="63" x14ac:dyDescent="0.25">
      <c r="A11" s="779" t="str">
        <f>IF(B11&gt;0,VLOOKUP(B11,КВСР!A2:B1167,2),IF(C11&gt;0,VLOOKUP(C11,КФСР!A2:B1514,2),IF(D11&gt;0,VLOOKUP(D11,Программа!A$1:B$5124,2),IF(F11&gt;0,VLOOKUP(F11,КВР!A$1:B$5001,2),IF(E11&gt;0,VLOOKUP(E11,Направление!A$1:B$4812,2))))))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6">
        <v>2473872</v>
      </c>
      <c r="H11" s="275">
        <f t="shared" ref="H11:I13" si="0">H12</f>
        <v>0</v>
      </c>
      <c r="I11" s="275">
        <f t="shared" si="0"/>
        <v>2473872</v>
      </c>
    </row>
    <row r="12" spans="1:9" s="106" customFormat="1" x14ac:dyDescent="0.25">
      <c r="A12" s="779" t="str">
        <f>IF(B12&gt;0,VLOOKUP(B12,КВСР!A3:B1168,2),IF(C12&gt;0,VLOOKUP(C12,КФСР!A3:B1515,2),IF(D12&gt;0,VLOOKUP(D12,Программа!A$1:B$5124,2),IF(F12&gt;0,VLOOKUP(F12,КВР!A$1:B$5001,2),IF(E12&gt;0,VLOOKUP(E12,Направление!A$1:B$4812,2))))))</f>
        <v>Непрограммные расходы бюджета</v>
      </c>
      <c r="B12" s="114"/>
      <c r="C12" s="109"/>
      <c r="D12" s="110" t="s">
        <v>311</v>
      </c>
      <c r="E12" s="109"/>
      <c r="F12" s="111"/>
      <c r="G12" s="286">
        <v>2473872</v>
      </c>
      <c r="H12" s="275">
        <f t="shared" si="0"/>
        <v>0</v>
      </c>
      <c r="I12" s="275">
        <f t="shared" si="0"/>
        <v>2473872</v>
      </c>
    </row>
    <row r="13" spans="1:9" s="106" customFormat="1" ht="31.5" x14ac:dyDescent="0.25">
      <c r="A13" s="779" t="str">
        <f>IF(B13&gt;0,VLOOKUP(B13,КВСР!A4:B1169,2),IF(C13&gt;0,VLOOKUP(C13,КФСР!A4:B1516,2),IF(D13&gt;0,VLOOKUP(D13,Программа!A$1:B$5124,2),IF(F13&gt;0,VLOOKUP(F13,КВР!A$1:B$5001,2),IF(E13&gt;0,VLOOKUP(E13,Направление!A$1:B$4812,2))))))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6">
        <v>2473872</v>
      </c>
      <c r="H13" s="275">
        <f t="shared" si="0"/>
        <v>0</v>
      </c>
      <c r="I13" s="275">
        <f t="shared" si="0"/>
        <v>2473872</v>
      </c>
    </row>
    <row r="14" spans="1:9" s="106" customFormat="1" ht="110.25" x14ac:dyDescent="0.25">
      <c r="A14" s="779" t="str">
        <f>IF(B14&gt;0,VLOOKUP(B14,КВСР!A5:B1170,2),IF(C14&gt;0,VLOOKUP(C14,КФСР!A5:B1517,2),IF(D14&gt;0,VLOOKUP(D14,Программа!A$1:B$5124,2),IF(F14&gt;0,VLOOKUP(F14,КВР!A$1:B$5001,2),IF(E14&gt;0,VLOOKUP(E14,Направление!A$1:B$4812,2))))))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6">
        <v>2473872</v>
      </c>
      <c r="H14" s="275"/>
      <c r="I14" s="117">
        <f t="shared" ref="I14:I109" si="1">SUM(G14:H14)</f>
        <v>2473872</v>
      </c>
    </row>
    <row r="15" spans="1:9" s="106" customFormat="1" ht="94.5" x14ac:dyDescent="0.25">
      <c r="A15" s="779" t="str">
        <f>IF(B15&gt;0,VLOOKUP(B15,КВСР!A7:B1172,2),IF(C15&gt;0,VLOOKUP(C15,КФСР!A7:B1519,2),IF(D15&gt;0,VLOOKUP(D15,Программа!A$1:B$5124,2),IF(F15&gt;0,VLOOKUP(F15,КВР!A$1:B$5001,2),IF(E15&gt;0,VLOOKUP(E15,Направление!A$1:B$4812,2))))))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68">
        <v>43153357.030000001</v>
      </c>
      <c r="H15" s="330">
        <f>H16</f>
        <v>4709188</v>
      </c>
      <c r="I15" s="330">
        <f>I16</f>
        <v>47862545.030000001</v>
      </c>
    </row>
    <row r="16" spans="1:9" s="106" customFormat="1" x14ac:dyDescent="0.25">
      <c r="A16" s="779" t="str">
        <f>IF(B16&gt;0,VLOOKUP(B16,КВСР!A8:B1173,2),IF(C16&gt;0,VLOOKUP(C16,КФСР!A8:B1520,2),IF(D16&gt;0,VLOOKUP(D16,Программа!A$1:B$5124,2),IF(F16&gt;0,VLOOKUP(F16,КВР!A$1:B$5001,2),IF(E16&gt;0,VLOOKUP(E16,Направление!A$1:B$4812,2))))))</f>
        <v>Непрограммные расходы бюджета</v>
      </c>
      <c r="B16" s="114"/>
      <c r="C16" s="109"/>
      <c r="D16" s="110" t="s">
        <v>311</v>
      </c>
      <c r="E16" s="109"/>
      <c r="F16" s="111"/>
      <c r="G16" s="268">
        <v>43153357.030000001</v>
      </c>
      <c r="H16" s="330">
        <f>H17+H22</f>
        <v>4709188</v>
      </c>
      <c r="I16" s="330">
        <f>I17+I22</f>
        <v>47862545.030000001</v>
      </c>
    </row>
    <row r="17" spans="1:9" s="106" customFormat="1" x14ac:dyDescent="0.25">
      <c r="A17" s="779" t="str">
        <f>IF(B17&gt;0,VLOOKUP(B17,КВСР!A9:B1174,2),IF(C17&gt;0,VLOOKUP(C17,КФСР!A9:B1521,2),IF(D17&gt;0,VLOOKUP(D17,Программа!A$1:B$5124,2),IF(F17&gt;0,VLOOKUP(F17,КВР!A$1:B$5001,2),IF(E17&gt;0,VLOOKUP(E17,Направление!A$1:B$4812,2))))))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68">
        <v>20765558.030000001</v>
      </c>
      <c r="H17" s="330">
        <f t="shared" ref="H17" si="2">H18+H19+H21+H20</f>
        <v>4698207</v>
      </c>
      <c r="I17" s="330">
        <f t="shared" ref="I17" si="3">I18+I19+I21+I20</f>
        <v>25463765.030000001</v>
      </c>
    </row>
    <row r="18" spans="1:9" s="106" customFormat="1" ht="110.25" x14ac:dyDescent="0.25">
      <c r="A18" s="779" t="str">
        <f>IF(B18&gt;0,VLOOKUP(B18,КВСР!A10:B1175,2),IF(C18&gt;0,VLOOKUP(C18,КФСР!A10:B1522,2),IF(D18&gt;0,VLOOKUP(D18,Программа!A$1:B$5124,2),IF(F18&gt;0,VLOOKUP(F18,КВР!A$1:B$5001,2),IF(E18&gt;0,VLOOKUP(E18,Направление!A$1:B$4812,2))))))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6">
        <v>14600160.030000001</v>
      </c>
      <c r="H18" s="286">
        <f>4638209-2+56000+60000</f>
        <v>4754207</v>
      </c>
      <c r="I18" s="117">
        <f t="shared" si="1"/>
        <v>19354367.030000001</v>
      </c>
    </row>
    <row r="19" spans="1:9" s="106" customFormat="1" ht="63" x14ac:dyDescent="0.25">
      <c r="A19" s="779" t="str">
        <f>IF(B19&gt;0,VLOOKUP(B19,КВСР!A11:B1176,2),IF(C19&gt;0,VLOOKUP(C19,КФСР!A11:B1523,2),IF(D19&gt;0,VLOOKUP(D19,Программа!A$1:B$5124,2),IF(F19&gt;0,VLOOKUP(F19,КВР!A$1:B$5001,2),IF(E19&gt;0,VLOOKUP(E19,Направление!A$1:B$4812,2))))))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6">
        <v>5844975</v>
      </c>
      <c r="H19" s="275">
        <f>-79000-56000</f>
        <v>-135000</v>
      </c>
      <c r="I19" s="117">
        <f t="shared" si="1"/>
        <v>5709975</v>
      </c>
    </row>
    <row r="20" spans="1:9" s="106" customFormat="1" ht="31.5" x14ac:dyDescent="0.25">
      <c r="A20" s="779" t="str">
        <f>IF(B20&gt;0,VLOOKUP(B20,КВСР!A12:B1177,2),IF(C20&gt;0,VLOOKUP(C20,КФСР!A12:B1524,2),IF(D20&gt;0,VLOOKUP(D20,Программа!A$1:B$5124,2),IF(F20&gt;0,VLOOKUP(F20,КВР!A$1:B$5001,2),IF(E20&gt;0,VLOOKUP(E20,Направление!A$1:B$4812,2))))))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6">
        <v>1796</v>
      </c>
      <c r="H20" s="275"/>
      <c r="I20" s="117">
        <f t="shared" si="1"/>
        <v>1796</v>
      </c>
    </row>
    <row r="21" spans="1:9" s="106" customFormat="1" x14ac:dyDescent="0.25">
      <c r="A21" s="779" t="str">
        <f>IF(B21&gt;0,VLOOKUP(B21,КВСР!A12:B1177,2),IF(C21&gt;0,VLOOKUP(C21,КФСР!A12:B1524,2),IF(D21&gt;0,VLOOKUP(D21,Программа!A$1:B$5124,2),IF(F21&gt;0,VLOOKUP(F21,КВР!A$1:B$5001,2),IF(E21&gt;0,VLOOKUP(E21,Направление!A$1:B$4812,2))))))</f>
        <v>Иные бюджетные ассигнования</v>
      </c>
      <c r="B21" s="114"/>
      <c r="C21" s="109"/>
      <c r="D21" s="111"/>
      <c r="E21" s="109"/>
      <c r="F21" s="111">
        <v>800</v>
      </c>
      <c r="G21" s="286">
        <v>318627</v>
      </c>
      <c r="H21" s="275">
        <f>79000</f>
        <v>79000</v>
      </c>
      <c r="I21" s="117">
        <f t="shared" si="1"/>
        <v>397627</v>
      </c>
    </row>
    <row r="22" spans="1:9" s="106" customFormat="1" ht="47.25" x14ac:dyDescent="0.25">
      <c r="A22" s="779" t="str">
        <f>IF(B22&gt;0,VLOOKUP(B22,КВСР!A13:B1178,2),IF(C22&gt;0,VLOOKUP(C22,КФСР!A13:B1525,2),IF(D22&gt;0,VLOOKUP(D22,Программа!A$1:B$5124,2),IF(F22&gt;0,VLOOKUP(F22,КВР!A$1:B$5001,2),IF(E22&gt;0,VLOOKUP(E22,Направление!A$1:B$4812,2))))))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6">
        <v>22387799</v>
      </c>
      <c r="H22" s="275">
        <f>H23+H24</f>
        <v>10981</v>
      </c>
      <c r="I22" s="275">
        <f>I23+I24</f>
        <v>22398780</v>
      </c>
    </row>
    <row r="23" spans="1:9" s="106" customFormat="1" ht="110.25" x14ac:dyDescent="0.25">
      <c r="A23" s="779" t="str">
        <f>IF(B23&gt;0,VLOOKUP(B23,КВСР!A14:B1179,2),IF(C23&gt;0,VLOOKUP(C23,КФСР!A14:B1526,2),IF(D23&gt;0,VLOOKUP(D23,Программа!A$1:B$5124,2),IF(F23&gt;0,VLOOKUP(F23,КВР!A$1:B$5001,2),IF(E23&gt;0,VLOOKUP(E23,Направление!A$1:B$4812,2))))))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6">
        <v>22387799</v>
      </c>
      <c r="H23" s="275">
        <v>10981</v>
      </c>
      <c r="I23" s="117">
        <f t="shared" si="1"/>
        <v>22398780</v>
      </c>
    </row>
    <row r="24" spans="1:9" s="106" customFormat="1" ht="63" hidden="1" x14ac:dyDescent="0.25">
      <c r="A24" s="779" t="str">
        <f>IF(B24&gt;0,VLOOKUP(B24,КВСР!A15:B1180,2),IF(C24&gt;0,VLOOKUP(C24,КФСР!A15:B1527,2),IF(D24&gt;0,VLOOKUP(D24,Программа!A$1:B$5124,2),IF(F24&gt;0,VLOOKUP(F24,КВР!A$1:B$5001,2),IF(E24&gt;0,VLOOKUP(E24,Направление!A$1:B$4812,2))))))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6">
        <v>0</v>
      </c>
      <c r="H24" s="275"/>
      <c r="I24" s="117">
        <f t="shared" si="1"/>
        <v>0</v>
      </c>
    </row>
    <row r="25" spans="1:9" s="106" customFormat="1" x14ac:dyDescent="0.25">
      <c r="A25" s="779" t="str">
        <f>IF(B25&gt;0,VLOOKUP(B25,КВСР!A16:B1181,2),IF(C25&gt;0,VLOOKUP(C25,КФСР!A16:B1528,2),IF(D25&gt;0,VLOOKUP(D25,Программа!A$1:B$5124,2),IF(F25&gt;0,VLOOKUP(F25,КВР!A$1:B$5001,2),IF(E25&gt;0,VLOOKUP(E25,Направление!A$1:B$4812,2))))))</f>
        <v>Судебная система</v>
      </c>
      <c r="B25" s="114"/>
      <c r="C25" s="109">
        <v>105</v>
      </c>
      <c r="D25" s="111"/>
      <c r="E25" s="109"/>
      <c r="F25" s="111"/>
      <c r="G25" s="286">
        <v>51506</v>
      </c>
      <c r="H25" s="275">
        <f t="shared" ref="H25:I27" si="4">H26</f>
        <v>0</v>
      </c>
      <c r="I25" s="275">
        <f t="shared" si="4"/>
        <v>51506</v>
      </c>
    </row>
    <row r="26" spans="1:9" s="106" customFormat="1" x14ac:dyDescent="0.25">
      <c r="A26" s="779" t="str">
        <f>IF(B26&gt;0,VLOOKUP(B26,КВСР!A17:B1182,2),IF(C26&gt;0,VLOOKUP(C26,КФСР!A17:B1529,2),IF(D26&gt;0,VLOOKUP(D26,Программа!A$1:B$5124,2),IF(F26&gt;0,VLOOKUP(F26,КВР!A$1:B$5001,2),IF(E26&gt;0,VLOOKUP(E26,Направление!A$1:B$4812,2))))))</f>
        <v>Непрограммные расходы бюджета</v>
      </c>
      <c r="B26" s="114"/>
      <c r="C26" s="109"/>
      <c r="D26" s="111" t="s">
        <v>311</v>
      </c>
      <c r="E26" s="109"/>
      <c r="F26" s="111"/>
      <c r="G26" s="286">
        <v>51506</v>
      </c>
      <c r="H26" s="886">
        <v>0</v>
      </c>
      <c r="I26" s="275">
        <f t="shared" si="4"/>
        <v>51506</v>
      </c>
    </row>
    <row r="27" spans="1:9" s="106" customFormat="1" ht="78.75" x14ac:dyDescent="0.25">
      <c r="A27" s="779" t="str">
        <f>IF(B27&gt;0,VLOOKUP(B27,КВСР!A18:B1183,2),IF(C27&gt;0,VLOOKUP(C27,КФСР!A18:B1530,2),IF(D27&gt;0,VLOOKUP(D27,Программа!A$1:B$5124,2),IF(F27&gt;0,VLOOKUP(F27,КВР!A$1:B$5001,2),IF(E27&gt;0,VLOOKUP(E27,Направление!A$1:B$4812,2))))))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6">
        <v>51506</v>
      </c>
      <c r="H27" s="275">
        <f t="shared" si="4"/>
        <v>0</v>
      </c>
      <c r="I27" s="275">
        <f t="shared" si="4"/>
        <v>51506</v>
      </c>
    </row>
    <row r="28" spans="1:9" s="106" customFormat="1" ht="63" x14ac:dyDescent="0.25">
      <c r="A28" s="779" t="str">
        <f>IF(B28&gt;0,VLOOKUP(B28,КВСР!A19:B1184,2),IF(C28&gt;0,VLOOKUP(C28,КФСР!A19:B1531,2),IF(D28&gt;0,VLOOKUP(D28,Программа!A$1:B$5124,2),IF(F28&gt;0,VLOOKUP(F28,КВР!A$1:B$5001,2),IF(E28&gt;0,VLOOKUP(E28,Направление!A$1:B$4812,2))))))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6">
        <v>51506</v>
      </c>
      <c r="H28" s="275"/>
      <c r="I28" s="117">
        <f t="shared" si="1"/>
        <v>51506</v>
      </c>
    </row>
    <row r="29" spans="1:9" s="106" customFormat="1" x14ac:dyDescent="0.25">
      <c r="A29" s="779" t="str">
        <f>IF(B29&gt;0,VLOOKUP(B29,КВСР!A21:B1186,2),IF(C29&gt;0,VLOOKUP(C29,КФСР!A21:B1533,2),IF(D29&gt;0,VLOOKUP(D29,Программа!A$1:B$5124,2),IF(F29&gt;0,VLOOKUP(F29,КВР!A$1:B$5001,2),IF(E29&gt;0,VLOOKUP(E29,Направление!A$1:B$4812,2))))))</f>
        <v>Резервные фонды</v>
      </c>
      <c r="B29" s="114"/>
      <c r="C29" s="109">
        <v>111</v>
      </c>
      <c r="D29" s="110"/>
      <c r="E29" s="109"/>
      <c r="F29" s="111"/>
      <c r="G29" s="268">
        <v>2965000</v>
      </c>
      <c r="H29" s="330">
        <f t="shared" ref="H29:I31" si="5">H30</f>
        <v>-317330.40000000002</v>
      </c>
      <c r="I29" s="330">
        <f t="shared" si="5"/>
        <v>2647669.6</v>
      </c>
    </row>
    <row r="30" spans="1:9" s="106" customFormat="1" x14ac:dyDescent="0.25">
      <c r="A30" s="779" t="str">
        <f>IF(B30&gt;0,VLOOKUP(B30,КВСР!A22:B1187,2),IF(C30&gt;0,VLOOKUP(C30,КФСР!A22:B1534,2),IF(D30&gt;0,VLOOKUP(D30,Программа!A$1:B$5124,2),IF(F30&gt;0,VLOOKUP(F30,КВР!A$1:B$5001,2),IF(E30&gt;0,VLOOKUP(E30,Направление!A$1:B$4812,2))))))</f>
        <v>Непрограммные расходы бюджета</v>
      </c>
      <c r="B30" s="114"/>
      <c r="C30" s="109"/>
      <c r="D30" s="110" t="s">
        <v>311</v>
      </c>
      <c r="E30" s="109"/>
      <c r="F30" s="111"/>
      <c r="G30" s="268">
        <v>2965000</v>
      </c>
      <c r="H30" s="374">
        <f t="shared" si="5"/>
        <v>-317330.40000000002</v>
      </c>
      <c r="I30" s="330">
        <f t="shared" si="5"/>
        <v>2647669.6</v>
      </c>
    </row>
    <row r="31" spans="1:9" s="106" customFormat="1" ht="31.5" x14ac:dyDescent="0.25">
      <c r="A31" s="779" t="str">
        <f>IF(B31&gt;0,VLOOKUP(B31,КВСР!A23:B1188,2),IF(C31&gt;0,VLOOKUP(C31,КФСР!A23:B1535,2),IF(D31&gt;0,VLOOKUP(D31,Программа!A$1:B$5124,2),IF(F31&gt;0,VLOOKUP(F31,КВР!A$1:B$5001,2),IF(E31&gt;0,VLOOKUP(E31,Направление!A$1:B$4812,2))))))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68">
        <v>2965000</v>
      </c>
      <c r="H31" s="330">
        <f t="shared" si="5"/>
        <v>-317330.40000000002</v>
      </c>
      <c r="I31" s="330">
        <f t="shared" si="5"/>
        <v>2647669.6</v>
      </c>
    </row>
    <row r="32" spans="1:9" s="106" customFormat="1" x14ac:dyDescent="0.25">
      <c r="A32" s="779" t="str">
        <f>IF(B32&gt;0,VLOOKUP(B32,КВСР!A24:B1189,2),IF(C32&gt;0,VLOOKUP(C32,КФСР!A24:B1536,2),IF(D32&gt;0,VLOOKUP(D32,Программа!A$1:B$5124,2),IF(F32&gt;0,VLOOKUP(F32,КВР!A$1:B$5001,2),IF(E32&gt;0,VLOOKUP(E32,Направление!A$1:B$4812,2))))))</f>
        <v>Иные бюджетные ассигнования</v>
      </c>
      <c r="B32" s="114"/>
      <c r="C32" s="109"/>
      <c r="D32" s="111"/>
      <c r="E32" s="109"/>
      <c r="F32" s="111">
        <v>800</v>
      </c>
      <c r="G32" s="286">
        <v>2965000</v>
      </c>
      <c r="H32" s="275">
        <f>-317330.4</f>
        <v>-317330.40000000002</v>
      </c>
      <c r="I32" s="117">
        <f t="shared" si="1"/>
        <v>2647669.6</v>
      </c>
    </row>
    <row r="33" spans="1:9" s="106" customFormat="1" x14ac:dyDescent="0.25">
      <c r="A33" s="779" t="str">
        <f>IF(B33&gt;0,VLOOKUP(B33,КВСР!A25:B1190,2),IF(C33&gt;0,VLOOKUP(C33,КФСР!A25:B1537,2),IF(D33&gt;0,VLOOKUP(D33,Программа!A$1:B$5124,2),IF(F33&gt;0,VLOOKUP(F33,КВР!A$1:B$5001,2),IF(E33&gt;0,VLOOKUP(E33,Направление!A$1:B$4812,2))))))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68">
        <v>74016230</v>
      </c>
      <c r="H33" s="330">
        <f>H34+H38+H46+H85+H53+H75+H66+H71+H81+H122+H119</f>
        <v>6385975.4000000004</v>
      </c>
      <c r="I33" s="330">
        <f>I34+I38+I46+I85+I53+I75+I66+I71+I81+I122+I119</f>
        <v>80402205.400000006</v>
      </c>
    </row>
    <row r="34" spans="1:9" s="106" customFormat="1" ht="78.75" x14ac:dyDescent="0.25">
      <c r="A34" s="779" t="str">
        <f>IF(B34&gt;0,VLOOKUP(B34,КВСР!A26:B1191,2),IF(C34&gt;0,VLOOKUP(C34,КФСР!A26:B1538,2),IF(D34&gt;0,VLOOKUP(D34,Программа!A$1:B$5124,2),IF(F34&gt;0,VLOOKUP(F34,КВР!A$1:B$5001,2),IF(E34&gt;0,VLOOKUP(E34,Направление!A$1:B$4812,2))))))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318</v>
      </c>
      <c r="E34" s="109"/>
      <c r="F34" s="111"/>
      <c r="G34" s="268">
        <v>350000</v>
      </c>
      <c r="H34" s="330">
        <f t="shared" ref="H34:I36" si="6">H35</f>
        <v>0</v>
      </c>
      <c r="I34" s="330">
        <f t="shared" si="6"/>
        <v>350000</v>
      </c>
    </row>
    <row r="35" spans="1:9" s="106" customFormat="1" ht="78.75" x14ac:dyDescent="0.25">
      <c r="A35" s="779" t="str">
        <f>IF(B35&gt;0,VLOOKUP(B35,КВСР!A28:B1193,2),IF(C35&gt;0,VLOOKUP(C35,КФСР!A28:B1540,2),IF(D35&gt;0,VLOOKUP(D35,Программа!A$1:B$5124,2),IF(F35&gt;0,VLOOKUP(F35,КВР!A$1:B$5001,2),IF(E35&gt;0,VLOOKUP(E35,Направление!A$1:B$4812,2))))))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481</v>
      </c>
      <c r="E35" s="109"/>
      <c r="F35" s="111"/>
      <c r="G35" s="268">
        <v>350000</v>
      </c>
      <c r="H35" s="330">
        <f t="shared" si="6"/>
        <v>0</v>
      </c>
      <c r="I35" s="330">
        <f t="shared" si="6"/>
        <v>350000</v>
      </c>
    </row>
    <row r="36" spans="1:9" s="106" customFormat="1" ht="47.25" x14ac:dyDescent="0.25">
      <c r="A36" s="779" t="str">
        <f>IF(B36&gt;0,VLOOKUP(B36,КВСР!A28:B1193,2),IF(C36&gt;0,VLOOKUP(C36,КФСР!A28:B1540,2),IF(D36&gt;0,VLOOKUP(D36,Программа!A$1:B$5124,2),IF(F36&gt;0,VLOOKUP(F36,КВР!A$1:B$5001,2),IF(E36&gt;0,VLOOKUP(E36,Направление!A$1:B$4812,2))))))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68">
        <v>350000</v>
      </c>
      <c r="H36" s="330">
        <f t="shared" si="6"/>
        <v>0</v>
      </c>
      <c r="I36" s="330">
        <f t="shared" si="6"/>
        <v>350000</v>
      </c>
    </row>
    <row r="37" spans="1:9" s="106" customFormat="1" ht="47.25" x14ac:dyDescent="0.25">
      <c r="A37" s="779" t="str">
        <f>IF(B37&gt;0,VLOOKUP(B37,КВСР!A29:B1194,2),IF(C37&gt;0,VLOOKUP(C37,КФСР!A29:B1541,2),IF(D37&gt;0,VLOOKUP(D37,Программа!A$1:B$5124,2),IF(F37&gt;0,VLOOKUP(F37,КВР!A$1:B$5001,2),IF(E37&gt;0,VLOOKUP(E37,Направление!A$1:B$4812,2))))))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68">
        <v>350000</v>
      </c>
      <c r="H37" s="330"/>
      <c r="I37" s="117">
        <f t="shared" si="1"/>
        <v>350000</v>
      </c>
    </row>
    <row r="38" spans="1:9" s="106" customFormat="1" ht="94.5" x14ac:dyDescent="0.25">
      <c r="A38" s="779" t="str">
        <f>IF(B38&gt;0,VLOOKUP(B38,КВСР!A26:B1191,2),IF(C38&gt;0,VLOOKUP(C38,КФСР!A26:B1538,2),IF(D38&gt;0,VLOOKUP(D38,Программа!A$1:B$5124,2),IF(F38&gt;0,VLOOKUP(F38,КВР!A$1:B$5001,2),IF(E38&gt;0,VLOOKUP(E38,Направление!A$1:B$4812,2))))))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322</v>
      </c>
      <c r="E38" s="109"/>
      <c r="F38" s="111"/>
      <c r="G38" s="268">
        <v>3907090</v>
      </c>
      <c r="H38" s="330">
        <f>H39+H42</f>
        <v>40000</v>
      </c>
      <c r="I38" s="330">
        <f>I39+I42</f>
        <v>3947090</v>
      </c>
    </row>
    <row r="39" spans="1:9" s="106" customFormat="1" ht="78.75" x14ac:dyDescent="0.25">
      <c r="A39" s="779" t="str">
        <f>IF(B39&gt;0,VLOOKUP(B39,КВСР!A27:B1192,2),IF(C39&gt;0,VLOOKUP(C39,КФСР!A27:B1539,2),IF(D39&gt;0,VLOOKUP(D39,Программа!A$1:B$5124,2),IF(F39&gt;0,VLOOKUP(F39,КВР!A$1:B$5001,2),IF(E39&gt;0,VLOOKUP(E39,Направление!A$1:B$4812,2))))))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323</v>
      </c>
      <c r="E39" s="109"/>
      <c r="F39" s="111"/>
      <c r="G39" s="268">
        <v>120000</v>
      </c>
      <c r="H39" s="330">
        <f t="shared" ref="H39:I40" si="7">H40</f>
        <v>40000</v>
      </c>
      <c r="I39" s="330">
        <f t="shared" si="7"/>
        <v>160000</v>
      </c>
    </row>
    <row r="40" spans="1:9" s="106" customFormat="1" ht="31.5" x14ac:dyDescent="0.25">
      <c r="A40" s="779" t="str">
        <f>IF(B40&gt;0,VLOOKUP(B40,КВСР!A28:B1193,2),IF(C40&gt;0,VLOOKUP(C40,КФСР!A28:B1540,2),IF(D40&gt;0,VLOOKUP(D40,Программа!A$1:B$5124,2),IF(F40&gt;0,VLOOKUP(F40,КВР!A$1:B$5001,2),IF(E40&gt;0,VLOOKUP(E40,Направление!A$1:B$4812,2))))))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68">
        <v>120000</v>
      </c>
      <c r="H40" s="330">
        <f t="shared" si="7"/>
        <v>40000</v>
      </c>
      <c r="I40" s="330">
        <f t="shared" si="7"/>
        <v>160000</v>
      </c>
    </row>
    <row r="41" spans="1:9" s="106" customFormat="1" ht="63" x14ac:dyDescent="0.25">
      <c r="A41" s="779" t="str">
        <f>IF(B41&gt;0,VLOOKUP(B41,КВСР!A29:B1194,2),IF(C41&gt;0,VLOOKUP(C41,КФСР!A29:B1541,2),IF(D41&gt;0,VLOOKUP(D41,Программа!A$1:B$5124,2),IF(F41&gt;0,VLOOKUP(F41,КВР!A$1:B$5001,2),IF(E41&gt;0,VLOOKUP(E41,Направление!A$1:B$4812,2))))))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68">
        <v>120000</v>
      </c>
      <c r="H41" s="330">
        <f>40000+20000-20000</f>
        <v>40000</v>
      </c>
      <c r="I41" s="117">
        <f t="shared" si="1"/>
        <v>160000</v>
      </c>
    </row>
    <row r="42" spans="1:9" s="106" customFormat="1" ht="94.5" x14ac:dyDescent="0.25">
      <c r="A42" s="779" t="str">
        <f>IF(B42&gt;0,VLOOKUP(B42,КВСР!A30:B1195,2),IF(C42&gt;0,VLOOKUP(C42,КФСР!A30:B1542,2),IF(D42&gt;0,VLOOKUP(D42,Программа!A$1:B$5124,2),IF(F42&gt;0,VLOOKUP(F42,КВР!A$1:B$5001,2),IF(E42&gt;0,VLOOKUP(E42,Направление!A$1:B$4812,2))))))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1518</v>
      </c>
      <c r="E42" s="109"/>
      <c r="F42" s="111"/>
      <c r="G42" s="268">
        <v>3787090</v>
      </c>
      <c r="H42" s="330">
        <f t="shared" ref="H42:I42" si="8">H43</f>
        <v>0</v>
      </c>
      <c r="I42" s="268">
        <f t="shared" si="8"/>
        <v>3787090</v>
      </c>
    </row>
    <row r="43" spans="1:9" s="106" customFormat="1" ht="31.5" x14ac:dyDescent="0.25">
      <c r="A43" s="779" t="str">
        <f>IF(B43&gt;0,VLOOKUP(B43,КВСР!A31:B1196,2),IF(C43&gt;0,VLOOKUP(C43,КФСР!A31:B1543,2),IF(D43&gt;0,VLOOKUP(D43,Программа!A$1:B$5124,2),IF(F43&gt;0,VLOOKUP(F43,КВР!A$1:B$5001,2),IF(E43&gt;0,VLOOKUP(E43,Направление!A$1:B$4812,2))))))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68">
        <v>3787090</v>
      </c>
      <c r="H43" s="330">
        <f>H44+H45</f>
        <v>0</v>
      </c>
      <c r="I43" s="268">
        <f>I44+I45</f>
        <v>3787090</v>
      </c>
    </row>
    <row r="44" spans="1:9" s="106" customFormat="1" ht="110.25" x14ac:dyDescent="0.25">
      <c r="A44" s="779" t="str">
        <f>IF(B44&gt;0,VLOOKUP(B44,КВСР!A32:B1197,2),IF(C44&gt;0,VLOOKUP(C44,КФСР!A32:B1544,2),IF(D44&gt;0,VLOOKUP(D44,Программа!A$1:B$5124,2),IF(F44&gt;0,VLOOKUP(F44,КВР!A$1:B$5001,2),IF(E44&gt;0,VLOOKUP(E44,Направление!A$1:B$4812,2))))))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68">
        <v>3757090</v>
      </c>
      <c r="H44" s="330">
        <f>-20000+20000</f>
        <v>0</v>
      </c>
      <c r="I44" s="117">
        <f>G44+H44</f>
        <v>3757090</v>
      </c>
    </row>
    <row r="45" spans="1:9" s="106" customFormat="1" ht="47.25" x14ac:dyDescent="0.25">
      <c r="A45" s="779" t="str">
        <f>IF(B45&gt;0,VLOOKUP(B45,КВСР!A33:B1198,2),IF(C45&gt;0,VLOOKUP(C45,КФСР!A33:B1545,2),IF(D45&gt;0,VLOOKUP(D45,Программа!A$1:B$5124,2),IF(F45&gt;0,VLOOKUP(F45,КВР!A$1:B$5001,2),IF(E45&gt;0,VLOOKUP(E45,Направление!A$1:B$4812,2))))))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68">
        <v>30000</v>
      </c>
      <c r="H45" s="330"/>
      <c r="I45" s="117">
        <f>G45+H45</f>
        <v>30000</v>
      </c>
    </row>
    <row r="46" spans="1:9" s="106" customFormat="1" ht="63" x14ac:dyDescent="0.25">
      <c r="A46" s="779" t="str">
        <f>IF(B46&gt;0,VLOOKUP(B46,КВСР!A30:B1195,2),IF(C46&gt;0,VLOOKUP(C46,КФСР!A30:B1542,2),IF(D46&gt;0,VLOOKUP(D46,Программа!A$1:B$5124,2),IF(F46&gt;0,VLOOKUP(F46,КВР!A$1:B$5001,2),IF(E46&gt;0,VLOOKUP(E46,Направление!A$1:B$4812,2))))))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326</v>
      </c>
      <c r="E46" s="109"/>
      <c r="F46" s="111"/>
      <c r="G46" s="268">
        <v>960000</v>
      </c>
      <c r="H46" s="330">
        <f t="shared" ref="H46" si="9">H50+H47</f>
        <v>0</v>
      </c>
      <c r="I46" s="330">
        <f t="shared" ref="I46" si="10">I50+I47</f>
        <v>960000</v>
      </c>
    </row>
    <row r="47" spans="1:9" s="106" customFormat="1" ht="31.5" x14ac:dyDescent="0.25">
      <c r="A47" s="779" t="str">
        <f>IF(B47&gt;0,VLOOKUP(B47,КВСР!A31:B1196,2),IF(C47&gt;0,VLOOKUP(C47,КФСР!A31:B1543,2),IF(D47&gt;0,VLOOKUP(D47,Программа!A$1:B$5124,2),IF(F47&gt;0,VLOOKUP(F47,КВР!A$1:B$5001,2),IF(E47&gt;0,VLOOKUP(E47,Направление!A$1:B$4812,2))))))</f>
        <v>Бесперебойное функционирование информационных систем</v>
      </c>
      <c r="B47" s="114"/>
      <c r="C47" s="109"/>
      <c r="D47" s="111" t="s">
        <v>360</v>
      </c>
      <c r="E47" s="109"/>
      <c r="F47" s="111"/>
      <c r="G47" s="268">
        <v>60000</v>
      </c>
      <c r="H47" s="330">
        <f>H48</f>
        <v>175000</v>
      </c>
      <c r="I47" s="330">
        <f>I48</f>
        <v>235000</v>
      </c>
    </row>
    <row r="48" spans="1:9" s="106" customFormat="1" ht="31.5" x14ac:dyDescent="0.25">
      <c r="A48" s="779" t="str">
        <f>IF(B48&gt;0,VLOOKUP(B48,КВСР!A32:B1197,2),IF(C48&gt;0,VLOOKUP(C48,КФСР!A32:B1544,2),IF(D48&gt;0,VLOOKUP(D48,Программа!A$1:B$5124,2),IF(F48&gt;0,VLOOKUP(F48,КВР!A$1:B$5001,2),IF(E48&gt;0,VLOOKUP(E48,Направление!A$1:B$4812,2))))))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68">
        <v>60000</v>
      </c>
      <c r="H48" s="330">
        <f>H49</f>
        <v>175000</v>
      </c>
      <c r="I48" s="330">
        <f>I49</f>
        <v>235000</v>
      </c>
    </row>
    <row r="49" spans="1:9" s="106" customFormat="1" ht="63" x14ac:dyDescent="0.25">
      <c r="A49" s="779" t="str">
        <f>IF(B49&gt;0,VLOOKUP(B49,КВСР!A33:B1198,2),IF(C49&gt;0,VLOOKUP(C49,КФСР!A33:B1545,2),IF(D49&gt;0,VLOOKUP(D49,Программа!A$1:B$5124,2),IF(F49&gt;0,VLOOKUP(F49,КВР!A$1:B$5001,2),IF(E49&gt;0,VLOOKUP(E49,Направление!A$1:B$4812,2))))))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68">
        <v>60000</v>
      </c>
      <c r="H49" s="268">
        <v>175000</v>
      </c>
      <c r="I49" s="117">
        <f t="shared" si="1"/>
        <v>235000</v>
      </c>
    </row>
    <row r="50" spans="1:9" s="106" customFormat="1" ht="63" x14ac:dyDescent="0.25">
      <c r="A50" s="779" t="str">
        <f>IF(B50&gt;0,VLOOKUP(B50,КВСР!A31:B1196,2),IF(C50&gt;0,VLOOKUP(C50,КФСР!A31:B1543,2),IF(D50&gt;0,VLOOKUP(D50,Программа!A$1:B$5124,2),IF(F50&gt;0,VLOOKUP(F50,КВР!A$1:B$5001,2),IF(E50&gt;0,VLOOKUP(E50,Направление!A$1:B$4812,2))))))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328</v>
      </c>
      <c r="E50" s="109"/>
      <c r="F50" s="111"/>
      <c r="G50" s="268">
        <v>900000</v>
      </c>
      <c r="H50" s="268">
        <f t="shared" ref="H50:I51" si="11">H51</f>
        <v>-175000</v>
      </c>
      <c r="I50" s="330">
        <f t="shared" si="11"/>
        <v>725000</v>
      </c>
    </row>
    <row r="51" spans="1:9" s="106" customFormat="1" ht="31.5" x14ac:dyDescent="0.25">
      <c r="A51" s="779" t="str">
        <f>IF(B51&gt;0,VLOOKUP(B51,КВСР!A32:B1197,2),IF(C51&gt;0,VLOOKUP(C51,КФСР!A32:B1544,2),IF(D51&gt;0,VLOOKUP(D51,Программа!A$1:B$5124,2),IF(F51&gt;0,VLOOKUP(F51,КВР!A$1:B$5001,2),IF(E51&gt;0,VLOOKUP(E51,Направление!A$1:B$4812,2))))))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68">
        <v>900000</v>
      </c>
      <c r="H51" s="268">
        <f t="shared" si="11"/>
        <v>-175000</v>
      </c>
      <c r="I51" s="330">
        <f t="shared" si="11"/>
        <v>725000</v>
      </c>
    </row>
    <row r="52" spans="1:9" s="106" customFormat="1" ht="63" x14ac:dyDescent="0.25">
      <c r="A52" s="779" t="str">
        <f>IF(B52&gt;0,VLOOKUP(B52,КВСР!A33:B1198,2),IF(C52&gt;0,VLOOKUP(C52,КФСР!A33:B1545,2),IF(D52&gt;0,VLOOKUP(D52,Программа!A$1:B$5124,2),IF(F52&gt;0,VLOOKUP(F52,КВР!A$1:B$5001,2),IF(E52&gt;0,VLOOKUP(E52,Направление!A$1:B$4812,2))))))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68">
        <v>900000</v>
      </c>
      <c r="H52" s="268">
        <v>-175000</v>
      </c>
      <c r="I52" s="117">
        <f t="shared" si="1"/>
        <v>725000</v>
      </c>
    </row>
    <row r="53" spans="1:9" s="106" customFormat="1" ht="94.5" x14ac:dyDescent="0.25">
      <c r="A53" s="779" t="str">
        <f>IF(B53&gt;0,VLOOKUP(B53,КВСР!A38:B1203,2),IF(C53&gt;0,VLOOKUP(C53,КФСР!A38:B1550,2),IF(D53&gt;0,VLOOKUP(D53,Программа!A$1:B$5124,2),IF(F53&gt;0,VLOOKUP(F53,КВР!A$1:B$5001,2),IF(E53&gt;0,VLOOKUP(E53,Направление!A$1:B$4812,2))))))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330</v>
      </c>
      <c r="E53" s="109"/>
      <c r="F53" s="111"/>
      <c r="G53" s="268">
        <v>2024056</v>
      </c>
      <c r="H53" s="330">
        <f>H54+H63</f>
        <v>0</v>
      </c>
      <c r="I53" s="117">
        <f>I54+I63</f>
        <v>2024056</v>
      </c>
    </row>
    <row r="54" spans="1:9" s="106" customFormat="1" ht="94.5" x14ac:dyDescent="0.25">
      <c r="A54" s="779" t="str">
        <f>IF(B54&gt;0,VLOOKUP(B54,КВСР!A31:B1196,2),IF(C54&gt;0,VLOOKUP(C54,КФСР!A31:B1543,2),IF(D54&gt;0,VLOOKUP(D54,Программа!A$1:B$5124,2),IF(F54&gt;0,VLOOKUP(F54,КВР!A$1:B$5001,2),IF(E54&gt;0,VLOOKUP(E54,Направление!A$1:B$4812,2))))))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1687</v>
      </c>
      <c r="E54" s="109"/>
      <c r="F54" s="111"/>
      <c r="G54" s="268">
        <v>2024056</v>
      </c>
      <c r="H54" s="330">
        <f>H55+H58+H61</f>
        <v>0</v>
      </c>
      <c r="I54" s="268">
        <f t="shared" ref="I54" si="12">I55+I58+I61</f>
        <v>2024056</v>
      </c>
    </row>
    <row r="55" spans="1:9" s="106" customFormat="1" ht="47.25" x14ac:dyDescent="0.25">
      <c r="A55" s="779" t="str">
        <f>IF(B55&gt;0,VLOOKUP(B55,КВСР!A32:B1197,2),IF(C55&gt;0,VLOOKUP(C55,КФСР!A32:B1544,2),IF(D55&gt;0,VLOOKUP(D55,Программа!A$1:B$5124,2),IF(F55&gt;0,VLOOKUP(F55,КВР!A$1:B$5001,2),IF(E55&gt;0,VLOOKUP(E55,Направление!A$1:B$4812,2))))))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68">
        <v>768900</v>
      </c>
      <c r="H55" s="330">
        <f t="shared" ref="H55:I55" si="13">H57+H56</f>
        <v>0</v>
      </c>
      <c r="I55" s="268">
        <f t="shared" si="13"/>
        <v>768900</v>
      </c>
    </row>
    <row r="56" spans="1:9" s="106" customFormat="1" hidden="1" x14ac:dyDescent="0.25">
      <c r="A56" s="779" t="str">
        <f>IF(B56&gt;0,VLOOKUP(B56,КВСР!A33:B1198,2),IF(C56&gt;0,VLOOKUP(C56,КФСР!A33:B1545,2),IF(D56&gt;0,VLOOKUP(D56,Программа!A$1:B$5124,2),IF(F56&gt;0,VLOOKUP(F56,КВР!A$1:B$5001,2),IF(E56&gt;0,VLOOKUP(E56,Направление!A$1:B$4812,2))))))</f>
        <v>Премии и гранты</v>
      </c>
      <c r="B56" s="114"/>
      <c r="C56" s="109"/>
      <c r="D56" s="110"/>
      <c r="E56" s="109"/>
      <c r="F56" s="111">
        <v>350</v>
      </c>
      <c r="G56" s="268">
        <v>0</v>
      </c>
      <c r="H56" s="330"/>
      <c r="I56" s="117">
        <f t="shared" si="1"/>
        <v>0</v>
      </c>
    </row>
    <row r="57" spans="1:9" s="106" customFormat="1" ht="47.25" x14ac:dyDescent="0.25">
      <c r="A57" s="779" t="str">
        <f>IF(B57&gt;0,VLOOKUP(B57,КВСР!A33:B1198,2),IF(C57&gt;0,VLOOKUP(C57,КФСР!A33:B1545,2),IF(D57&gt;0,VLOOKUP(D57,Программа!A$1:B$5124,2),IF(F57&gt;0,VLOOKUP(F57,КВР!A$1:B$5001,2),IF(E57&gt;0,VLOOKUP(E57,Направление!A$1:B$4812,2))))))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68">
        <v>768900</v>
      </c>
      <c r="H57" s="268"/>
      <c r="I57" s="117">
        <f t="shared" si="1"/>
        <v>768900</v>
      </c>
    </row>
    <row r="58" spans="1:9" s="106" customFormat="1" ht="47.25" x14ac:dyDescent="0.25">
      <c r="A58" s="779" t="str">
        <f>IF(B58&gt;0,VLOOKUP(B58,КВСР!A34:B1199,2),IF(C58&gt;0,VLOOKUP(C58,КФСР!A34:B1546,2),IF(D58&gt;0,VLOOKUP(D58,Программа!A$1:B$5124,2),IF(F58&gt;0,VLOOKUP(F58,КВР!A$1:B$5001,2),IF(E58&gt;0,VLOOKUP(E58,Направление!A$1:B$4812,2))))))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330">
        <v>700000</v>
      </c>
      <c r="H58" s="330">
        <f>H60+H59</f>
        <v>0</v>
      </c>
      <c r="I58" s="330">
        <f>I60+I59</f>
        <v>700000</v>
      </c>
    </row>
    <row r="59" spans="1:9" s="106" customFormat="1" x14ac:dyDescent="0.25">
      <c r="A59" s="779" t="str">
        <f>IF(B59&gt;0,VLOOKUP(B59,КВСР!A35:B1200,2),IF(C59&gt;0,VLOOKUP(C59,КФСР!A35:B1547,2),IF(D59&gt;0,VLOOKUP(D59,Программа!A$1:B$5124,2),IF(F59&gt;0,VLOOKUP(F59,КВР!A$1:B$5001,2),IF(E59&gt;0,VLOOKUP(E59,Направление!A$1:B$4812,2))))))</f>
        <v>Премии и гранты</v>
      </c>
      <c r="B59" s="114"/>
      <c r="C59" s="109"/>
      <c r="D59" s="111"/>
      <c r="E59" s="109"/>
      <c r="F59" s="111">
        <v>350</v>
      </c>
      <c r="G59" s="330">
        <v>150000</v>
      </c>
      <c r="H59" s="330"/>
      <c r="I59" s="330">
        <f t="shared" si="1"/>
        <v>150000</v>
      </c>
    </row>
    <row r="60" spans="1:9" s="106" customFormat="1" ht="47.25" x14ac:dyDescent="0.25">
      <c r="A60" s="779" t="str">
        <f>IF(B60&gt;0,VLOOKUP(B60,КВСР!A35:B1200,2),IF(C60&gt;0,VLOOKUP(C60,КФСР!A35:B1547,2),IF(D60&gt;0,VLOOKUP(D60,Программа!A$1:B$5124,2),IF(F60&gt;0,VLOOKUP(F60,КВР!A$1:B$5001,2),IF(E60&gt;0,VLOOKUP(E60,Направление!A$1:B$4812,2))))))</f>
        <v>Предоставление субсидий бюджетным, автономным учреждениям и иным некоммерческим организациям</v>
      </c>
      <c r="B60" s="114"/>
      <c r="C60" s="109"/>
      <c r="D60" s="111"/>
      <c r="E60" s="109"/>
      <c r="F60" s="111">
        <v>600</v>
      </c>
      <c r="G60" s="330">
        <v>550000</v>
      </c>
      <c r="H60" s="330"/>
      <c r="I60" s="330">
        <f t="shared" si="1"/>
        <v>550000</v>
      </c>
    </row>
    <row r="61" spans="1:9" s="106" customFormat="1" ht="47.25" x14ac:dyDescent="0.25">
      <c r="A61" s="779" t="str">
        <f>IF(B61&gt;0,VLOOKUP(B61,КВСР!A36:B1201,2),IF(C61&gt;0,VLOOKUP(C61,КФСР!A36:B1548,2),IF(D61&gt;0,VLOOKUP(D61,Программа!A$1:B$5124,2),IF(F61&gt;0,VLOOKUP(F61,КВР!A$1:B$5001,2),IF(E61&gt;0,VLOOKUP(E61,Направление!A$1:B$4812,2))))))</f>
        <v>Предоставление субсидий социально ориентированным некоммерческим организациям на конкурсной основе</v>
      </c>
      <c r="B61" s="114"/>
      <c r="C61" s="109"/>
      <c r="D61" s="111"/>
      <c r="E61" s="109">
        <v>73140</v>
      </c>
      <c r="F61" s="111"/>
      <c r="G61" s="268">
        <v>555156</v>
      </c>
      <c r="H61" s="330">
        <f t="shared" ref="H61:I61" si="14">H62</f>
        <v>0</v>
      </c>
      <c r="I61" s="268">
        <f t="shared" si="14"/>
        <v>555156</v>
      </c>
    </row>
    <row r="62" spans="1:9" s="106" customFormat="1" ht="47.25" x14ac:dyDescent="0.25">
      <c r="A62" s="779" t="str">
        <f>IF(B62&gt;0,VLOOKUP(B62,КВСР!A37:B1202,2),IF(C62&gt;0,VLOOKUP(C62,КФСР!A37:B1549,2),IF(D62&gt;0,VLOOKUP(D62,Программа!A$1:B$5124,2),IF(F62&gt;0,VLOOKUP(F62,КВР!A$1:B$5001,2),IF(E62&gt;0,VLOOKUP(E62,Направление!A$1:B$4812,2))))))</f>
        <v>Предоставление субсидий бюджетным, автономным учреждениям и иным некоммерческим организациям</v>
      </c>
      <c r="B62" s="114"/>
      <c r="C62" s="109"/>
      <c r="D62" s="111"/>
      <c r="E62" s="109"/>
      <c r="F62" s="111">
        <v>600</v>
      </c>
      <c r="G62" s="268">
        <v>555156</v>
      </c>
      <c r="H62" s="330"/>
      <c r="I62" s="117">
        <f>G62+H62</f>
        <v>555156</v>
      </c>
    </row>
    <row r="63" spans="1:9" s="106" customFormat="1" ht="94.5" hidden="1" x14ac:dyDescent="0.25">
      <c r="A63" s="779" t="str">
        <f>IF(B63&gt;0,VLOOKUP(B63,КВСР!A34:B1199,2),IF(C63&gt;0,VLOOKUP(C63,КФСР!A34:B1546,2),IF(D63&gt;0,VLOOKUP(D63,Программа!A$1:B$5124,2),IF(F63&gt;0,VLOOKUP(F63,КВР!A$1:B$5001,2),IF(E63&gt;0,VLOOKUP(E63,Направление!A$1:B$4812,2))))))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3" s="114"/>
      <c r="C63" s="109"/>
      <c r="D63" s="111" t="s">
        <v>616</v>
      </c>
      <c r="E63" s="109"/>
      <c r="F63" s="111"/>
      <c r="G63" s="268">
        <v>0</v>
      </c>
      <c r="H63" s="330">
        <f t="shared" ref="H63:I63" si="15">H64</f>
        <v>0</v>
      </c>
      <c r="I63" s="280">
        <f t="shared" si="15"/>
        <v>0</v>
      </c>
    </row>
    <row r="64" spans="1:9" s="106" customFormat="1" ht="47.25" hidden="1" x14ac:dyDescent="0.25">
      <c r="A64" s="779" t="str">
        <f>IF(B64&gt;0,VLOOKUP(B64,КВСР!A34:B1199,2),IF(C64&gt;0,VLOOKUP(C64,КФСР!A34:B1546,2),IF(D64&gt;0,VLOOKUP(D64,Программа!A$1:B$5124,2),IF(F64&gt;0,VLOOKUP(F64,КВР!A$1:B$5001,2),IF(E64&gt;0,VLOOKUP(E64,Направление!A$1:B$4812,2))))))</f>
        <v>Расходы на поддержку общественного самоуправления и некоммерческих организаций</v>
      </c>
      <c r="B64" s="114"/>
      <c r="C64" s="109"/>
      <c r="D64" s="111"/>
      <c r="E64" s="109">
        <v>12240</v>
      </c>
      <c r="F64" s="111"/>
      <c r="G64" s="268">
        <v>0</v>
      </c>
      <c r="H64" s="330">
        <f t="shared" ref="H64:I64" si="16">H65</f>
        <v>0</v>
      </c>
      <c r="I64" s="280">
        <f t="shared" si="16"/>
        <v>0</v>
      </c>
    </row>
    <row r="65" spans="1:9" s="106" customFormat="1" ht="63" hidden="1" x14ac:dyDescent="0.25">
      <c r="A65" s="779" t="str">
        <f>IF(B65&gt;0,VLOOKUP(B65,КВСР!A35:B1200,2),IF(C65&gt;0,VLOOKUP(C65,КФСР!A35:B1547,2),IF(D65&gt;0,VLOOKUP(D65,Программа!A$1:B$5124,2),IF(F65&gt;0,VLOOKUP(F65,КВР!A$1:B$5001,2),IF(E65&gt;0,VLOOKUP(E65,Направление!A$1:B$4812,2))))))</f>
        <v xml:space="preserve">Закупка товаров, работ и услуг для обеспечения государственных (муниципальных) нужд
</v>
      </c>
      <c r="B65" s="114"/>
      <c r="C65" s="109"/>
      <c r="D65" s="111"/>
      <c r="E65" s="109"/>
      <c r="F65" s="111">
        <v>200</v>
      </c>
      <c r="G65" s="268">
        <v>0</v>
      </c>
      <c r="H65" s="330"/>
      <c r="I65" s="117">
        <f>G65+H65</f>
        <v>0</v>
      </c>
    </row>
    <row r="66" spans="1:9" s="106" customFormat="1" ht="63" x14ac:dyDescent="0.25">
      <c r="A66" s="779" t="str">
        <f>IF(B66&gt;0,VLOOKUP(B66,КВСР!A34:B1199,2),IF(C66&gt;0,VLOOKUP(C66,КФСР!A34:B1546,2),IF(D66&gt;0,VLOOKUP(D66,Программа!A$1:B$5124,2),IF(F66&gt;0,VLOOKUP(F66,КВР!A$1:B$5001,2),IF(E66&gt;0,VLOOKUP(E66,Направление!A$1:B$4812,2))))))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4"/>
      <c r="C66" s="109"/>
      <c r="D66" s="111" t="s">
        <v>426</v>
      </c>
      <c r="E66" s="109"/>
      <c r="F66" s="111"/>
      <c r="G66" s="268">
        <v>109200</v>
      </c>
      <c r="H66" s="330">
        <f>H67</f>
        <v>0</v>
      </c>
      <c r="I66" s="117">
        <f t="shared" si="1"/>
        <v>109200</v>
      </c>
    </row>
    <row r="67" spans="1:9" s="106" customFormat="1" ht="31.5" x14ac:dyDescent="0.25">
      <c r="A67" s="779" t="str">
        <f>IF(B67&gt;0,VLOOKUP(B67,КВСР!A35:B1200,2),IF(C67&gt;0,VLOOKUP(C67,КФСР!A35:B1547,2),IF(D67&gt;0,VLOOKUP(D67,Программа!A$1:B$5124,2),IF(F67&gt;0,VLOOKUP(F67,КВР!A$1:B$5001,2),IF(E67&gt;0,VLOOKUP(E67,Направление!A$1:B$4812,2))))))</f>
        <v>Воспрепятствование проявлениям терроризма и экстремизма</v>
      </c>
      <c r="B67" s="114"/>
      <c r="C67" s="109"/>
      <c r="D67" s="111" t="s">
        <v>1781</v>
      </c>
      <c r="E67" s="109"/>
      <c r="F67" s="111"/>
      <c r="G67" s="268">
        <v>109200</v>
      </c>
      <c r="H67" s="330">
        <f>H68</f>
        <v>0</v>
      </c>
      <c r="I67" s="117">
        <f t="shared" si="1"/>
        <v>109200</v>
      </c>
    </row>
    <row r="68" spans="1:9" s="106" customFormat="1" ht="31.5" x14ac:dyDescent="0.25">
      <c r="A68" s="779" t="str">
        <f>IF(B68&gt;0,VLOOKUP(B68,КВСР!A36:B1201,2),IF(C68&gt;0,VLOOKUP(C68,КФСР!A36:B1548,2),IF(D68&gt;0,VLOOKUP(D68,Программа!A$1:B$5124,2),IF(F68&gt;0,VLOOKUP(F68,КВР!A$1:B$5001,2),IF(E68&gt;0,VLOOKUP(E68,Направление!A$1:B$4812,2))))))</f>
        <v>Обеспечение мероприятий по безопасности жителей города</v>
      </c>
      <c r="B68" s="114"/>
      <c r="C68" s="109"/>
      <c r="D68" s="111"/>
      <c r="E68" s="109">
        <v>29766</v>
      </c>
      <c r="F68" s="111"/>
      <c r="G68" s="268">
        <v>109200</v>
      </c>
      <c r="H68" s="330">
        <f>H69+H70</f>
        <v>0</v>
      </c>
      <c r="I68" s="117">
        <f t="shared" si="1"/>
        <v>109200</v>
      </c>
    </row>
    <row r="69" spans="1:9" s="106" customFormat="1" ht="63" x14ac:dyDescent="0.25">
      <c r="A69" s="779" t="str">
        <f>IF(B69&gt;0,VLOOKUP(B69,КВСР!A37:B1202,2),IF(C69&gt;0,VLOOKUP(C69,КФСР!A37:B1549,2),IF(D69&gt;0,VLOOKUP(D69,Программа!A$1:B$5124,2),IF(F69&gt;0,VLOOKUP(F69,КВР!A$1:B$5001,2),IF(E69&gt;0,VLOOKUP(E69,Направление!A$1:B$4812,2))))))</f>
        <v xml:space="preserve">Закупка товаров, работ и услуг для обеспечения государственных (муниципальных) нужд
</v>
      </c>
      <c r="B69" s="114"/>
      <c r="C69" s="109"/>
      <c r="D69" s="111"/>
      <c r="E69" s="109"/>
      <c r="F69" s="111">
        <v>200</v>
      </c>
      <c r="G69" s="268">
        <v>109200</v>
      </c>
      <c r="H69" s="330"/>
      <c r="I69" s="117">
        <f t="shared" si="1"/>
        <v>109200</v>
      </c>
    </row>
    <row r="70" spans="1:9" s="106" customFormat="1" hidden="1" x14ac:dyDescent="0.25">
      <c r="A70" s="779" t="str">
        <f>IF(B70&gt;0,VLOOKUP(B70,КВСР!A37:B1202,2),IF(C70&gt;0,VLOOKUP(C70,КФСР!A37:B1549,2),IF(D70&gt;0,VLOOKUP(D70,Программа!A$1:B$5124,2),IF(F70&gt;0,VLOOKUP(F70,КВР!A$1:B$5001,2),IF(E70&gt;0,VLOOKUP(E70,Направление!A$1:B$4812,2))))))</f>
        <v>Иные бюджетные ассигнования</v>
      </c>
      <c r="B70" s="114"/>
      <c r="C70" s="109"/>
      <c r="D70" s="111"/>
      <c r="E70" s="109"/>
      <c r="F70" s="111">
        <v>800</v>
      </c>
      <c r="G70" s="268">
        <v>0</v>
      </c>
      <c r="H70" s="330"/>
      <c r="I70" s="117">
        <f t="shared" si="1"/>
        <v>0</v>
      </c>
    </row>
    <row r="71" spans="1:9" s="106" customFormat="1" ht="47.25" hidden="1" x14ac:dyDescent="0.25">
      <c r="A71" s="779" t="str">
        <f>IF(B71&gt;0,VLOOKUP(B71,КВСР!A38:B1203,2),IF(C71&gt;0,VLOOKUP(C71,КФСР!A38:B1550,2),IF(D71&gt;0,VLOOKUP(D71,Программа!A$1:B$5124,2),IF(F71&gt;0,VLOOKUP(F71,КВР!A$1:B$5001,2),IF(E71&gt;0,VLOOKUP(E71,Направление!A$1:B$4812,2))))))</f>
        <v>Муниципальная программа "Обеспечение муниципальных закупок в Тутаевском муниципальном районе"</v>
      </c>
      <c r="B71" s="114"/>
      <c r="C71" s="109"/>
      <c r="D71" s="111" t="s">
        <v>1038</v>
      </c>
      <c r="E71" s="109"/>
      <c r="F71" s="111"/>
      <c r="G71" s="268">
        <v>0</v>
      </c>
      <c r="H71" s="330">
        <f t="shared" ref="H71:H73" si="17">H72</f>
        <v>0</v>
      </c>
      <c r="I71" s="117">
        <f>I72</f>
        <v>0</v>
      </c>
    </row>
    <row r="72" spans="1:9" s="106" customFormat="1" ht="63" hidden="1" x14ac:dyDescent="0.25">
      <c r="A72" s="779" t="str">
        <f>IF(B72&gt;0,VLOOKUP(B72,КВСР!A39:B1204,2),IF(C72&gt;0,VLOOKUP(C72,КФСР!A39:B1551,2),IF(D72&gt;0,VLOOKUP(D72,Программа!A$1:B$5124,2),IF(F72&gt;0,VLOOKUP(F72,КВР!A$1:B$5001,2),IF(E72&gt;0,VLOOKUP(E72,Направление!A$1:B$4812,2))))))</f>
        <v>Организация системы подготовки, планирования, информационного сопровождения и осуществления муниципальных закупок</v>
      </c>
      <c r="B72" s="114"/>
      <c r="C72" s="109"/>
      <c r="D72" s="111" t="s">
        <v>1040</v>
      </c>
      <c r="E72" s="109"/>
      <c r="F72" s="111"/>
      <c r="G72" s="268">
        <v>0</v>
      </c>
      <c r="H72" s="330">
        <f t="shared" si="17"/>
        <v>0</v>
      </c>
      <c r="I72" s="117">
        <f>I73</f>
        <v>0</v>
      </c>
    </row>
    <row r="73" spans="1:9" s="106" customFormat="1" ht="47.25" hidden="1" x14ac:dyDescent="0.25">
      <c r="A73" s="779" t="str">
        <f>IF(B73&gt;0,VLOOKUP(B73,КВСР!A40:B1205,2),IF(C73&gt;0,VLOOKUP(C73,КФСР!A40:B1552,2),IF(D73&gt;0,VLOOKUP(D73,Программа!A$1:B$5124,2),IF(F73&gt;0,VLOOKUP(F73,КВР!A$1:B$5001,2),IF(E73&gt;0,VLOOKUP(E73,Направление!A$1:B$4812,2))))))</f>
        <v>Субсидия на реализацию мероприятий по информационному обеспечению муниципальных закупок</v>
      </c>
      <c r="B73" s="114"/>
      <c r="C73" s="109"/>
      <c r="D73" s="111"/>
      <c r="E73" s="109" t="s">
        <v>1158</v>
      </c>
      <c r="F73" s="111"/>
      <c r="G73" s="268">
        <v>0</v>
      </c>
      <c r="H73" s="330">
        <f t="shared" si="17"/>
        <v>0</v>
      </c>
      <c r="I73" s="117">
        <f>I74</f>
        <v>0</v>
      </c>
    </row>
    <row r="74" spans="1:9" s="106" customFormat="1" ht="63" hidden="1" x14ac:dyDescent="0.25">
      <c r="A74" s="779" t="str">
        <f>IF(B74&gt;0,VLOOKUP(B74,КВСР!A41:B1206,2),IF(C74&gt;0,VLOOKUP(C74,КФСР!A41:B1553,2),IF(D74&gt;0,VLOOKUP(D74,Программа!A$1:B$5124,2),IF(F74&gt;0,VLOOKUP(F74,КВР!A$1:B$5001,2),IF(E74&gt;0,VLOOKUP(E74,Направление!A$1:B$4812,2))))))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1"/>
      <c r="E74" s="109"/>
      <c r="F74" s="111">
        <v>200</v>
      </c>
      <c r="G74" s="268">
        <v>0</v>
      </c>
      <c r="H74" s="330"/>
      <c r="I74" s="117">
        <f>G74+H74</f>
        <v>0</v>
      </c>
    </row>
    <row r="75" spans="1:9" s="106" customFormat="1" ht="78.75" x14ac:dyDescent="0.25">
      <c r="A75" s="779" t="str">
        <f>IF(B75&gt;0,VLOOKUP(B75,КВСР!A34:B1199,2),IF(C75&gt;0,VLOOKUP(C75,КФСР!A34:B1546,2),IF(D75&gt;0,VLOOKUP(D75,Программа!A$1:B$5124,2),IF(F75&gt;0,VLOOKUP(F75,КВР!A$1:B$5001,2),IF(E75&gt;0,VLOOKUP(E75,Направление!A$1:B$4812,2))))))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4"/>
      <c r="C75" s="109"/>
      <c r="D75" s="111" t="s">
        <v>1136</v>
      </c>
      <c r="E75" s="109"/>
      <c r="F75" s="111"/>
      <c r="G75" s="268">
        <v>120000</v>
      </c>
      <c r="H75" s="330">
        <f t="shared" ref="H75:I75" si="18">H76</f>
        <v>161883</v>
      </c>
      <c r="I75" s="330">
        <f t="shared" si="18"/>
        <v>281883</v>
      </c>
    </row>
    <row r="76" spans="1:9" s="106" customFormat="1" ht="31.5" x14ac:dyDescent="0.25">
      <c r="A76" s="779" t="str">
        <f>IF(B76&gt;0,VLOOKUP(B76,КВСР!A35:B1200,2),IF(C76&gt;0,VLOOKUP(C76,КФСР!A35:B1547,2),IF(D76&gt;0,VLOOKUP(D76,Программа!A$1:B$5124,2),IF(F76&gt;0,VLOOKUP(F76,КВР!A$1:B$5001,2),IF(E76&gt;0,VLOOKUP(E76,Направление!A$1:B$4812,2))))))</f>
        <v>Мероприятия по обеспечению безопасности жителей района</v>
      </c>
      <c r="B76" s="114"/>
      <c r="C76" s="109"/>
      <c r="D76" s="111" t="s">
        <v>1137</v>
      </c>
      <c r="E76" s="109"/>
      <c r="F76" s="111"/>
      <c r="G76" s="268">
        <v>120000</v>
      </c>
      <c r="H76" s="330">
        <f t="shared" ref="H76" si="19">H77+H79</f>
        <v>161883</v>
      </c>
      <c r="I76" s="330">
        <f t="shared" ref="I76" si="20">I77+I79</f>
        <v>281883</v>
      </c>
    </row>
    <row r="77" spans="1:9" s="106" customFormat="1" ht="31.5" x14ac:dyDescent="0.25">
      <c r="A77" s="779" t="str">
        <f>IF(B77&gt;0,VLOOKUP(B77,КВСР!A36:B1201,2),IF(C77&gt;0,VLOOKUP(C77,КФСР!A36:B1548,2),IF(D77&gt;0,VLOOKUP(D77,Программа!A$1:B$5124,2),IF(F77&gt;0,VLOOKUP(F77,КВР!A$1:B$5001,2),IF(E77&gt;0,VLOOKUP(E77,Направление!A$1:B$4812,2))))))</f>
        <v>Расходы на обеспечение безопасности жителей района</v>
      </c>
      <c r="B77" s="114"/>
      <c r="C77" s="109"/>
      <c r="D77" s="111"/>
      <c r="E77" s="109">
        <v>12270</v>
      </c>
      <c r="F77" s="111"/>
      <c r="G77" s="268">
        <v>30000</v>
      </c>
      <c r="H77" s="330">
        <f>H78</f>
        <v>0</v>
      </c>
      <c r="I77" s="330">
        <f>I78</f>
        <v>30000</v>
      </c>
    </row>
    <row r="78" spans="1:9" s="106" customFormat="1" ht="63" x14ac:dyDescent="0.25">
      <c r="A78" s="779" t="str">
        <f>IF(B78&gt;0,VLOOKUP(B78,КВСР!A37:B1202,2),IF(C78&gt;0,VLOOKUP(C78,КФСР!A37:B1549,2),IF(D78&gt;0,VLOOKUP(D78,Программа!A$1:B$5124,2),IF(F78&gt;0,VLOOKUP(F78,КВР!A$1:B$5001,2),IF(E78&gt;0,VLOOKUP(E78,Направление!A$1:B$4812,2))))))</f>
        <v xml:space="preserve">Закупка товаров, работ и услуг для обеспечения государственных (муниципальных) нужд
</v>
      </c>
      <c r="B78" s="114"/>
      <c r="C78" s="109"/>
      <c r="D78" s="111"/>
      <c r="E78" s="109"/>
      <c r="F78" s="111">
        <v>200</v>
      </c>
      <c r="G78" s="268">
        <v>30000</v>
      </c>
      <c r="H78" s="330"/>
      <c r="I78" s="117">
        <f t="shared" si="1"/>
        <v>30000</v>
      </c>
    </row>
    <row r="79" spans="1:9" s="106" customFormat="1" ht="31.5" x14ac:dyDescent="0.25">
      <c r="A79" s="779" t="str">
        <f>IF(B79&gt;0,VLOOKUP(B79,КВСР!A38:B1203,2),IF(C79&gt;0,VLOOKUP(C79,КФСР!A38:B1550,2),IF(D79&gt;0,VLOOKUP(D79,Программа!A$1:B$5124,2),IF(F79&gt;0,VLOOKUP(F79,КВР!A$1:B$5001,2),IF(E79&gt;0,VLOOKUP(E79,Направление!A$1:B$4812,2))))))</f>
        <v>Обеспечение мероприятий по безопасности жителей города</v>
      </c>
      <c r="B79" s="114"/>
      <c r="C79" s="109"/>
      <c r="D79" s="111"/>
      <c r="E79" s="109">
        <v>29766</v>
      </c>
      <c r="F79" s="111"/>
      <c r="G79" s="268">
        <v>90000</v>
      </c>
      <c r="H79" s="330">
        <f t="shared" ref="H79:I79" si="21">H80</f>
        <v>161883</v>
      </c>
      <c r="I79" s="268">
        <f t="shared" si="21"/>
        <v>251883</v>
      </c>
    </row>
    <row r="80" spans="1:9" s="106" customFormat="1" ht="63" x14ac:dyDescent="0.25">
      <c r="A80" s="779" t="str">
        <f>IF(B80&gt;0,VLOOKUP(B80,КВСР!A39:B1204,2),IF(C80&gt;0,VLOOKUP(C80,КФСР!A39:B1551,2),IF(D80&gt;0,VLOOKUP(D80,Программа!A$1:B$5124,2),IF(F80&gt;0,VLOOKUP(F80,КВР!A$1:B$5001,2),IF(E80&gt;0,VLOOKUP(E80,Направление!A$1:B$4812,2))))))</f>
        <v xml:space="preserve">Закупка товаров, работ и услуг для обеспечения государственных (муниципальных) нужд
</v>
      </c>
      <c r="B80" s="114"/>
      <c r="C80" s="109"/>
      <c r="D80" s="111"/>
      <c r="E80" s="109"/>
      <c r="F80" s="111">
        <v>200</v>
      </c>
      <c r="G80" s="268">
        <v>90000</v>
      </c>
      <c r="H80" s="330">
        <v>161883</v>
      </c>
      <c r="I80" s="117">
        <f>G80+H80</f>
        <v>251883</v>
      </c>
    </row>
    <row r="81" spans="1:9" s="106" customFormat="1" ht="78.75" hidden="1" x14ac:dyDescent="0.25">
      <c r="A81" s="779" t="str">
        <f>IF(B81&gt;0,VLOOKUP(B81,КВСР!A38:B1203,2),IF(C81&gt;0,VLOOKUP(C81,КФСР!A38:B1550,2),IF(D81&gt;0,VLOOKUP(D81,Программа!A$1:B$5124,2),IF(F81&gt;0,VLOOKUP(F81,КВР!A$1:B$5001,2),IF(E81&gt;0,VLOOKUP(E81,Направление!A$1:B$4812,2))))))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4"/>
      <c r="C81" s="109"/>
      <c r="D81" s="111" t="s">
        <v>1188</v>
      </c>
      <c r="E81" s="109"/>
      <c r="F81" s="111"/>
      <c r="G81" s="268">
        <v>0</v>
      </c>
      <c r="H81" s="330">
        <f t="shared" ref="H81:I83" si="22">H82</f>
        <v>0</v>
      </c>
      <c r="I81" s="268">
        <f t="shared" si="22"/>
        <v>0</v>
      </c>
    </row>
    <row r="82" spans="1:9" s="106" customFormat="1" ht="47.25" hidden="1" x14ac:dyDescent="0.25">
      <c r="A82" s="779" t="str">
        <f>IF(B82&gt;0,VLOOKUP(B82,КВСР!A39:B1204,2),IF(C82&gt;0,VLOOKUP(C82,КФСР!A39:B1551,2),IF(D82&gt;0,VLOOKUP(D82,Программа!A$1:B$5124,2),IF(F82&gt;0,VLOOKUP(F82,КВР!A$1:B$5001,2),IF(E82&gt;0,VLOOKUP(E82,Направление!A$1:B$4812,2))))))</f>
        <v>Проведение историко-культурной экспертизы объектов культурного наследия</v>
      </c>
      <c r="B82" s="114"/>
      <c r="C82" s="109"/>
      <c r="D82" s="111" t="s">
        <v>1192</v>
      </c>
      <c r="E82" s="109"/>
      <c r="F82" s="111"/>
      <c r="G82" s="268">
        <v>0</v>
      </c>
      <c r="H82" s="330">
        <f t="shared" si="22"/>
        <v>0</v>
      </c>
      <c r="I82" s="268">
        <f t="shared" si="22"/>
        <v>0</v>
      </c>
    </row>
    <row r="83" spans="1:9" s="106" customFormat="1" ht="31.5" hidden="1" x14ac:dyDescent="0.25">
      <c r="A83" s="779" t="str">
        <f>IF(B83&gt;0,VLOOKUP(B83,КВСР!A40:B1205,2),IF(C83&gt;0,VLOOKUP(C83,КФСР!A40:B1552,2),IF(D83&gt;0,VLOOKUP(D83,Программа!A$1:B$5124,2),IF(F83&gt;0,VLOOKUP(F83,КВР!A$1:B$5001,2),IF(E83&gt;0,VLOOKUP(E83,Направление!A$1:B$4812,2))))))</f>
        <v>Выполнение других обязательств органов местного самоуправления</v>
      </c>
      <c r="B83" s="114"/>
      <c r="C83" s="109"/>
      <c r="D83" s="111"/>
      <c r="E83" s="109">
        <v>12080</v>
      </c>
      <c r="F83" s="111"/>
      <c r="G83" s="268">
        <v>0</v>
      </c>
      <c r="H83" s="330">
        <f t="shared" si="22"/>
        <v>0</v>
      </c>
      <c r="I83" s="268">
        <f t="shared" si="22"/>
        <v>0</v>
      </c>
    </row>
    <row r="84" spans="1:9" s="106" customFormat="1" ht="63" hidden="1" x14ac:dyDescent="0.25">
      <c r="A84" s="779" t="str">
        <f>IF(B84&gt;0,VLOOKUP(B84,КВСР!A41:B1206,2),IF(C84&gt;0,VLOOKUP(C84,КФСР!A41:B1553,2),IF(D84&gt;0,VLOOKUP(D84,Программа!A$1:B$5124,2),IF(F84&gt;0,VLOOKUP(F84,КВР!A$1:B$5001,2),IF(E84&gt;0,VLOOKUP(E84,Направление!A$1:B$4812,2))))))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1"/>
      <c r="E84" s="109"/>
      <c r="F84" s="111">
        <v>200</v>
      </c>
      <c r="G84" s="268">
        <v>0</v>
      </c>
      <c r="H84" s="330"/>
      <c r="I84" s="117">
        <f>G84+H84</f>
        <v>0</v>
      </c>
    </row>
    <row r="85" spans="1:9" s="106" customFormat="1" x14ac:dyDescent="0.25">
      <c r="A85" s="779" t="str">
        <f>IF(B85&gt;0,VLOOKUP(B85,КВСР!A26:B1191,2),IF(C85&gt;0,VLOOKUP(C85,КФСР!A26:B1538,2),IF(D85&gt;0,VLOOKUP(D85,Программа!A$1:B$5124,2),IF(F85&gt;0,VLOOKUP(F85,КВР!A$1:B$5001,2),IF(E85&gt;0,VLOOKUP(E85,Направление!A$1:B$4812,2))))))</f>
        <v>Непрограммные расходы бюджета</v>
      </c>
      <c r="B85" s="114"/>
      <c r="C85" s="109"/>
      <c r="D85" s="110" t="s">
        <v>311</v>
      </c>
      <c r="E85" s="109"/>
      <c r="F85" s="111"/>
      <c r="G85" s="330">
        <v>66335176</v>
      </c>
      <c r="H85" s="330">
        <f>H113+H116+H107+H86+H90+H99+H96+H101+H103+H105+H110</f>
        <v>5896762</v>
      </c>
      <c r="I85" s="330">
        <f>I113+I116+I107+I86+I90+I99+I96+I101+I103+I105+I110</f>
        <v>72231938</v>
      </c>
    </row>
    <row r="86" spans="1:9" s="106" customFormat="1" ht="31.5" x14ac:dyDescent="0.25">
      <c r="A86" s="779" t="str">
        <f>IF(B86&gt;0,VLOOKUP(B86,КВСР!A27:B1192,2),IF(C86&gt;0,VLOOKUP(C86,КФСР!A27:B1539,2),IF(D86&gt;0,VLOOKUP(D86,Программа!A$1:B$5124,2),IF(F86&gt;0,VLOOKUP(F86,КВР!A$1:B$5001,2),IF(E86&gt;0,VLOOKUP(E86,Направление!A$1:B$4812,2))))))</f>
        <v>Выполнение других обязательств органов местного самоуправления</v>
      </c>
      <c r="B86" s="114"/>
      <c r="C86" s="109"/>
      <c r="D86" s="110"/>
      <c r="E86" s="109">
        <v>12080</v>
      </c>
      <c r="F86" s="111"/>
      <c r="G86" s="268">
        <v>16238100</v>
      </c>
      <c r="H86" s="330">
        <f>H87+H89+H88</f>
        <v>96762</v>
      </c>
      <c r="I86" s="268">
        <f>I87+I89+I88</f>
        <v>16334862</v>
      </c>
    </row>
    <row r="87" spans="1:9" s="106" customFormat="1" ht="63" x14ac:dyDescent="0.25">
      <c r="A87" s="779" t="str">
        <f>IF(B87&gt;0,VLOOKUP(B87,КВСР!A28:B1193,2),IF(C87&gt;0,VLOOKUP(C87,КФСР!A28:B1540,2),IF(D87&gt;0,VLOOKUP(D87,Программа!A$1:B$5124,2),IF(F87&gt;0,VLOOKUP(F87,КВР!A$1:B$5001,2),IF(E87&gt;0,VLOOKUP(E87,Направление!A$1:B$4812,2))))))</f>
        <v xml:space="preserve">Закупка товаров, работ и услуг для обеспечения государственных (муниципальных) нужд
</v>
      </c>
      <c r="B87" s="114"/>
      <c r="C87" s="109"/>
      <c r="D87" s="110"/>
      <c r="E87" s="109"/>
      <c r="F87" s="111">
        <v>200</v>
      </c>
      <c r="G87" s="268">
        <v>4838100</v>
      </c>
      <c r="H87" s="330">
        <f>-47888+3000000+144650</f>
        <v>3096762</v>
      </c>
      <c r="I87" s="117">
        <f t="shared" si="1"/>
        <v>7934862</v>
      </c>
    </row>
    <row r="88" spans="1:9" s="106" customFormat="1" ht="47.25" x14ac:dyDescent="0.25">
      <c r="A88" s="779" t="str">
        <f>IF(B88&gt;0,VLOOKUP(B88,КВСР!A29:B1194,2),IF(C88&gt;0,VLOOKUP(C88,КФСР!A29:B1541,2),IF(D88&gt;0,VLOOKUP(D88,Программа!A$1:B$5124,2),IF(F88&gt;0,VLOOKUP(F88,КВР!A$1:B$5001,2),IF(E88&gt;0,VLOOKUP(E88,Направление!A$1:B$4812,2))))))</f>
        <v>Капитальные вложения в объекты государственной (муниципальной) собственности</v>
      </c>
      <c r="B88" s="114"/>
      <c r="C88" s="109"/>
      <c r="D88" s="110"/>
      <c r="E88" s="109"/>
      <c r="F88" s="111">
        <v>400</v>
      </c>
      <c r="G88" s="268">
        <v>8500000</v>
      </c>
      <c r="H88" s="330">
        <f>-3000000+2000000-2000000</f>
        <v>-3000000</v>
      </c>
      <c r="I88" s="117">
        <f t="shared" si="1"/>
        <v>5500000</v>
      </c>
    </row>
    <row r="89" spans="1:9" s="106" customFormat="1" x14ac:dyDescent="0.25">
      <c r="A89" s="779" t="str">
        <f>IF(B89&gt;0,VLOOKUP(B89,КВСР!A30:B1195,2),IF(C89&gt;0,VLOOKUP(C89,КФСР!A30:B1542,2),IF(D89&gt;0,VLOOKUP(D89,Программа!A$1:B$5124,2),IF(F89&gt;0,VLOOKUP(F89,КВР!A$1:B$5001,2),IF(E89&gt;0,VLOOKUP(E89,Направление!A$1:B$4812,2))))))</f>
        <v>Иные бюджетные ассигнования</v>
      </c>
      <c r="B89" s="114"/>
      <c r="C89" s="109"/>
      <c r="D89" s="110"/>
      <c r="E89" s="109"/>
      <c r="F89" s="111">
        <v>800</v>
      </c>
      <c r="G89" s="268">
        <v>2900000</v>
      </c>
      <c r="H89" s="330"/>
      <c r="I89" s="117">
        <f t="shared" si="1"/>
        <v>2900000</v>
      </c>
    </row>
    <row r="90" spans="1:9" s="106" customFormat="1" ht="47.25" x14ac:dyDescent="0.25">
      <c r="A90" s="779" t="str">
        <f>IF(B90&gt;0,VLOOKUP(B90,КВСР!A29:B1194,2),IF(C90&gt;0,VLOOKUP(C90,КФСР!A29:B1541,2),IF(D90&gt;0,VLOOKUP(D90,Программа!A$1:B$5124,2),IF(F90&gt;0,VLOOKUP(F90,КВР!A$1:B$5001,2),IF(E90&gt;0,VLOOKUP(E90,Направление!A$1:B$4812,2))))))</f>
        <v>Обеспечение деятельности подведомственных учреждений органов местного самоуправления</v>
      </c>
      <c r="B90" s="114"/>
      <c r="C90" s="109"/>
      <c r="D90" s="110"/>
      <c r="E90" s="109">
        <v>12100</v>
      </c>
      <c r="F90" s="111"/>
      <c r="G90" s="268">
        <v>36912948</v>
      </c>
      <c r="H90" s="330">
        <f>H91+H92+H95+H94+H93</f>
        <v>3600000</v>
      </c>
      <c r="I90" s="330">
        <f>I91+I92+I95+I94+I93</f>
        <v>40512948</v>
      </c>
    </row>
    <row r="91" spans="1:9" s="106" customFormat="1" ht="110.25" x14ac:dyDescent="0.25">
      <c r="A91" s="779" t="str">
        <f>IF(B91&gt;0,VLOOKUP(B91,КВСР!A28:B1193,2),IF(C91&gt;0,VLOOKUP(C91,КФСР!A28:B1540,2),IF(D91&gt;0,VLOOKUP(D91,Программа!A$1:B$5124,2),IF(F91&gt;0,VLOOKUP(F91,КВР!A$1:B$5001,2),IF(E91&gt;0,VLOOKUP(E91,Направление!A$1:B$4812,2))))))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4"/>
      <c r="C91" s="109"/>
      <c r="D91" s="110"/>
      <c r="E91" s="109"/>
      <c r="F91" s="111">
        <v>100</v>
      </c>
      <c r="G91" s="268">
        <v>27108006</v>
      </c>
      <c r="H91" s="330">
        <f>2800000+800000+472200-42600-150000</f>
        <v>3879600</v>
      </c>
      <c r="I91" s="117">
        <f t="shared" si="1"/>
        <v>30987606</v>
      </c>
    </row>
    <row r="92" spans="1:9" s="106" customFormat="1" ht="63" x14ac:dyDescent="0.25">
      <c r="A92" s="779" t="str">
        <f>IF(B92&gt;0,VLOOKUP(B92,КВСР!A29:B1194,2),IF(C92&gt;0,VLOOKUP(C92,КФСР!A29:B1541,2),IF(D92&gt;0,VLOOKUP(D92,Программа!A$1:B$5124,2),IF(F92&gt;0,VLOOKUP(F92,КВР!A$1:B$5001,2),IF(E92&gt;0,VLOOKUP(E92,Направление!A$1:B$4812,2))))))</f>
        <v xml:space="preserve">Закупка товаров, работ и услуг для обеспечения государственных (муниципальных) нужд
</v>
      </c>
      <c r="B92" s="114"/>
      <c r="C92" s="109"/>
      <c r="D92" s="110"/>
      <c r="E92" s="109"/>
      <c r="F92" s="111">
        <v>200</v>
      </c>
      <c r="G92" s="268">
        <v>7793462</v>
      </c>
      <c r="H92" s="330">
        <v>-439600</v>
      </c>
      <c r="I92" s="117">
        <f t="shared" si="1"/>
        <v>7353862</v>
      </c>
    </row>
    <row r="93" spans="1:9" s="106" customFormat="1" ht="31.5" x14ac:dyDescent="0.25">
      <c r="A93" s="779" t="str">
        <f>IF(B93&gt;0,VLOOKUP(B93,КВСР!A30:B1195,2),IF(C93&gt;0,VLOOKUP(C93,КФСР!A30:B1542,2),IF(D93&gt;0,VLOOKUP(D93,Программа!A$1:B$5124,2),IF(F93&gt;0,VLOOKUP(F93,КВР!A$1:B$5001,2),IF(E93&gt;0,VLOOKUP(E93,Направление!A$1:B$4812,2))))))</f>
        <v>Социальное обеспечение и иные выплаты населению</v>
      </c>
      <c r="B93" s="114"/>
      <c r="C93" s="109"/>
      <c r="D93" s="110"/>
      <c r="E93" s="109"/>
      <c r="F93" s="111">
        <v>300</v>
      </c>
      <c r="G93" s="268">
        <v>58920</v>
      </c>
      <c r="H93" s="330"/>
      <c r="I93" s="117">
        <f t="shared" si="1"/>
        <v>58920</v>
      </c>
    </row>
    <row r="94" spans="1:9" s="106" customFormat="1" ht="47.25" x14ac:dyDescent="0.25">
      <c r="A94" s="779" t="str">
        <f>IF(B94&gt;0,VLOOKUP(B94,КВСР!A30:B1195,2),IF(C94&gt;0,VLOOKUP(C94,КФСР!A30:B1542,2),IF(D94&gt;0,VLOOKUP(D94,Программа!A$1:B$5124,2),IF(F94&gt;0,VLOOKUP(F94,КВР!A$1:B$5001,2),IF(E94&gt;0,VLOOKUP(E94,Направление!A$1:B$4812,2))))))</f>
        <v>Предоставление субсидий бюджетным, автономным учреждениям и иным некоммерческим организациям</v>
      </c>
      <c r="B94" s="114"/>
      <c r="C94" s="109"/>
      <c r="D94" s="110"/>
      <c r="E94" s="109"/>
      <c r="F94" s="111">
        <v>600</v>
      </c>
      <c r="G94" s="268">
        <v>1805260</v>
      </c>
      <c r="H94" s="330"/>
      <c r="I94" s="117">
        <f t="shared" si="1"/>
        <v>1805260</v>
      </c>
    </row>
    <row r="95" spans="1:9" s="106" customFormat="1" x14ac:dyDescent="0.25">
      <c r="A95" s="779" t="str">
        <f>IF(B95&gt;0,VLOOKUP(B95,КВСР!A30:B1195,2),IF(C95&gt;0,VLOOKUP(C95,КФСР!A30:B1542,2),IF(D95&gt;0,VLOOKUP(D95,Программа!A$1:B$5124,2),IF(F95&gt;0,VLOOKUP(F95,КВР!A$1:B$5001,2),IF(E95&gt;0,VLOOKUP(E95,Направление!A$1:B$4812,2))))))</f>
        <v>Иные бюджетные ассигнования</v>
      </c>
      <c r="B95" s="114"/>
      <c r="C95" s="109"/>
      <c r="D95" s="110"/>
      <c r="E95" s="109"/>
      <c r="F95" s="111">
        <v>800</v>
      </c>
      <c r="G95" s="268">
        <v>147300</v>
      </c>
      <c r="H95" s="330">
        <v>160000</v>
      </c>
      <c r="I95" s="117">
        <f t="shared" si="1"/>
        <v>307300</v>
      </c>
    </row>
    <row r="96" spans="1:9" s="106" customFormat="1" ht="47.25" x14ac:dyDescent="0.25">
      <c r="A96" s="779" t="str">
        <f>IF(B96&gt;0,VLOOKUP(B96,КВСР!A31:B1196,2),IF(C96&gt;0,VLOOKUP(C96,КФСР!A31:B1543,2),IF(D96&gt;0,VLOOKUP(D96,Программа!A$1:B$5124,2),IF(F96&gt;0,VLOOKUP(F96,КВР!A$1:B$5001,2),IF(E96&gt;0,VLOOKUP(E96,Направление!A$1:B$4812,2))))))</f>
        <v>Исполнение судебных актов, актов других органов и должностных лиц, иных документов</v>
      </c>
      <c r="B96" s="114"/>
      <c r="C96" s="109"/>
      <c r="D96" s="110"/>
      <c r="E96" s="109">
        <v>12130</v>
      </c>
      <c r="F96" s="111"/>
      <c r="G96" s="268">
        <v>6567883</v>
      </c>
      <c r="H96" s="330">
        <f t="shared" ref="H96:I96" si="23">H98+H97</f>
        <v>2000000</v>
      </c>
      <c r="I96" s="268">
        <f t="shared" si="23"/>
        <v>8567883</v>
      </c>
    </row>
    <row r="97" spans="1:9" s="106" customFormat="1" ht="47.25" hidden="1" x14ac:dyDescent="0.25">
      <c r="A97" s="779" t="str">
        <f>IF(B97&gt;0,VLOOKUP(B97,КВСР!A32:B1197,2),IF(C97&gt;0,VLOOKUP(C97,КФСР!A32:B1544,2),IF(D97&gt;0,VLOOKUP(D97,Программа!A$1:B$5124,2),IF(F97&gt;0,VLOOKUP(F97,КВР!A$1:B$5001,2),IF(E97&gt;0,VLOOKUP(E97,Направление!A$1:B$4812,2))))))</f>
        <v>Предоставление субсидий бюджетным, автономным учреждениям и иным некоммерческим организациям</v>
      </c>
      <c r="B97" s="114"/>
      <c r="C97" s="109"/>
      <c r="D97" s="110"/>
      <c r="E97" s="109"/>
      <c r="F97" s="111">
        <v>600</v>
      </c>
      <c r="G97" s="268">
        <v>0</v>
      </c>
      <c r="H97" s="330"/>
      <c r="I97" s="117">
        <f t="shared" si="1"/>
        <v>0</v>
      </c>
    </row>
    <row r="98" spans="1:9" s="106" customFormat="1" x14ac:dyDescent="0.25">
      <c r="A98" s="779" t="str">
        <f>IF(B98&gt;0,VLOOKUP(B98,КВСР!A32:B1197,2),IF(C98&gt;0,VLOOKUP(C98,КФСР!A32:B1544,2),IF(D98&gt;0,VLOOKUP(D98,Программа!A$1:B$5124,2),IF(F98&gt;0,VLOOKUP(F98,КВР!A$1:B$5001,2),IF(E98&gt;0,VLOOKUP(E98,Направление!A$1:B$4812,2))))))</f>
        <v>Иные бюджетные ассигнования</v>
      </c>
      <c r="B98" s="114"/>
      <c r="C98" s="109"/>
      <c r="D98" s="110"/>
      <c r="E98" s="109"/>
      <c r="F98" s="111">
        <v>800</v>
      </c>
      <c r="G98" s="268">
        <v>6567883</v>
      </c>
      <c r="H98" s="330">
        <f>2000000+50000-50000</f>
        <v>2000000</v>
      </c>
      <c r="I98" s="117">
        <f t="shared" si="1"/>
        <v>8567883</v>
      </c>
    </row>
    <row r="99" spans="1:9" s="106" customFormat="1" ht="31.5" x14ac:dyDescent="0.25">
      <c r="A99" s="779" t="str">
        <f>IF(B99&gt;0,VLOOKUP(B99,КВСР!A30:B1195,2),IF(C99&gt;0,VLOOKUP(C99,КФСР!A30:B1542,2),IF(D99&gt;0,VLOOKUP(D99,Программа!A$1:B$5124,2),IF(F99&gt;0,VLOOKUP(F99,КВР!A$1:B$5001,2),IF(E99&gt;0,VLOOKUP(E99,Направление!A$1:B$4812,2))))))</f>
        <v>Представительские расходы органов местного самоуправления</v>
      </c>
      <c r="B99" s="114"/>
      <c r="C99" s="109"/>
      <c r="D99" s="110"/>
      <c r="E99" s="109">
        <v>12600</v>
      </c>
      <c r="F99" s="111"/>
      <c r="G99" s="268">
        <v>600000</v>
      </c>
      <c r="H99" s="330">
        <f>H100</f>
        <v>200000</v>
      </c>
      <c r="I99" s="330">
        <f>I100</f>
        <v>800000</v>
      </c>
    </row>
    <row r="100" spans="1:9" s="106" customFormat="1" ht="63" x14ac:dyDescent="0.25">
      <c r="A100" s="779" t="str">
        <f>IF(B100&gt;0,VLOOKUP(B100,КВСР!A32:B1197,2),IF(C100&gt;0,VLOOKUP(C100,КФСР!A32:B1544,2),IF(D100&gt;0,VLOOKUP(D100,Программа!A$1:B$5124,2),IF(F100&gt;0,VLOOKUP(F100,КВР!A$1:B$5001,2),IF(E100&gt;0,VLOOKUP(E100,Направление!A$1:B$4812,2))))))</f>
        <v xml:space="preserve">Закупка товаров, работ и услуг для обеспечения государственных (муниципальных) нужд
</v>
      </c>
      <c r="B100" s="114"/>
      <c r="C100" s="109"/>
      <c r="D100" s="110"/>
      <c r="E100" s="109"/>
      <c r="F100" s="111">
        <v>200</v>
      </c>
      <c r="G100" s="268">
        <v>600000</v>
      </c>
      <c r="H100" s="330">
        <v>200000</v>
      </c>
      <c r="I100" s="117">
        <f t="shared" si="1"/>
        <v>800000</v>
      </c>
    </row>
    <row r="101" spans="1:9" s="106" customFormat="1" ht="94.5" x14ac:dyDescent="0.25">
      <c r="A101" s="779" t="str">
        <f>IF(B101&gt;0,VLOOKUP(B101,КВСР!A33:B1198,2),IF(C101&gt;0,VLOOKUP(C101,КФСР!A33:B1545,2),IF(D101&gt;0,VLOOKUP(D101,Программа!A$1:B$5124,2),IF(F101&gt;0,VLOOKUP(F101,КВР!A$1:B$5001,2),IF(E101&gt;0,VLOOKUP(E101,Направление!A$1:B$4812,2))))))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1" s="114"/>
      <c r="C101" s="109"/>
      <c r="D101" s="110"/>
      <c r="E101" s="109">
        <v>29026</v>
      </c>
      <c r="F101" s="111"/>
      <c r="G101" s="268">
        <v>75000</v>
      </c>
      <c r="H101" s="330">
        <f t="shared" ref="H101" si="24">H102</f>
        <v>0</v>
      </c>
      <c r="I101" s="117">
        <f t="shared" si="1"/>
        <v>75000</v>
      </c>
    </row>
    <row r="102" spans="1:9" s="106" customFormat="1" ht="63" x14ac:dyDescent="0.25">
      <c r="A102" s="779" t="str">
        <f>IF(B102&gt;0,VLOOKUP(B102,КВСР!A34:B1199,2),IF(C102&gt;0,VLOOKUP(C102,КФСР!A34:B1546,2),IF(D102&gt;0,VLOOKUP(D102,Программа!A$1:B$5124,2),IF(F102&gt;0,VLOOKUP(F102,КВР!A$1:B$5001,2),IF(E102&gt;0,VLOOKUP(E102,Направление!A$1:B$4812,2))))))</f>
        <v xml:space="preserve">Закупка товаров, работ и услуг для обеспечения государственных (муниципальных) нужд
</v>
      </c>
      <c r="B102" s="114"/>
      <c r="C102" s="109"/>
      <c r="D102" s="110"/>
      <c r="E102" s="109"/>
      <c r="F102" s="111">
        <v>200</v>
      </c>
      <c r="G102" s="268">
        <v>75000</v>
      </c>
      <c r="H102" s="330"/>
      <c r="I102" s="117">
        <f t="shared" si="1"/>
        <v>75000</v>
      </c>
    </row>
    <row r="103" spans="1:9" s="106" customFormat="1" ht="63" hidden="1" x14ac:dyDescent="0.25">
      <c r="A103" s="779" t="str">
        <f>IF(B103&gt;0,VLOOKUP(B103,КВСР!A35:B1200,2),IF(C103&gt;0,VLOOKUP(C103,КФСР!A35:B1547,2),IF(D103&gt;0,VLOOKUP(D103,Программа!A$1:B$5124,2),IF(F103&gt;0,VLOOKUP(F103,КВР!A$1:B$5001,2),IF(E103&gt;0,VLOOKUP(E103,Направление!A$1:B$4812,2))))))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4"/>
      <c r="C103" s="109"/>
      <c r="D103" s="110"/>
      <c r="E103" s="109">
        <v>29556</v>
      </c>
      <c r="F103" s="111"/>
      <c r="G103" s="268">
        <v>0</v>
      </c>
      <c r="H103" s="330">
        <f t="shared" ref="H103:I103" si="25">H104</f>
        <v>0</v>
      </c>
      <c r="I103" s="268">
        <f t="shared" si="25"/>
        <v>0</v>
      </c>
    </row>
    <row r="104" spans="1:9" s="106" customFormat="1" ht="47.25" hidden="1" x14ac:dyDescent="0.25">
      <c r="A104" s="779" t="str">
        <f>IF(B104&gt;0,VLOOKUP(B104,КВСР!A36:B1201,2),IF(C104&gt;0,VLOOKUP(C104,КФСР!A36:B1548,2),IF(D104&gt;0,VLOOKUP(D104,Программа!A$1:B$5124,2),IF(F104&gt;0,VLOOKUP(F104,КВР!A$1:B$5001,2),IF(E104&gt;0,VLOOKUP(E104,Направление!A$1:B$4812,2))))))</f>
        <v>Предоставление субсидий бюджетным, автономным учреждениям и иным некоммерческим организациям</v>
      </c>
      <c r="B104" s="114"/>
      <c r="C104" s="109"/>
      <c r="D104" s="110"/>
      <c r="E104" s="109"/>
      <c r="F104" s="111">
        <v>600</v>
      </c>
      <c r="G104" s="268">
        <v>0</v>
      </c>
      <c r="H104" s="330"/>
      <c r="I104" s="117">
        <f>G104+H104</f>
        <v>0</v>
      </c>
    </row>
    <row r="105" spans="1:9" s="106" customFormat="1" ht="47.25" hidden="1" x14ac:dyDescent="0.25">
      <c r="A105" s="779" t="str">
        <f>IF(B105&gt;0,VLOOKUP(B105,КВСР!A37:B1202,2),IF(C105&gt;0,VLOOKUP(C105,КФСР!A37:B1549,2),IF(D105&gt;0,VLOOKUP(D105,Программа!A$1:B$5124,2),IF(F105&gt;0,VLOOKUP(F105,КВР!A$1:B$5001,2),IF(E105&gt;0,VLOOKUP(E105,Направление!A$1:B$4812,2))))))</f>
        <v>Субвенции на проведение Всероссийской переписи населения 2020 года</v>
      </c>
      <c r="B105" s="114"/>
      <c r="C105" s="109"/>
      <c r="D105" s="110"/>
      <c r="E105" s="109">
        <v>54690</v>
      </c>
      <c r="F105" s="111"/>
      <c r="G105" s="268">
        <v>0</v>
      </c>
      <c r="H105" s="330">
        <f t="shared" ref="H105:I105" si="26">H106</f>
        <v>0</v>
      </c>
      <c r="I105" s="268">
        <f t="shared" si="26"/>
        <v>0</v>
      </c>
    </row>
    <row r="106" spans="1:9" s="106" customFormat="1" ht="63" hidden="1" x14ac:dyDescent="0.25">
      <c r="A106" s="779" t="str">
        <f>IF(B106&gt;0,VLOOKUP(B106,КВСР!A38:B1203,2),IF(C106&gt;0,VLOOKUP(C106,КФСР!A38:B1550,2),IF(D106&gt;0,VLOOKUP(D106,Программа!A$1:B$5124,2),IF(F106&gt;0,VLOOKUP(F106,КВР!A$1:B$5001,2),IF(E106&gt;0,VLOOKUP(E106,Направление!A$1:B$4812,2))))))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268">
        <v>0</v>
      </c>
      <c r="H106" s="330"/>
      <c r="I106" s="117">
        <f>G106+H106</f>
        <v>0</v>
      </c>
    </row>
    <row r="107" spans="1:9" s="106" customFormat="1" ht="47.25" x14ac:dyDescent="0.25">
      <c r="A107" s="779" t="str">
        <f>IF(B107&gt;0,VLOOKUP(B107,КВСР!A30:B1195,2),IF(C107&gt;0,VLOOKUP(C107,КФСР!A30:B1542,2),IF(D107&gt;0,VLOOKUP(D107,Программа!A$1:B$5124,2),IF(F107&gt;0,VLOOKUP(F107,КВР!A$1:B$5001,2),IF(E107&gt;0,VLOOKUP(E107,Направление!A$1:B$4812,2))))))</f>
        <v>Расходы на осуществление полномочий на государственную регистрацию актов гражданского состояния</v>
      </c>
      <c r="B107" s="114"/>
      <c r="C107" s="109"/>
      <c r="D107" s="110"/>
      <c r="E107" s="109">
        <v>59300</v>
      </c>
      <c r="F107" s="111"/>
      <c r="G107" s="268">
        <v>2674267</v>
      </c>
      <c r="H107" s="330">
        <f>H108+H109</f>
        <v>0</v>
      </c>
      <c r="I107" s="330">
        <f>I108+I109</f>
        <v>2674267</v>
      </c>
    </row>
    <row r="108" spans="1:9" s="106" customFormat="1" ht="110.25" x14ac:dyDescent="0.25">
      <c r="A108" s="779" t="str">
        <f>IF(B108&gt;0,VLOOKUP(B108,КВСР!A30:B1195,2),IF(C108&gt;0,VLOOKUP(C108,КФСР!A30:B1542,2),IF(D108&gt;0,VLOOKUP(D108,Программа!A$1:B$5124,2),IF(F108&gt;0,VLOOKUP(F108,КВР!A$1:B$5001,2),IF(E108&gt;0,VLOOKUP(E108,Направление!A$1:B$4812,2))))))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4"/>
      <c r="C108" s="109"/>
      <c r="D108" s="111"/>
      <c r="E108" s="109"/>
      <c r="F108" s="111">
        <v>100</v>
      </c>
      <c r="G108" s="268">
        <v>2613217</v>
      </c>
      <c r="H108" s="268">
        <f>-10583+10583</f>
        <v>0</v>
      </c>
      <c r="I108" s="117">
        <f t="shared" si="1"/>
        <v>2613217</v>
      </c>
    </row>
    <row r="109" spans="1:9" s="106" customFormat="1" ht="63" x14ac:dyDescent="0.25">
      <c r="A109" s="779" t="str">
        <f>IF(B109&gt;0,VLOOKUP(B109,КВСР!A31:B1196,2),IF(C109&gt;0,VLOOKUP(C109,КФСР!A31:B1543,2),IF(D109&gt;0,VLOOKUP(D109,Программа!A$1:B$5124,2),IF(F109&gt;0,VLOOKUP(F109,КВР!A$1:B$5001,2),IF(E109&gt;0,VLOOKUP(E109,Направление!A$1:B$4812,2))))))</f>
        <v xml:space="preserve">Закупка товаров, работ и услуг для обеспечения государственных (муниципальных) нужд
</v>
      </c>
      <c r="B109" s="114"/>
      <c r="C109" s="109"/>
      <c r="D109" s="111"/>
      <c r="E109" s="109"/>
      <c r="F109" s="111">
        <v>200</v>
      </c>
      <c r="G109" s="268">
        <v>61050</v>
      </c>
      <c r="H109" s="330"/>
      <c r="I109" s="117">
        <f t="shared" si="1"/>
        <v>61050</v>
      </c>
    </row>
    <row r="110" spans="1:9" s="106" customFormat="1" hidden="1" x14ac:dyDescent="0.25">
      <c r="A110" s="779" t="str">
        <f>IF(B110&gt;0,VLOOKUP(B110,КВСР!A32:B1197,2),IF(C110&gt;0,VLOOKUP(C110,КФСР!A32:B1544,2),IF(D110&gt;0,VLOOKUP(D110,Программа!A$1:B$5124,2),IF(F110&gt;0,VLOOKUP(F110,КВР!A$1:B$5001,2),IF(E110&gt;0,VLOOKUP(E110,Направление!A$1:B$4812,2))))))</f>
        <v xml:space="preserve">Иная дотация </v>
      </c>
      <c r="B110" s="114"/>
      <c r="C110" s="109"/>
      <c r="D110" s="111"/>
      <c r="E110" s="109">
        <v>73260</v>
      </c>
      <c r="F110" s="111"/>
      <c r="G110" s="268">
        <v>0</v>
      </c>
      <c r="H110" s="330">
        <f t="shared" ref="H110:I110" si="27">H111+H112</f>
        <v>0</v>
      </c>
      <c r="I110" s="268">
        <f t="shared" si="27"/>
        <v>0</v>
      </c>
    </row>
    <row r="111" spans="1:9" s="106" customFormat="1" ht="110.25" hidden="1" x14ac:dyDescent="0.25">
      <c r="A111" s="779" t="str">
        <f>IF(B111&gt;0,VLOOKUP(B111,КВСР!A33:B1198,2),IF(C111&gt;0,VLOOKUP(C111,КФСР!A33:B1545,2),IF(D111&gt;0,VLOOKUP(D111,Программа!A$1:B$5124,2),IF(F111&gt;0,VLOOKUP(F111,КВР!A$1:B$5001,2),IF(E111&gt;0,VLOOKUP(E111,Направление!A$1:B$4812,2))))))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4"/>
      <c r="C111" s="109"/>
      <c r="D111" s="111"/>
      <c r="E111" s="109"/>
      <c r="F111" s="111">
        <v>100</v>
      </c>
      <c r="G111" s="268">
        <v>0</v>
      </c>
      <c r="H111" s="330"/>
      <c r="I111" s="117">
        <f>G111+H111</f>
        <v>0</v>
      </c>
    </row>
    <row r="112" spans="1:9" s="106" customFormat="1" ht="63" hidden="1" x14ac:dyDescent="0.25">
      <c r="A112" s="779" t="str">
        <f>IF(B112&gt;0,VLOOKUP(B112,КВСР!A34:B1199,2),IF(C112&gt;0,VLOOKUP(C112,КФСР!A34:B1546,2),IF(D112&gt;0,VLOOKUP(D112,Программа!A$1:B$5124,2),IF(F112&gt;0,VLOOKUP(F112,КВР!A$1:B$5001,2),IF(E112&gt;0,VLOOKUP(E112,Направление!A$1:B$4812,2))))))</f>
        <v xml:space="preserve">Закупка товаров, работ и услуг для обеспечения государственных (муниципальных) нужд
</v>
      </c>
      <c r="B112" s="114"/>
      <c r="C112" s="109"/>
      <c r="D112" s="111"/>
      <c r="E112" s="109"/>
      <c r="F112" s="111">
        <v>200</v>
      </c>
      <c r="G112" s="268">
        <v>0</v>
      </c>
      <c r="H112" s="330"/>
      <c r="I112" s="117">
        <f>G112+H112</f>
        <v>0</v>
      </c>
    </row>
    <row r="113" spans="1:9" s="106" customFormat="1" ht="63" x14ac:dyDescent="0.25">
      <c r="A113" s="779" t="str">
        <f>IF(B113&gt;0,VLOOKUP(B113,КВСР!A27:B1192,2),IF(C113&gt;0,VLOOKUP(C113,КФСР!A27:B1539,2),IF(D113&gt;0,VLOOKUP(D113,Программа!A$1:B$5124,2),IF(F113&gt;0,VLOOKUP(F113,КВР!A$1:B$5001,2),IF(E113&gt;0,VLOOKUP(E113,Направление!A$1:B$4812,2))))))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4"/>
      <c r="C113" s="109"/>
      <c r="D113" s="110"/>
      <c r="E113" s="109">
        <v>80190</v>
      </c>
      <c r="F113" s="111"/>
      <c r="G113" s="268">
        <v>2779530</v>
      </c>
      <c r="H113" s="330">
        <f>H114+H115</f>
        <v>0</v>
      </c>
      <c r="I113" s="330">
        <f>I114+I115</f>
        <v>2779530</v>
      </c>
    </row>
    <row r="114" spans="1:9" s="106" customFormat="1" ht="110.25" x14ac:dyDescent="0.25">
      <c r="A114" s="779" t="str">
        <f>IF(B114&gt;0,VLOOKUP(B114,КВСР!A28:B1193,2),IF(C114&gt;0,VLOOKUP(C114,КФСР!A28:B1540,2),IF(D114&gt;0,VLOOKUP(D114,Программа!A$1:B$5124,2),IF(F114&gt;0,VLOOKUP(F114,КВР!A$1:B$5001,2),IF(E114&gt;0,VLOOKUP(E114,Направление!A$1:B$4812,2))))))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4"/>
      <c r="C114" s="109"/>
      <c r="D114" s="111"/>
      <c r="E114" s="109"/>
      <c r="F114" s="111">
        <v>100</v>
      </c>
      <c r="G114" s="286">
        <v>2729017</v>
      </c>
      <c r="H114" s="286"/>
      <c r="I114" s="117">
        <f t="shared" ref="I114:I434" si="28">SUM(G114:H114)</f>
        <v>2729017</v>
      </c>
    </row>
    <row r="115" spans="1:9" s="106" customFormat="1" ht="63" x14ac:dyDescent="0.25">
      <c r="A115" s="779" t="str">
        <f>IF(B115&gt;0,VLOOKUP(B115,КВСР!A29:B1194,2),IF(C115&gt;0,VLOOKUP(C115,КФСР!A29:B1541,2),IF(D115&gt;0,VLOOKUP(D115,Программа!A$1:B$5124,2),IF(F115&gt;0,VLOOKUP(F115,КВР!A$1:B$5001,2),IF(E115&gt;0,VLOOKUP(E115,Направление!A$1:B$4812,2))))))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1"/>
      <c r="E115" s="109"/>
      <c r="F115" s="111">
        <v>200</v>
      </c>
      <c r="G115" s="286">
        <v>50513</v>
      </c>
      <c r="H115" s="275"/>
      <c r="I115" s="117">
        <f t="shared" si="28"/>
        <v>50513</v>
      </c>
    </row>
    <row r="116" spans="1:9" s="106" customFormat="1" ht="63" x14ac:dyDescent="0.25">
      <c r="A116" s="779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IF(B116&gt;0,VLOOKUP(B116,КВСР!A30:B1195,2),IF(C116&gt;0,VLOOKUP(C116,КФСР!A30:B1542,2),IF(D116&gt;0,VLOOKUP(D116,Программа!A$1:B$5124,2),IF(F116&gt;0,VLOOKUP(F116,КВР!A$1:B$5001,2),IF(E116&gt;0,VLOOKUP(E116,Направление!A$1:B$4812,2))))))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4"/>
      <c r="C116" s="109"/>
      <c r="D116" s="110"/>
      <c r="E116" s="109">
        <v>80200</v>
      </c>
      <c r="F116" s="111"/>
      <c r="G116" s="286">
        <v>487448</v>
      </c>
      <c r="H116" s="275">
        <f>H117+H118</f>
        <v>0</v>
      </c>
      <c r="I116" s="275">
        <f>I117+I118</f>
        <v>487448</v>
      </c>
    </row>
    <row r="117" spans="1:9" s="106" customFormat="1" ht="110.25" x14ac:dyDescent="0.25">
      <c r="A117" s="779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4"/>
      <c r="C117" s="109"/>
      <c r="D117" s="111"/>
      <c r="E117" s="109"/>
      <c r="F117" s="111">
        <v>100</v>
      </c>
      <c r="G117" s="286">
        <v>299287</v>
      </c>
      <c r="H117" s="286"/>
      <c r="I117" s="117">
        <f t="shared" si="28"/>
        <v>299287</v>
      </c>
    </row>
    <row r="118" spans="1:9" s="106" customFormat="1" ht="63" x14ac:dyDescent="0.25">
      <c r="A118" s="779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IF(B118&gt;0,VLOOKUP(B118,КВСР!A32:B1197,2),IF(C118&gt;0,VLOOKUP(C118,КФСР!A32:B1544,2),IF(D118&gt;0,VLOOKUP(D118,Программа!A$1:B$5124,2),IF(F118&gt;0,VLOOKUP(F118,КВР!A$1:B$5001,2),IF(E118&gt;0,VLOOKUP(E118,Направление!A$1:B$4812,2))))))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1"/>
      <c r="E118" s="109"/>
      <c r="F118" s="111">
        <v>200</v>
      </c>
      <c r="G118" s="268">
        <v>188161</v>
      </c>
      <c r="H118" s="330"/>
      <c r="I118" s="117">
        <f t="shared" si="28"/>
        <v>188161</v>
      </c>
    </row>
    <row r="119" spans="1:9" s="106" customFormat="1" hidden="1" x14ac:dyDescent="0.25">
      <c r="A119" s="779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IF(B119&gt;0,VLOOKUP(B119,КВСР!A33:B1198,2),IF(C119&gt;0,VLOOKUP(C119,КФСР!A33:B1545,2),IF(D119&gt;0,VLOOKUP(D119,Программа!A$1:B$5124,2),IF(F119&gt;0,VLOOKUP(F119,КВР!A$1:B$5001,2),IF(E119&gt;0,VLOOKUP(E119,Направление!A$1:B$4812,2))))))</f>
        <v>Непрограммные расходы бюджета</v>
      </c>
      <c r="B119" s="114"/>
      <c r="C119" s="109"/>
      <c r="D119" s="111" t="s">
        <v>1530</v>
      </c>
      <c r="E119" s="109"/>
      <c r="F119" s="111"/>
      <c r="G119" s="268">
        <v>0</v>
      </c>
      <c r="H119" s="330">
        <f t="shared" ref="H119:I119" si="29">H120</f>
        <v>0</v>
      </c>
      <c r="I119" s="268">
        <f t="shared" si="29"/>
        <v>0</v>
      </c>
    </row>
    <row r="120" spans="1:9" s="106" customFormat="1" ht="47.25" hidden="1" x14ac:dyDescent="0.25">
      <c r="A120" s="779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IF(B120&gt;0,VLOOKUP(B120,КВСР!A34:B1199,2),IF(C120&gt;0,VLOOKUP(C120,КФСР!A34:B1546,2),IF(D120&gt;0,VLOOKUP(D120,Программа!A$1:B$5124,2),IF(F120&gt;0,VLOOKUP(F120,КВР!A$1:B$5001,2),IF(E120&gt;0,VLOOKUP(E120,Направление!A$1:B$4812,2))))))</f>
        <v>Резервные фонды исполнительных органов государственной власти субъектов Российской Федерации</v>
      </c>
      <c r="B120" s="114"/>
      <c r="C120" s="109"/>
      <c r="D120" s="111"/>
      <c r="E120" s="109">
        <v>80120</v>
      </c>
      <c r="F120" s="111"/>
      <c r="G120" s="268">
        <v>0</v>
      </c>
      <c r="H120" s="330">
        <f t="shared" ref="H120:I120" si="30">H121</f>
        <v>0</v>
      </c>
      <c r="I120" s="268">
        <f t="shared" si="30"/>
        <v>0</v>
      </c>
    </row>
    <row r="121" spans="1:9" s="106" customFormat="1" ht="63" hidden="1" x14ac:dyDescent="0.25">
      <c r="A121" s="779" t="str">
        <f>IF(B121&gt;0,VLOOKUP(B121,КВСР!A35:B1200,2),IF(C121&gt;0,VLOOKUP(C121,КФСР!A35:B1547,2),IF(D121&gt;0,VLOOKUP(D121,Программа!A$1:B$5124,2),IF(F121&gt;0,VLOOKUP(F121,КВР!A$1:B$5001,2),IF(E121&gt;0,VLOOKUP(E121,Направление!A$1:B$4812,2))))))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1"/>
      <c r="E121" s="109"/>
      <c r="F121" s="111">
        <v>200</v>
      </c>
      <c r="G121" s="268">
        <v>0</v>
      </c>
      <c r="H121" s="330"/>
      <c r="I121" s="117">
        <f>G121+H121</f>
        <v>0</v>
      </c>
    </row>
    <row r="122" spans="1:9" s="106" customFormat="1" ht="31.5" x14ac:dyDescent="0.25">
      <c r="A122" s="779" t="str">
        <f>IF(B122&gt;0,VLOOKUP(B122,КВСР!A33:B1198,2),IF(C122&gt;0,VLOOKUP(C122,КФСР!A33:B1545,2),IF(D122&gt;0,VLOOKUP(D122,Программа!A$1:B$5124,2),IF(F122&gt;0,VLOOKUP(F122,КВР!A$1:B$5001,2),IF(E122&gt;0,VLOOKUP(E122,Направление!A$1:B$4812,2))))))</f>
        <v>Межбюджетные трансферты  поселениям района</v>
      </c>
      <c r="B122" s="114"/>
      <c r="C122" s="109"/>
      <c r="D122" s="111" t="s">
        <v>478</v>
      </c>
      <c r="E122" s="109"/>
      <c r="F122" s="111"/>
      <c r="G122" s="268">
        <v>210708</v>
      </c>
      <c r="H122" s="268">
        <f>H123+H127+H125</f>
        <v>287330.40000000002</v>
      </c>
      <c r="I122" s="268">
        <f>I123+I127+I125</f>
        <v>498038.4</v>
      </c>
    </row>
    <row r="123" spans="1:9" s="106" customFormat="1" x14ac:dyDescent="0.25">
      <c r="A123" s="779" t="str">
        <f>IF(B123&gt;0,VLOOKUP(B123,КВСР!A34:B1199,2),IF(C123&gt;0,VLOOKUP(C123,КФСР!A34:B1546,2),IF(D123&gt;0,VLOOKUP(D123,Программа!A$1:B$5124,2),IF(F123&gt;0,VLOOKUP(F123,КВР!A$1:B$5001,2),IF(E123&gt;0,VLOOKUP(E123,Направление!A$1:B$4812,2))))))</f>
        <v>Содержание центрального аппарата</v>
      </c>
      <c r="B123" s="114"/>
      <c r="C123" s="109"/>
      <c r="D123" s="111"/>
      <c r="E123" s="109">
        <v>12010</v>
      </c>
      <c r="F123" s="111"/>
      <c r="G123" s="268">
        <v>210708</v>
      </c>
      <c r="H123" s="330">
        <f t="shared" ref="H123:I123" si="31">H124</f>
        <v>0</v>
      </c>
      <c r="I123" s="268">
        <f t="shared" si="31"/>
        <v>210708</v>
      </c>
    </row>
    <row r="124" spans="1:9" s="106" customFormat="1" x14ac:dyDescent="0.25">
      <c r="A124" s="779" t="str">
        <f>IF(B124&gt;0,VLOOKUP(B124,КВСР!A35:B1200,2),IF(C124&gt;0,VLOOKUP(C124,КФСР!A35:B1547,2),IF(D124&gt;0,VLOOKUP(D124,Программа!A$1:B$5124,2),IF(F124&gt;0,VLOOKUP(F124,КВР!A$1:B$5001,2),IF(E124&gt;0,VLOOKUP(E124,Направление!A$1:B$4812,2))))))</f>
        <v xml:space="preserve"> Межбюджетные трансферты</v>
      </c>
      <c r="B124" s="114"/>
      <c r="C124" s="109"/>
      <c r="D124" s="111"/>
      <c r="E124" s="109"/>
      <c r="F124" s="111">
        <v>500</v>
      </c>
      <c r="G124" s="268">
        <v>210708</v>
      </c>
      <c r="H124" s="268"/>
      <c r="I124" s="117">
        <f>G124+H124</f>
        <v>210708</v>
      </c>
    </row>
    <row r="125" spans="1:9" s="106" customFormat="1" ht="31.5" x14ac:dyDescent="0.25">
      <c r="A125" s="779" t="str">
        <f>IF(B125&gt;0,VLOOKUP(B125,КВСР!A36:B1201,2),IF(C125&gt;0,VLOOKUP(C125,КФСР!A36:B1548,2),IF(D125&gt;0,VLOOKUP(D125,Программа!A$1:B$5124,2),IF(F125&gt;0,VLOOKUP(F125,КВР!A$1:B$5001,2),IF(E125&gt;0,VLOOKUP(E125,Направление!A$1:B$4812,2))))))</f>
        <v>Резервные фонды местных администраций</v>
      </c>
      <c r="B125" s="114"/>
      <c r="C125" s="109"/>
      <c r="D125" s="111"/>
      <c r="E125" s="109">
        <v>12900</v>
      </c>
      <c r="F125" s="111"/>
      <c r="G125" s="268">
        <v>0</v>
      </c>
      <c r="H125" s="268">
        <f t="shared" ref="H125:I125" si="32">H126</f>
        <v>287330.40000000002</v>
      </c>
      <c r="I125" s="268">
        <f t="shared" si="32"/>
        <v>287330.40000000002</v>
      </c>
    </row>
    <row r="126" spans="1:9" s="106" customFormat="1" x14ac:dyDescent="0.25">
      <c r="A126" s="779" t="str">
        <f>IF(B126&gt;0,VLOOKUP(B126,КВСР!A37:B1202,2),IF(C126&gt;0,VLOOKUP(C126,КФСР!A37:B1549,2),IF(D126&gt;0,VLOOKUP(D126,Программа!A$1:B$5124,2),IF(F126&gt;0,VLOOKUP(F126,КВР!A$1:B$5001,2),IF(E126&gt;0,VLOOKUP(E126,Направление!A$1:B$4812,2))))))</f>
        <v xml:space="preserve"> Межбюджетные трансферты</v>
      </c>
      <c r="B126" s="114"/>
      <c r="C126" s="109"/>
      <c r="D126" s="111"/>
      <c r="E126" s="109"/>
      <c r="F126" s="111">
        <v>500</v>
      </c>
      <c r="G126" s="268">
        <v>0</v>
      </c>
      <c r="H126" s="330">
        <v>287330.40000000002</v>
      </c>
      <c r="I126" s="117">
        <f t="shared" ref="I126" si="33">G126+H126</f>
        <v>287330.40000000002</v>
      </c>
    </row>
    <row r="127" spans="1:9" s="106" customFormat="1" ht="78.75" hidden="1" x14ac:dyDescent="0.25">
      <c r="A127" s="779" t="str">
        <f>IF(B127&gt;0,VLOOKUP(B127,КВСР!A36:B1201,2),IF(C127&gt;0,VLOOKUP(C127,КФСР!A36:B1548,2),IF(D127&gt;0,VLOOKUP(D127,Программа!A$1:B$5124,2),IF(F127&gt;0,VLOOKUP(F127,КВР!A$1:B$5001,2),IF(E127&gt;0,VLOOKUP(E127,Направление!A$1:B$4812,2))))))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4"/>
      <c r="C127" s="109"/>
      <c r="D127" s="111"/>
      <c r="E127" s="109">
        <v>75870</v>
      </c>
      <c r="F127" s="111"/>
      <c r="G127" s="268">
        <v>0</v>
      </c>
      <c r="H127" s="330">
        <f t="shared" ref="H127:I127" si="34">H128</f>
        <v>0</v>
      </c>
      <c r="I127" s="268">
        <f t="shared" si="34"/>
        <v>0</v>
      </c>
    </row>
    <row r="128" spans="1:9" s="106" customFormat="1" hidden="1" x14ac:dyDescent="0.25">
      <c r="A128" s="779" t="str">
        <f>IF(B128&gt;0,VLOOKUP(B128,КВСР!A37:B1202,2),IF(C128&gt;0,VLOOKUP(C128,КФСР!A37:B1549,2),IF(D128&gt;0,VLOOKUP(D128,Программа!A$1:B$5124,2),IF(F128&gt;0,VLOOKUP(F128,КВР!A$1:B$5001,2),IF(E128&gt;0,VLOOKUP(E128,Направление!A$1:B$4812,2))))))</f>
        <v xml:space="preserve"> Межбюджетные трансферты</v>
      </c>
      <c r="B128" s="114"/>
      <c r="C128" s="109"/>
      <c r="D128" s="111"/>
      <c r="E128" s="109"/>
      <c r="F128" s="111">
        <v>500</v>
      </c>
      <c r="G128" s="268">
        <v>0</v>
      </c>
      <c r="H128" s="330"/>
      <c r="I128" s="117">
        <f>G128+H128</f>
        <v>0</v>
      </c>
    </row>
    <row r="129" spans="1:9" s="106" customFormat="1" ht="63" x14ac:dyDescent="0.25">
      <c r="A129" s="779" t="str">
        <f>IF(B129&gt;0,VLOOKUP(B129,КВСР!A33:B1198,2),IF(C129&gt;0,VLOOKUP(C129,КФСР!A33:B1545,2),IF(D129&gt;0,VLOOKUP(D129,Программа!A$1:B$5124,2),IF(F129&gt;0,VLOOKUP(F129,КВР!A$1:B$5001,2),IF(E129&gt;0,VLOOKUP(E129,Направление!A$1:B$4812,2))))))</f>
        <v>Защита населения и территории от чрезвычайных ситуаций природного и техногенного характера, пожарная безопасность</v>
      </c>
      <c r="B129" s="114"/>
      <c r="C129" s="109">
        <v>310</v>
      </c>
      <c r="D129" s="111"/>
      <c r="E129" s="109"/>
      <c r="F129" s="111"/>
      <c r="G129" s="268">
        <v>2520000</v>
      </c>
      <c r="H129" s="330">
        <f t="shared" ref="H129" si="35">H130+H134</f>
        <v>0</v>
      </c>
      <c r="I129" s="330">
        <f t="shared" ref="I129" si="36">I130+I134</f>
        <v>2520000</v>
      </c>
    </row>
    <row r="130" spans="1:9" s="106" customFormat="1" x14ac:dyDescent="0.25">
      <c r="A130" s="779" t="str">
        <f>IF(B130&gt;0,VLOOKUP(B130,КВСР!A34:B1199,2),IF(C130&gt;0,VLOOKUP(C130,КФСР!A34:B1546,2),IF(D130&gt;0,VLOOKUP(D130,Программа!A$1:B$5124,2),IF(F130&gt;0,VLOOKUP(F130,КВР!A$1:B$5001,2),IF(E130&gt;0,VLOOKUP(E130,Направление!A$1:B$4812,2))))))</f>
        <v>Непрограммные расходы бюджета</v>
      </c>
      <c r="B130" s="114"/>
      <c r="C130" s="109"/>
      <c r="D130" s="111" t="s">
        <v>311</v>
      </c>
      <c r="E130" s="109"/>
      <c r="F130" s="111"/>
      <c r="G130" s="268">
        <v>2520000</v>
      </c>
      <c r="H130" s="330">
        <f>H131</f>
        <v>0</v>
      </c>
      <c r="I130" s="330">
        <f>I131</f>
        <v>2520000</v>
      </c>
    </row>
    <row r="131" spans="1:9" s="106" customFormat="1" ht="47.25" x14ac:dyDescent="0.25">
      <c r="A131" s="779" t="str">
        <f>IF(B131&gt;0,VLOOKUP(B131,КВСР!A35:B1200,2),IF(C131&gt;0,VLOOKUP(C131,КФСР!A35:B1547,2),IF(D131&gt;0,VLOOKUP(D131,Программа!A$1:B$5124,2),IF(F131&gt;0,VLOOKUP(F131,КВР!A$1:B$5001,2),IF(E131&gt;0,VLOOKUP(E131,Направление!A$1:B$4812,2))))))</f>
        <v>Содержание и организация деятельности аварийно-спасательных служб</v>
      </c>
      <c r="B131" s="114"/>
      <c r="C131" s="109"/>
      <c r="D131" s="111"/>
      <c r="E131" s="109">
        <v>29566</v>
      </c>
      <c r="F131" s="111"/>
      <c r="G131" s="268">
        <v>2520000</v>
      </c>
      <c r="H131" s="330">
        <f>H132+H133</f>
        <v>0</v>
      </c>
      <c r="I131" s="330">
        <f>I132+I133</f>
        <v>2520000</v>
      </c>
    </row>
    <row r="132" spans="1:9" s="106" customFormat="1" ht="110.25" x14ac:dyDescent="0.25">
      <c r="A132" s="779" t="str">
        <f>IF(B132&gt;0,VLOOKUP(B132,КВСР!A36:B1201,2),IF(C132&gt;0,VLOOKUP(C132,КФСР!A36:B1548,2),IF(D132&gt;0,VLOOKUP(D132,Программа!A$1:B$5124,2),IF(F132&gt;0,VLOOKUP(F132,КВР!A$1:B$5001,2),IF(E132&gt;0,VLOOKUP(E132,Направление!A$1:B$4812,2))))))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4"/>
      <c r="C132" s="109"/>
      <c r="D132" s="111"/>
      <c r="E132" s="109"/>
      <c r="F132" s="111">
        <v>100</v>
      </c>
      <c r="G132" s="268">
        <v>2142731</v>
      </c>
      <c r="H132" s="330">
        <v>-5044</v>
      </c>
      <c r="I132" s="117">
        <f t="shared" si="28"/>
        <v>2137687</v>
      </c>
    </row>
    <row r="133" spans="1:9" s="106" customFormat="1" ht="63" x14ac:dyDescent="0.25">
      <c r="A133" s="779" t="str">
        <f>IF(B133&gt;0,VLOOKUP(B133,КВСР!A37:B1202,2),IF(C133&gt;0,VLOOKUP(C133,КФСР!A37:B1549,2),IF(D133&gt;0,VLOOKUP(D133,Программа!A$1:B$5124,2),IF(F133&gt;0,VLOOKUP(F133,КВР!A$1:B$5001,2),IF(E133&gt;0,VLOOKUP(E133,Направление!A$1:B$4812,2))))))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1"/>
      <c r="E133" s="109"/>
      <c r="F133" s="111">
        <v>200</v>
      </c>
      <c r="G133" s="268">
        <v>377269</v>
      </c>
      <c r="H133" s="330">
        <v>5044</v>
      </c>
      <c r="I133" s="117">
        <f t="shared" si="28"/>
        <v>382313</v>
      </c>
    </row>
    <row r="134" spans="1:9" s="106" customFormat="1" ht="31.5" hidden="1" x14ac:dyDescent="0.25">
      <c r="A134" s="779" t="str">
        <f>IF(B134&gt;0,VLOOKUP(B134,КВСР!A38:B1203,2),IF(C134&gt;0,VLOOKUP(C134,КФСР!A38:B1550,2),IF(D134&gt;0,VLOOKUP(D134,Программа!A$1:B$5124,2),IF(F134&gt;0,VLOOKUP(F134,КВР!A$1:B$5001,2),IF(E134&gt;0,VLOOKUP(E134,Направление!A$1:B$4812,2))))))</f>
        <v>Межбюджетные трансферты  поселениям района</v>
      </c>
      <c r="B134" s="114"/>
      <c r="C134" s="109"/>
      <c r="D134" s="111" t="s">
        <v>478</v>
      </c>
      <c r="E134" s="109"/>
      <c r="F134" s="111"/>
      <c r="G134" s="268">
        <v>0</v>
      </c>
      <c r="H134" s="330">
        <f>H135</f>
        <v>0</v>
      </c>
      <c r="I134" s="268">
        <f t="shared" ref="I134:I135" si="37">I135</f>
        <v>0</v>
      </c>
    </row>
    <row r="135" spans="1:9" s="106" customFormat="1" ht="47.25" hidden="1" x14ac:dyDescent="0.25">
      <c r="A135" s="779" t="str">
        <f>IF(B135&gt;0,VLOOKUP(B135,КВСР!A39:B1204,2),IF(C135&gt;0,VLOOKUP(C135,КФСР!A39:B1551,2),IF(D135&gt;0,VLOOKUP(D135,Программа!A$1:B$5124,2),IF(F135&gt;0,VLOOKUP(F135,КВР!A$1:B$5001,2),IF(E135&gt;0,VLOOKUP(E135,Направление!A$1:B$4812,2))))))</f>
        <v>Расходы на реализацию мероприятий по обеспечению безопасности граждан на водных объектах</v>
      </c>
      <c r="B135" s="114"/>
      <c r="C135" s="109"/>
      <c r="D135" s="111"/>
      <c r="E135" s="109">
        <v>71450</v>
      </c>
      <c r="F135" s="111"/>
      <c r="G135" s="268">
        <v>0</v>
      </c>
      <c r="H135" s="330">
        <f t="shared" ref="H135" si="38">H136</f>
        <v>0</v>
      </c>
      <c r="I135" s="268">
        <f t="shared" si="37"/>
        <v>0</v>
      </c>
    </row>
    <row r="136" spans="1:9" s="106" customFormat="1" hidden="1" x14ac:dyDescent="0.25">
      <c r="A136" s="779" t="str">
        <f>IF(B136&gt;0,VLOOKUP(B136,КВСР!A40:B1205,2),IF(C136&gt;0,VLOOKUP(C136,КФСР!A40:B1552,2),IF(D136&gt;0,VLOOKUP(D136,Программа!A$1:B$5124,2),IF(F136&gt;0,VLOOKUP(F136,КВР!A$1:B$5001,2),IF(E136&gt;0,VLOOKUP(E136,Направление!A$1:B$4812,2))))))</f>
        <v xml:space="preserve"> Межбюджетные трансферты</v>
      </c>
      <c r="B136" s="114"/>
      <c r="C136" s="109"/>
      <c r="D136" s="111"/>
      <c r="E136" s="109"/>
      <c r="F136" s="111">
        <v>500</v>
      </c>
      <c r="G136" s="268">
        <v>0</v>
      </c>
      <c r="H136" s="330"/>
      <c r="I136" s="117">
        <f>G136+H136</f>
        <v>0</v>
      </c>
    </row>
    <row r="137" spans="1:9" s="106" customFormat="1" x14ac:dyDescent="0.25">
      <c r="A137" s="779" t="str">
        <f>IF(B137&gt;0,VLOOKUP(B137,КВСР!A37:B1202,2),IF(C137&gt;0,VLOOKUP(C137,КФСР!A37:B1549,2),IF(D137&gt;0,VLOOKUP(D137,Программа!A$1:B$5124,2),IF(F137&gt;0,VLOOKUP(F137,КВР!A$1:B$5001,2),IF(E137&gt;0,VLOOKUP(E137,Направление!A$1:B$4812,2))))))</f>
        <v>Сельское хозяйство и рыболовство</v>
      </c>
      <c r="B137" s="114"/>
      <c r="C137" s="109">
        <v>405</v>
      </c>
      <c r="D137" s="110"/>
      <c r="E137" s="109"/>
      <c r="F137" s="111"/>
      <c r="G137" s="286">
        <v>1130844</v>
      </c>
      <c r="H137" s="275">
        <f>H145+H138</f>
        <v>0</v>
      </c>
      <c r="I137" s="275">
        <f>I145+I138</f>
        <v>1130844</v>
      </c>
    </row>
    <row r="138" spans="1:9" s="106" customFormat="1" ht="47.25" x14ac:dyDescent="0.25">
      <c r="A138" s="779" t="str">
        <f>IF(B138&gt;0,VLOOKUP(B138,КВСР!A66:B1231,2),IF(C138&gt;0,VLOOKUP(C138,КФСР!A66:B1578,2),IF(D138&gt;0,VLOOKUP(D138,Программа!A$1:B$5124,2),IF(F138&gt;0,VLOOKUP(F138,КВР!A$1:B$5001,2),IF(E138&gt;0,VLOOKUP(E138,Направление!A$1:B$4812,2))))))</f>
        <v>Муниципальная программа "Развитие агропромышленного комплекса в  Тутаевском муниципальном районе"</v>
      </c>
      <c r="B138" s="837"/>
      <c r="C138" s="838"/>
      <c r="D138" s="832" t="s">
        <v>1675</v>
      </c>
      <c r="E138" s="838"/>
      <c r="F138" s="642"/>
      <c r="G138" s="275">
        <v>254590</v>
      </c>
      <c r="H138" s="275">
        <f>H139+H142</f>
        <v>0</v>
      </c>
      <c r="I138" s="275">
        <f>I139+I142</f>
        <v>254590</v>
      </c>
    </row>
    <row r="139" spans="1:9" s="106" customFormat="1" ht="31.5" x14ac:dyDescent="0.25">
      <c r="A139" s="779" t="str">
        <f>IF(B139&gt;0,VLOOKUP(B139,КВСР!A67:B1232,2),IF(C139&gt;0,VLOOKUP(C139,КФСР!A67:B1579,2),IF(D139&gt;0,VLOOKUP(D139,Программа!A$1:B$5124,2),IF(F139&gt;0,VLOOKUP(F139,КВР!A$1:B$5001,2),IF(E139&gt;0,VLOOKUP(E139,Направление!A$1:B$4812,2))))))</f>
        <v>Стимулирование развития сельскохозяйственного производства</v>
      </c>
      <c r="B139" s="837"/>
      <c r="C139" s="838"/>
      <c r="D139" s="832" t="s">
        <v>1676</v>
      </c>
      <c r="E139" s="838"/>
      <c r="F139" s="642"/>
      <c r="G139" s="275">
        <v>250000</v>
      </c>
      <c r="H139" s="275">
        <f>H140</f>
        <v>0</v>
      </c>
      <c r="I139" s="275">
        <f>I140</f>
        <v>250000</v>
      </c>
    </row>
    <row r="140" spans="1:9" s="106" customFormat="1" ht="63" x14ac:dyDescent="0.25">
      <c r="A140" s="779" t="str">
        <f>IF(B140&gt;0,VLOOKUP(B140,КВСР!A68:B1233,2),IF(C140&gt;0,VLOOKUP(C140,КФСР!A68:B1580,2),IF(D140&gt;0,VLOOKUP(D140,Программа!A$1:B$5124,2),IF(F140&gt;0,VLOOKUP(F140,КВР!A$1:B$5001,2),IF(E140&gt;0,VLOOKUP(E140,Направление!A$1:B$4812,2))))))</f>
        <v>Гранты, в форме субсидий, на выплату  вознаграждения сельхозтоваропроизхводителям - победителям конкурса</v>
      </c>
      <c r="B140" s="837"/>
      <c r="C140" s="838"/>
      <c r="D140" s="832"/>
      <c r="E140" s="838">
        <v>10703</v>
      </c>
      <c r="F140" s="642"/>
      <c r="G140" s="275">
        <v>250000</v>
      </c>
      <c r="H140" s="275">
        <f>H141</f>
        <v>0</v>
      </c>
      <c r="I140" s="275">
        <f>I141</f>
        <v>250000</v>
      </c>
    </row>
    <row r="141" spans="1:9" s="106" customFormat="1" x14ac:dyDescent="0.25">
      <c r="A141" s="779" t="str">
        <f>IF(B141&gt;0,VLOOKUP(B141,КВСР!A69:B1234,2),IF(C141&gt;0,VLOOKUP(C141,КФСР!A69:B1581,2),IF(D141&gt;0,VLOOKUP(D141,Программа!A$1:B$5124,2),IF(F141&gt;0,VLOOKUP(F141,КВР!A$1:B$5001,2),IF(E141&gt;0,VLOOKUP(E141,Направление!A$1:B$4812,2))))))</f>
        <v>Иные бюджетные ассигнования</v>
      </c>
      <c r="B141" s="837"/>
      <c r="C141" s="838"/>
      <c r="D141" s="832"/>
      <c r="E141" s="838"/>
      <c r="F141" s="642">
        <v>800</v>
      </c>
      <c r="G141" s="275">
        <v>250000</v>
      </c>
      <c r="H141" s="275"/>
      <c r="I141" s="268">
        <f>G141+H141</f>
        <v>250000</v>
      </c>
    </row>
    <row r="142" spans="1:9" s="106" customFormat="1" ht="63" x14ac:dyDescent="0.25">
      <c r="A142" s="779" t="str">
        <f>IF(B142&gt;0,VLOOKUP(B142,КВСР!A71:B1236,2),IF(C142&gt;0,VLOOKUP(C142,КФСР!A71:B1583,2),IF(D142&gt;0,VLOOKUP(D142,Программа!A$1:B$5124,2),IF(F142&gt;0,VLOOKUP(F142,КВР!A$1:B$5001,2),IF(E142&gt;0,VLOOKUP(E142,Направление!A$1:B$4812,2))))))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42" s="837"/>
      <c r="C142" s="838"/>
      <c r="D142" s="832" t="s">
        <v>1677</v>
      </c>
      <c r="E142" s="838"/>
      <c r="F142" s="642"/>
      <c r="G142" s="275">
        <v>4590</v>
      </c>
      <c r="H142" s="275">
        <f>H143</f>
        <v>0</v>
      </c>
      <c r="I142" s="275">
        <f>I143</f>
        <v>4590</v>
      </c>
    </row>
    <row r="143" spans="1:9" s="106" customFormat="1" ht="78.75" x14ac:dyDescent="0.25">
      <c r="A143" s="779" t="str">
        <f>IF(B143&gt;0,VLOOKUP(B143,КВСР!A72:B1237,2),IF(C143&gt;0,VLOOKUP(C143,КФСР!A72:B1584,2),IF(D143&gt;0,VLOOKUP(D143,Программа!A$1:B$5124,2),IF(F143&gt;0,VLOOKUP(F143,КВР!A$1:B$5001,2),IF(E143&gt;0,VLOOKUP(E143,Направление!A$1:B$4812,2))))))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837"/>
      <c r="C143" s="838"/>
      <c r="D143" s="832"/>
      <c r="E143" s="838">
        <v>74450</v>
      </c>
      <c r="F143" s="642"/>
      <c r="G143" s="275">
        <v>4590</v>
      </c>
      <c r="H143" s="275">
        <f>H144</f>
        <v>0</v>
      </c>
      <c r="I143" s="275">
        <f>I144</f>
        <v>4590</v>
      </c>
    </row>
    <row r="144" spans="1:9" s="106" customFormat="1" ht="63" x14ac:dyDescent="0.25">
      <c r="A144" s="779" t="str">
        <f>IF(B144&gt;0,VLOOKUP(B144,КВСР!A73:B1238,2),IF(C144&gt;0,VLOOKUP(C144,КФСР!A73:B1585,2),IF(D144&gt;0,VLOOKUP(D144,Программа!A$1:B$5124,2),IF(F144&gt;0,VLOOKUP(F144,КВР!A$1:B$5001,2),IF(E144&gt;0,VLOOKUP(E144,Направление!A$1:B$4812,2))))))</f>
        <v xml:space="preserve">Закупка товаров, работ и услуг для обеспечения государственных (муниципальных) нужд
</v>
      </c>
      <c r="B144" s="837"/>
      <c r="C144" s="838"/>
      <c r="D144" s="832"/>
      <c r="E144" s="838"/>
      <c r="F144" s="642">
        <v>200</v>
      </c>
      <c r="G144" s="275">
        <v>4590</v>
      </c>
      <c r="H144" s="275"/>
      <c r="I144" s="268">
        <f>G144+H144</f>
        <v>4590</v>
      </c>
    </row>
    <row r="145" spans="1:9" s="106" customFormat="1" x14ac:dyDescent="0.25">
      <c r="A145" s="779" t="str">
        <f>IF(B145&gt;0,VLOOKUP(B145,КВСР!A66:B1231,2),IF(C145&gt;0,VLOOKUP(C145,КФСР!A66:B1578,2),IF(D145&gt;0,VLOOKUP(D145,Программа!A$1:B$5124,2),IF(F145&gt;0,VLOOKUP(F145,КВР!A$1:B$5001,2),IF(E145&gt;0,VLOOKUP(E145,Направление!A$1:B$4812,2))))))</f>
        <v>Непрограммные расходы бюджета</v>
      </c>
      <c r="B145" s="114"/>
      <c r="C145" s="109"/>
      <c r="D145" s="110" t="s">
        <v>311</v>
      </c>
      <c r="E145" s="109"/>
      <c r="F145" s="111"/>
      <c r="G145" s="286">
        <v>876254</v>
      </c>
      <c r="H145" s="374">
        <f>H146</f>
        <v>0</v>
      </c>
      <c r="I145" s="286">
        <f t="shared" ref="H145:I146" si="39">I146</f>
        <v>876254</v>
      </c>
    </row>
    <row r="146" spans="1:9" s="106" customFormat="1" ht="63" x14ac:dyDescent="0.25">
      <c r="A146" s="779" t="str">
        <f>IF(B146&gt;0,VLOOKUP(B146,КВСР!A67:B1232,2),IF(C146&gt;0,VLOOKUP(C146,КФСР!A67:B1579,2),IF(D146&gt;0,VLOOKUP(D146,Программа!A$1:B$5124,2),IF(F146&gt;0,VLOOKUP(F146,КВР!A$1:B$5001,2),IF(E146&gt;0,VLOOKUP(E146,Направление!A$1:B$4812,2))))))</f>
        <v>Расходы по организации мероприятий при осуществлении деятельности по обращению с животными без владельцев</v>
      </c>
      <c r="B146" s="114"/>
      <c r="C146" s="109"/>
      <c r="D146" s="110"/>
      <c r="E146" s="109">
        <v>74420</v>
      </c>
      <c r="F146" s="111"/>
      <c r="G146" s="286">
        <v>876254</v>
      </c>
      <c r="H146" s="275">
        <f t="shared" si="39"/>
        <v>0</v>
      </c>
      <c r="I146" s="286">
        <f t="shared" si="39"/>
        <v>876254</v>
      </c>
    </row>
    <row r="147" spans="1:9" s="106" customFormat="1" ht="63" x14ac:dyDescent="0.25">
      <c r="A147" s="779" t="str">
        <f>IF(B147&gt;0,VLOOKUP(B147,КВСР!A68:B1233,2),IF(C147&gt;0,VLOOKUP(C147,КФСР!A68:B1580,2),IF(D147&gt;0,VLOOKUP(D147,Программа!A$1:B$5124,2),IF(F147&gt;0,VLOOKUP(F147,КВР!A$1:B$5001,2),IF(E147&gt;0,VLOOKUP(E147,Направление!A$1:B$4812,2))))))</f>
        <v xml:space="preserve">Закупка товаров, работ и услуг для обеспечения государственных (муниципальных) нужд
</v>
      </c>
      <c r="B147" s="114"/>
      <c r="C147" s="109"/>
      <c r="D147" s="110"/>
      <c r="E147" s="109"/>
      <c r="F147" s="642">
        <v>200</v>
      </c>
      <c r="G147" s="275">
        <v>876254</v>
      </c>
      <c r="H147" s="275"/>
      <c r="I147" s="268">
        <f t="shared" ref="I147" si="40">SUM(G147:H147)</f>
        <v>876254</v>
      </c>
    </row>
    <row r="148" spans="1:9" s="106" customFormat="1" x14ac:dyDescent="0.25">
      <c r="A148" s="779" t="str">
        <f>IF(B148&gt;0,VLOOKUP(B148,КВСР!A66:B1231,2),IF(C148&gt;0,VLOOKUP(C148,КФСР!A66:B1578,2),IF(D148&gt;0,VLOOKUP(D148,Программа!A$1:B$5124,2),IF(F148&gt;0,VLOOKUP(F148,КВР!A$1:B$5001,2),IF(E148&gt;0,VLOOKUP(E148,Направление!A$1:B$4812,2))))))</f>
        <v>Транспорт</v>
      </c>
      <c r="B148" s="114"/>
      <c r="C148" s="109">
        <v>408</v>
      </c>
      <c r="D148" s="110"/>
      <c r="E148" s="109"/>
      <c r="F148" s="111"/>
      <c r="G148" s="274">
        <v>21354246</v>
      </c>
      <c r="H148" s="275">
        <f t="shared" ref="H148:I148" si="41">H149</f>
        <v>0</v>
      </c>
      <c r="I148" s="275">
        <f t="shared" si="41"/>
        <v>21354246</v>
      </c>
    </row>
    <row r="149" spans="1:9" s="106" customFormat="1" ht="63" x14ac:dyDescent="0.25">
      <c r="A149" s="779" t="str">
        <f>IF(B149&gt;0,VLOOKUP(B149,КВСР!A67:B1232,2),IF(C149&gt;0,VLOOKUP(C149,КФСР!A67:B1579,2),IF(D149&gt;0,VLOOKUP(D149,Программа!A$1:B$5124,2),IF(F149&gt;0,VLOOKUP(F149,КВР!A$1:B$5001,2),IF(E149&gt;0,VLOOKUP(E149,Направление!A$1:B$4812,2))))))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9" s="114"/>
      <c r="C149" s="109"/>
      <c r="D149" s="110" t="s">
        <v>533</v>
      </c>
      <c r="E149" s="109"/>
      <c r="F149" s="111"/>
      <c r="G149" s="274">
        <v>21354246</v>
      </c>
      <c r="H149" s="275">
        <f>H150+H155</f>
        <v>0</v>
      </c>
      <c r="I149" s="275">
        <f>I150+I155</f>
        <v>21354246</v>
      </c>
    </row>
    <row r="150" spans="1:9" s="106" customFormat="1" ht="78.75" x14ac:dyDescent="0.25">
      <c r="A150" s="779" t="str">
        <f>IF(B150&gt;0,VLOOKUP(B150,КВСР!A68:B1233,2),IF(C150&gt;0,VLOOKUP(C150,КФСР!A68:B1580,2),IF(D150&gt;0,VLOOKUP(D150,Программа!A$1:B$5124,2),IF(F150&gt;0,VLOOKUP(F150,КВР!A$1:B$5001,2),IF(E150&gt;0,VLOOKUP(E150,Направление!A$1:B$4812,2))))))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0" s="114"/>
      <c r="C150" s="109"/>
      <c r="D150" s="110" t="s">
        <v>539</v>
      </c>
      <c r="E150" s="109"/>
      <c r="F150" s="111"/>
      <c r="G150" s="274">
        <v>21354246</v>
      </c>
      <c r="H150" s="275">
        <f>H151+H153</f>
        <v>0</v>
      </c>
      <c r="I150" s="275">
        <f>I151+I153</f>
        <v>21354246</v>
      </c>
    </row>
    <row r="151" spans="1:9" s="106" customFormat="1" ht="63" x14ac:dyDescent="0.25">
      <c r="A151" s="779" t="str">
        <f>IF(B151&gt;0,VLOOKUP(B151,КВСР!A69:B1234,2),IF(C151&gt;0,VLOOKUP(C151,КФСР!A69:B1581,2),IF(D151&gt;0,VLOOKUP(D151,Программа!A$1:B$5124,2),IF(F151&gt;0,VLOOKUP(F151,КВР!A$1:B$5001,2),IF(E151&gt;0,VLOOKUP(E151,Направление!A$1:B$4812,2))))))</f>
        <v>Субсидия на возмещение затрат по пассажирским перевозкам внутримуниципальным транспортом общего пользования</v>
      </c>
      <c r="B151" s="114"/>
      <c r="C151" s="109"/>
      <c r="D151" s="110"/>
      <c r="E151" s="109">
        <v>10100</v>
      </c>
      <c r="F151" s="111"/>
      <c r="G151" s="286">
        <v>20189000</v>
      </c>
      <c r="H151" s="275">
        <f>H152</f>
        <v>0</v>
      </c>
      <c r="I151" s="275">
        <f>I152</f>
        <v>20189000</v>
      </c>
    </row>
    <row r="152" spans="1:9" s="106" customFormat="1" ht="63" x14ac:dyDescent="0.25">
      <c r="A152" s="779" t="str">
        <f>IF(B152&gt;0,VLOOKUP(B152,КВСР!A70:B1235,2),IF(C152&gt;0,VLOOKUP(C152,КФСР!A70:B1582,2),IF(D152&gt;0,VLOOKUP(D152,Программа!A$1:B$5124,2),IF(F152&gt;0,VLOOKUP(F152,КВР!A$1:B$5001,2),IF(E152&gt;0,VLOOKUP(E152,Направление!A$1:B$4812,2))))))</f>
        <v xml:space="preserve">Закупка товаров, работ и услуг для обеспечения государственных (муниципальных) нужд
</v>
      </c>
      <c r="B152" s="114"/>
      <c r="C152" s="109"/>
      <c r="D152" s="110"/>
      <c r="E152" s="109"/>
      <c r="F152" s="111">
        <v>200</v>
      </c>
      <c r="G152" s="267">
        <v>20189000</v>
      </c>
      <c r="H152" s="275"/>
      <c r="I152" s="286">
        <f t="shared" ref="I152:I296" si="42">SUM(G152:H152)</f>
        <v>20189000</v>
      </c>
    </row>
    <row r="153" spans="1:9" s="106" customFormat="1" ht="63" x14ac:dyDescent="0.25">
      <c r="A153" s="779" t="str">
        <f>IF(B153&gt;0,VLOOKUP(B153,КВСР!A72:B1237,2),IF(C153&gt;0,VLOOKUP(C153,КФСР!A72:B1584,2),IF(D153&gt;0,VLOOKUP(D153,Программа!A$1:B$5124,2),IF(F153&gt;0,VLOOKUP(F153,КВР!A$1:B$5001,2),IF(E153&gt;0,VLOOKUP(E153,Направление!A$1:B$4812,2))))))</f>
        <v>Обеспечение мероприятий по осуществлению межсезонных пассажирских  перевозок на автомобильном  транспорте</v>
      </c>
      <c r="B153" s="114"/>
      <c r="C153" s="109"/>
      <c r="D153" s="110"/>
      <c r="E153" s="109">
        <v>29176</v>
      </c>
      <c r="F153" s="111"/>
      <c r="G153" s="274">
        <v>1165246</v>
      </c>
      <c r="H153" s="275">
        <f>H154</f>
        <v>0</v>
      </c>
      <c r="I153" s="275">
        <f>I154</f>
        <v>1165246</v>
      </c>
    </row>
    <row r="154" spans="1:9" s="106" customFormat="1" ht="63" x14ac:dyDescent="0.25">
      <c r="A154" s="779" t="str">
        <f>IF(B154&gt;0,VLOOKUP(B154,КВСР!A73:B1238,2),IF(C154&gt;0,VLOOKUP(C154,КФСР!A73:B1585,2),IF(D154&gt;0,VLOOKUP(D154,Программа!A$1:B$5124,2),IF(F154&gt;0,VLOOKUP(F154,КВР!A$1:B$5001,2),IF(E154&gt;0,VLOOKUP(E154,Направление!A$1:B$4812,2))))))</f>
        <v xml:space="preserve">Закупка товаров, работ и услуг для обеспечения государственных (муниципальных) нужд
</v>
      </c>
      <c r="B154" s="114"/>
      <c r="C154" s="109"/>
      <c r="D154" s="110"/>
      <c r="E154" s="109"/>
      <c r="F154" s="111">
        <v>200</v>
      </c>
      <c r="G154" s="267">
        <v>1165246</v>
      </c>
      <c r="H154" s="275"/>
      <c r="I154" s="286">
        <f t="shared" si="42"/>
        <v>1165246</v>
      </c>
    </row>
    <row r="155" spans="1:9" s="106" customFormat="1" ht="47.25" hidden="1" x14ac:dyDescent="0.25">
      <c r="A155" s="779" t="str">
        <f>IF(B155&gt;0,VLOOKUP(B155,КВСР!A74:B1239,2),IF(C155&gt;0,VLOOKUP(C155,КФСР!A74:B1586,2),IF(D155&gt;0,VLOOKUP(D155,Программа!A$1:B$5124,2),IF(F155&gt;0,VLOOKUP(F155,КВР!A$1:B$5001,2),IF(E155&gt;0,VLOOKUP(E155,Направление!A$1:B$4812,2))))))</f>
        <v>Организация предоставления транспортных услуг по перевозке пассажиров речным транспортом</v>
      </c>
      <c r="B155" s="114"/>
      <c r="C155" s="109"/>
      <c r="D155" s="110" t="s">
        <v>1194</v>
      </c>
      <c r="E155" s="109"/>
      <c r="F155" s="111"/>
      <c r="G155" s="274">
        <v>0</v>
      </c>
      <c r="H155" s="275">
        <f>H156</f>
        <v>0</v>
      </c>
      <c r="I155" s="286">
        <f t="shared" si="42"/>
        <v>0</v>
      </c>
    </row>
    <row r="156" spans="1:9" s="106" customFormat="1" ht="47.25" hidden="1" x14ac:dyDescent="0.25">
      <c r="A156" s="779" t="str">
        <f>IF(B156&gt;0,VLOOKUP(B156,КВСР!A75:B1240,2),IF(C156&gt;0,VLOOKUP(C156,КФСР!A75:B1587,2),IF(D156&gt;0,VLOOKUP(D156,Программа!A$1:B$5124,2),IF(F156&gt;0,VLOOKUP(F156,КВР!A$1:B$5001,2),IF(E156&gt;0,VLOOKUP(E156,Направление!A$1:B$4812,2))))))</f>
        <v>Обеспечение мероприятий по осуществлению грузопассажирских  перевозок на речном транспорте</v>
      </c>
      <c r="B156" s="114"/>
      <c r="C156" s="109"/>
      <c r="D156" s="110"/>
      <c r="E156" s="109">
        <v>29166</v>
      </c>
      <c r="F156" s="111"/>
      <c r="G156" s="274">
        <v>0</v>
      </c>
      <c r="H156" s="275">
        <f>H157</f>
        <v>0</v>
      </c>
      <c r="I156" s="286">
        <f t="shared" si="42"/>
        <v>0</v>
      </c>
    </row>
    <row r="157" spans="1:9" s="106" customFormat="1" hidden="1" x14ac:dyDescent="0.25">
      <c r="A157" s="779" t="str">
        <f>IF(B157&gt;0,VLOOKUP(B157,КВСР!A76:B1241,2),IF(C157&gt;0,VLOOKUP(C157,КФСР!A76:B1588,2),IF(D157&gt;0,VLOOKUP(D157,Программа!A$1:B$5124,2),IF(F157&gt;0,VLOOKUP(F157,КВР!A$1:B$5001,2),IF(E157&gt;0,VLOOKUP(E157,Направление!A$1:B$4812,2))))))</f>
        <v>Иные бюджетные ассигнования</v>
      </c>
      <c r="B157" s="114"/>
      <c r="C157" s="109"/>
      <c r="D157" s="110"/>
      <c r="E157" s="109"/>
      <c r="F157" s="111">
        <v>800</v>
      </c>
      <c r="G157" s="116">
        <v>0</v>
      </c>
      <c r="H157" s="275"/>
      <c r="I157" s="286">
        <f t="shared" si="42"/>
        <v>0</v>
      </c>
    </row>
    <row r="158" spans="1:9" s="106" customFormat="1" x14ac:dyDescent="0.25">
      <c r="A158" s="779" t="str">
        <f>IF(B158&gt;0,VLOOKUP(B158,КВСР!A64:B1229,2),IF(C158&gt;0,VLOOKUP(C158,КФСР!A64:B1576,2),IF(D158&gt;0,VLOOKUP(D158,Программа!A$1:B$5124,2),IF(F158&gt;0,VLOOKUP(F158,КВР!A$1:B$5001,2),IF(E158&gt;0,VLOOKUP(E158,Направление!A$1:B$4812,2))))))</f>
        <v>Дорожное хозяйство</v>
      </c>
      <c r="B158" s="114"/>
      <c r="C158" s="109">
        <v>409</v>
      </c>
      <c r="D158" s="110"/>
      <c r="E158" s="109"/>
      <c r="F158" s="111"/>
      <c r="G158" s="274">
        <v>255219576</v>
      </c>
      <c r="H158" s="275">
        <f>H159+H166+H216</f>
        <v>55377897</v>
      </c>
      <c r="I158" s="275">
        <f>I159+I166+I216</f>
        <v>310597473</v>
      </c>
    </row>
    <row r="159" spans="1:9" s="106" customFormat="1" ht="63" x14ac:dyDescent="0.25">
      <c r="A159" s="779" t="str">
        <f>IF(B159&gt;0,VLOOKUP(B159,КВСР!A65:B1230,2),IF(C159&gt;0,VLOOKUP(C159,КФСР!A65:B1577,2),IF(D159&gt;0,VLOOKUP(D159,Программа!A$1:B$5124,2),IF(F159&gt;0,VLOOKUP(F159,КВР!A$1:B$5001,2),IF(E159&gt;0,VLOOKUP(E159,Направление!A$1:B$4812,2))))))</f>
        <v>Муниципальная программа "Формирование  современной городской среды"  Тутаевского муниципального района</v>
      </c>
      <c r="B159" s="114"/>
      <c r="C159" s="109"/>
      <c r="D159" s="111" t="s">
        <v>1134</v>
      </c>
      <c r="E159" s="109"/>
      <c r="F159" s="111"/>
      <c r="G159" s="332">
        <v>39069233</v>
      </c>
      <c r="H159" s="374">
        <f>H160+H163</f>
        <v>-488978</v>
      </c>
      <c r="I159" s="369">
        <f>I160+I163</f>
        <v>38580255</v>
      </c>
    </row>
    <row r="160" spans="1:9" s="106" customFormat="1" ht="31.5" x14ac:dyDescent="0.25">
      <c r="A160" s="779" t="str">
        <f>IF(B160&gt;0,VLOOKUP(B160,КВСР!A66:B1231,2),IF(C160&gt;0,VLOOKUP(C160,КФСР!A66:B1578,2),IF(D160&gt;0,VLOOKUP(D160,Программа!A$1:B$5124,2),IF(F160&gt;0,VLOOKUP(F160,КВР!A$1:B$5001,2),IF(E160&gt;0,VLOOKUP(E160,Направление!A$1:B$4812,2))))))</f>
        <v>Повышение уровня благоустройства территорий</v>
      </c>
      <c r="B160" s="114"/>
      <c r="C160" s="109"/>
      <c r="D160" s="111" t="s">
        <v>1152</v>
      </c>
      <c r="E160" s="109"/>
      <c r="F160" s="111"/>
      <c r="G160" s="274">
        <v>7402385</v>
      </c>
      <c r="H160" s="275">
        <f>H161</f>
        <v>0</v>
      </c>
      <c r="I160" s="286">
        <f>I161</f>
        <v>7402385</v>
      </c>
    </row>
    <row r="161" spans="1:11" s="106" customFormat="1" ht="47.25" x14ac:dyDescent="0.25">
      <c r="A161" s="779" t="str">
        <f>IF(B161&gt;0,VLOOKUP(B161,КВСР!A67:B1232,2),IF(C161&gt;0,VLOOKUP(C161,КФСР!A67:B1579,2),IF(D161&gt;0,VLOOKUP(D161,Программа!A$1:B$5124,2),IF(F161&gt;0,VLOOKUP(F161,КВР!A$1:B$5001,2),IF(E161&gt;0,VLOOKUP(E161,Направление!A$1:B$4812,2))))))</f>
        <v>Обеспечение мероприятий по формированию современной городской среды</v>
      </c>
      <c r="B161" s="114"/>
      <c r="C161" s="109"/>
      <c r="D161" s="111"/>
      <c r="E161" s="109">
        <v>29456</v>
      </c>
      <c r="F161" s="111"/>
      <c r="G161" s="274">
        <v>7402385</v>
      </c>
      <c r="H161" s="275">
        <f t="shared" ref="H161:I161" si="43">H162</f>
        <v>0</v>
      </c>
      <c r="I161" s="286">
        <f t="shared" si="43"/>
        <v>7402385</v>
      </c>
    </row>
    <row r="162" spans="1:11" s="106" customFormat="1" ht="63" x14ac:dyDescent="0.25">
      <c r="A162" s="779" t="str">
        <f>IF(B162&gt;0,VLOOKUP(B162,КВСР!A68:B1233,2),IF(C162&gt;0,VLOOKUP(C162,КФСР!A68:B1580,2),IF(D162&gt;0,VLOOKUP(D162,Программа!A$1:B$5124,2),IF(F162&gt;0,VLOOKUP(F162,КВР!A$1:B$5001,2),IF(E162&gt;0,VLOOKUP(E162,Направление!A$1:B$4812,2))))))</f>
        <v xml:space="preserve">Закупка товаров, работ и услуг для обеспечения государственных (муниципальных) нужд
</v>
      </c>
      <c r="B162" s="114"/>
      <c r="C162" s="109"/>
      <c r="D162" s="111"/>
      <c r="E162" s="109"/>
      <c r="F162" s="111">
        <v>200</v>
      </c>
      <c r="G162" s="267">
        <v>7402385</v>
      </c>
      <c r="H162" s="275"/>
      <c r="I162" s="286">
        <f>G162+H162</f>
        <v>7402385</v>
      </c>
    </row>
    <row r="163" spans="1:11" s="106" customFormat="1" ht="31.5" x14ac:dyDescent="0.25">
      <c r="A163" s="779" t="str">
        <f>IF(B163&gt;0,VLOOKUP(B163,КВСР!A71:B1236,2),IF(C163&gt;0,VLOOKUP(C163,КФСР!A71:B1583,2),IF(D163&gt;0,VLOOKUP(D163,Программа!A$1:B$5124,2),IF(F163&gt;0,VLOOKUP(F163,КВР!A$1:B$5001,2),IF(E163&gt;0,VLOOKUP(E163,Направление!A$1:B$4812,2))))))</f>
        <v>Реализация   проекта "Формирование комфортной городской среды"</v>
      </c>
      <c r="B163" s="114"/>
      <c r="C163" s="109"/>
      <c r="D163" s="111" t="s">
        <v>1314</v>
      </c>
      <c r="E163" s="109"/>
      <c r="F163" s="111"/>
      <c r="G163" s="286">
        <v>31666848</v>
      </c>
      <c r="H163" s="275">
        <f t="shared" ref="H163:H164" si="44">H164</f>
        <v>-488978</v>
      </c>
      <c r="I163" s="286">
        <f>I164</f>
        <v>31177870</v>
      </c>
    </row>
    <row r="164" spans="1:11" s="106" customFormat="1" ht="47.25" x14ac:dyDescent="0.25">
      <c r="A164" s="779" t="str">
        <f>IF(B164&gt;0,VLOOKUP(B164,КВСР!A72:B1237,2),IF(C164&gt;0,VLOOKUP(C164,КФСР!A72:B1584,2),IF(D164&gt;0,VLOOKUP(D164,Программа!A$1:B$5124,2),IF(F164&gt;0,VLOOKUP(F164,КВР!A$1:B$5001,2),IF(E164&gt;0,VLOOKUP(E164,Направление!A$1:B$4812,2))))))</f>
        <v xml:space="preserve">Расходы на реализацию программ формирования современной городской среды </v>
      </c>
      <c r="B164" s="114"/>
      <c r="C164" s="109"/>
      <c r="D164" s="111"/>
      <c r="E164" s="109">
        <v>55556</v>
      </c>
      <c r="F164" s="111"/>
      <c r="G164" s="286">
        <v>31666848</v>
      </c>
      <c r="H164" s="275">
        <f t="shared" si="44"/>
        <v>-488978</v>
      </c>
      <c r="I164" s="286">
        <f>I165</f>
        <v>31177870</v>
      </c>
    </row>
    <row r="165" spans="1:11" s="106" customFormat="1" ht="63" x14ac:dyDescent="0.25">
      <c r="A165" s="779" t="str">
        <f>IF(B165&gt;0,VLOOKUP(B165,КВСР!A73:B1238,2),IF(C165&gt;0,VLOOKUP(C165,КФСР!A73:B1585,2),IF(D165&gt;0,VLOOKUP(D165,Программа!A$1:B$5124,2),IF(F165&gt;0,VLOOKUP(F165,КВР!A$1:B$5001,2),IF(E165&gt;0,VLOOKUP(E165,Направление!A$1:B$4812,2))))))</f>
        <v xml:space="preserve">Закупка товаров, работ и услуг для обеспечения государственных (муниципальных) нужд
</v>
      </c>
      <c r="B165" s="114"/>
      <c r="C165" s="109"/>
      <c r="D165" s="111"/>
      <c r="E165" s="109"/>
      <c r="F165" s="111">
        <v>200</v>
      </c>
      <c r="G165" s="267">
        <v>31666848</v>
      </c>
      <c r="H165" s="275">
        <v>-488978</v>
      </c>
      <c r="I165" s="286">
        <f>SUM(G165:H165)</f>
        <v>31177870</v>
      </c>
    </row>
    <row r="166" spans="1:11" s="106" customFormat="1" ht="47.25" x14ac:dyDescent="0.25">
      <c r="A166" s="779" t="str">
        <f>IF(B166&gt;0,VLOOKUP(B166,КВСР!#REF!,2),IF(C166&gt;0,VLOOKUP(C166,КФСР!#REF!,2),IF(D166&gt;0,VLOOKUP(D166,Программа!A$1:B$5124,2),IF(F166&gt;0,VLOOKUP(F166,КВР!A$1:B$5001,2),IF(E166&gt;0,VLOOKUP(E166,Направление!A$1:B$4812,2))))))</f>
        <v>Муниципальная программа "Развитие дорожного хозяйства в Тутаевском муниципальном районе"</v>
      </c>
      <c r="B166" s="108"/>
      <c r="C166" s="109"/>
      <c r="D166" s="110" t="s">
        <v>1411</v>
      </c>
      <c r="E166" s="109"/>
      <c r="F166" s="111"/>
      <c r="G166" s="115">
        <v>216150343</v>
      </c>
      <c r="H166" s="275">
        <f>H167+H172+H207+H198</f>
        <v>55866875</v>
      </c>
      <c r="I166" s="275">
        <f>I167+I172+I207+I198</f>
        <v>272017218</v>
      </c>
    </row>
    <row r="167" spans="1:11" s="106" customFormat="1" ht="47.25" x14ac:dyDescent="0.25">
      <c r="A167" s="779" t="str">
        <f>IF(B167&gt;0,VLOOKUP(B167,КВСР!#REF!,2),IF(C167&gt;0,VLOOKUP(C167,КФСР!#REF!,2),IF(D167&gt;0,VLOOKUP(D167,Программа!A$1:B$5124,2),IF(F167&gt;0,VLOOKUP(F167,КВР!A$1:B$5001,2),IF(E167&gt;0,VLOOKUP(E167,Направление!A$1:B$4812,2))))))</f>
        <v>Реализация мероприятий по повышению безопасности дорожного движения на автомобильных дорогах</v>
      </c>
      <c r="B167" s="108"/>
      <c r="C167" s="109"/>
      <c r="D167" s="110" t="s">
        <v>1412</v>
      </c>
      <c r="E167" s="109"/>
      <c r="F167" s="111"/>
      <c r="G167" s="375">
        <v>3639100</v>
      </c>
      <c r="H167" s="374">
        <f>H168+H170</f>
        <v>1130025</v>
      </c>
      <c r="I167" s="374">
        <f>I168+I170</f>
        <v>4769125</v>
      </c>
    </row>
    <row r="168" spans="1:11" s="106" customFormat="1" ht="31.5" hidden="1" x14ac:dyDescent="0.25">
      <c r="A168" s="779" t="str">
        <f>IF(B168&gt;0,VLOOKUP(B168,КВСР!#REF!,2),IF(C168&gt;0,VLOOKUP(C168,КФСР!#REF!,2),IF(D168&gt;0,VLOOKUP(D168,Программа!A$1:B$5124,2),IF(F168&gt;0,VLOOKUP(F168,КВР!A$1:B$5001,2),IF(E168&gt;0,VLOOKUP(E168,Направление!A$1:B$4812,2))))))</f>
        <v>Содержание и ремонт  автомобильных дорог общего пользования</v>
      </c>
      <c r="B168" s="108"/>
      <c r="C168" s="109"/>
      <c r="D168" s="110"/>
      <c r="E168" s="109">
        <v>10200</v>
      </c>
      <c r="F168" s="111"/>
      <c r="G168" s="286">
        <v>0</v>
      </c>
      <c r="H168" s="374">
        <f t="shared" ref="H168:I168" si="45">H169</f>
        <v>0</v>
      </c>
      <c r="I168" s="374">
        <f t="shared" si="45"/>
        <v>0</v>
      </c>
    </row>
    <row r="169" spans="1:11" s="106" customFormat="1" ht="47.25" hidden="1" x14ac:dyDescent="0.25">
      <c r="A169" s="779" t="str">
        <f>IF(B169&gt;0,VLOOKUP(B169,КВСР!#REF!,2),IF(C169&gt;0,VLOOKUP(C169,КФСР!#REF!,2),IF(D169&gt;0,VLOOKUP(D169,Программа!A$1:B$5124,2),IF(F169&gt;0,VLOOKUP(F169,КВР!A$1:B$5001,2),IF(E169&gt;0,VLOOKUP(E169,Направление!A$1:B$4812,2))))))</f>
        <v>Предоставление субсидий бюджетным, автономным учреждениям и иным некоммерческим организациям</v>
      </c>
      <c r="B169" s="108"/>
      <c r="C169" s="109"/>
      <c r="D169" s="111"/>
      <c r="E169" s="109"/>
      <c r="F169" s="642">
        <v>600</v>
      </c>
      <c r="G169" s="267">
        <v>0</v>
      </c>
      <c r="H169" s="374"/>
      <c r="I169" s="286">
        <f t="shared" ref="I169:I218" si="46">SUM(G169:H169)</f>
        <v>0</v>
      </c>
    </row>
    <row r="170" spans="1:11" s="106" customFormat="1" ht="47.25" x14ac:dyDescent="0.25">
      <c r="A170" s="779" t="str">
        <f>IF(B170&gt;0,VLOOKUP(B170,КВСР!#REF!,2),IF(C170&gt;0,VLOOKUP(C170,КФСР!#REF!,2),IF(D170&gt;0,VLOOKUP(D170,Программа!A$1:B$5124,2),IF(F170&gt;0,VLOOKUP(F170,КВР!A$1:B$5001,2),IF(E170&gt;0,VLOOKUP(E170,Направление!A$1:B$4812,2))))))</f>
        <v>Обеспечение   мероприятий в области  дорожного хозяйства  по повышению безопасности дорожного движения</v>
      </c>
      <c r="B170" s="108"/>
      <c r="C170" s="109"/>
      <c r="D170" s="111"/>
      <c r="E170" s="109">
        <v>29096</v>
      </c>
      <c r="F170" s="111"/>
      <c r="G170" s="332">
        <v>3639100</v>
      </c>
      <c r="H170" s="374">
        <f>H171</f>
        <v>1130025</v>
      </c>
      <c r="I170" s="374">
        <f>I171</f>
        <v>4769125</v>
      </c>
    </row>
    <row r="171" spans="1:11" s="106" customFormat="1" ht="63" x14ac:dyDescent="0.25">
      <c r="A171" s="779" t="str">
        <f>IF(B171&gt;0,VLOOKUP(B171,КВСР!#REF!,2),IF(C171&gt;0,VLOOKUP(C171,КФСР!#REF!,2),IF(D171&gt;0,VLOOKUP(D171,Программа!A$1:B$5124,2),IF(F171&gt;0,VLOOKUP(F171,КВР!A$1:B$5001,2),IF(E171&gt;0,VLOOKUP(E171,Направление!A$1:B$4812,2))))))</f>
        <v xml:space="preserve">Закупка товаров, работ и услуг для обеспечения государственных (муниципальных) нужд
</v>
      </c>
      <c r="B171" s="108"/>
      <c r="C171" s="109"/>
      <c r="D171" s="111"/>
      <c r="E171" s="109"/>
      <c r="F171" s="111">
        <v>200</v>
      </c>
      <c r="G171" s="643">
        <v>3639100</v>
      </c>
      <c r="H171" s="374">
        <f>400000+730025</f>
        <v>1130025</v>
      </c>
      <c r="I171" s="286">
        <f>G171+H171</f>
        <v>4769125</v>
      </c>
    </row>
    <row r="172" spans="1:11" s="106" customFormat="1" ht="78.75" x14ac:dyDescent="0.25">
      <c r="A172" s="779" t="str">
        <f>IF(B172&gt;0,VLOOKUP(B172,КВСР!#REF!,2),IF(C172&gt;0,VLOOKUP(C172,КФСР!#REF!,2),IF(D172&gt;0,VLOOKUP(D172,Программа!A$1:B$5124,2),IF(F172&gt;0,VLOOKUP(F172,КВР!A$1:B$5001,2),IF(E172&gt;0,VLOOKUP(E172,Направление!A$1:B$4812,2))))))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08"/>
      <c r="C172" s="109"/>
      <c r="D172" s="110" t="s">
        <v>1413</v>
      </c>
      <c r="E172" s="109"/>
      <c r="F172" s="111"/>
      <c r="G172" s="375">
        <v>97057564</v>
      </c>
      <c r="H172" s="374">
        <f>H173+H176+H178+H184+H186+H190+H192+H182+H196+H194+H180</f>
        <v>57816000</v>
      </c>
      <c r="I172" s="369">
        <f>I173+I176+I178+I184+I186+I190+I192+I182+I196+I194+I180</f>
        <v>154873564</v>
      </c>
    </row>
    <row r="173" spans="1:11" s="106" customFormat="1" ht="31.5" x14ac:dyDescent="0.25">
      <c r="A173" s="779" t="str">
        <f>IF(B173&gt;0,VLOOKUP(B173,КВСР!#REF!,2),IF(C173&gt;0,VLOOKUP(C173,КФСР!#REF!,2),IF(D173&gt;0,VLOOKUP(D173,Программа!A$1:B$5124,2),IF(F173&gt;0,VLOOKUP(F173,КВР!A$1:B$5001,2),IF(E173&gt;0,VLOOKUP(E173,Направление!A$1:B$4812,2))))))</f>
        <v>Содержание и ремонт  автомобильных дорог общего пользования</v>
      </c>
      <c r="B173" s="108"/>
      <c r="C173" s="109"/>
      <c r="D173" s="110"/>
      <c r="E173" s="109">
        <v>10200</v>
      </c>
      <c r="F173" s="111"/>
      <c r="G173" s="286">
        <v>24040528</v>
      </c>
      <c r="H173" s="374">
        <f>H175+H174</f>
        <v>0</v>
      </c>
      <c r="I173" s="369">
        <f>I175+I174</f>
        <v>24040528</v>
      </c>
    </row>
    <row r="174" spans="1:11" s="106" customFormat="1" ht="110.25" x14ac:dyDescent="0.25">
      <c r="A174" s="779" t="str">
        <f>IF(B174&gt;0,VLOOKUP(B174,КВСР!#REF!,2),IF(C174&gt;0,VLOOKUP(C174,КФСР!#REF!,2),IF(D174&gt;0,VLOOKUP(D174,Программа!A$1:B$5124,2),IF(F174&gt;0,VLOOKUP(F174,КВР!A$1:B$5001,2),IF(E174&gt;0,VLOOKUP(E174,Направление!A$1:B$4812,2))))))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8"/>
      <c r="C174" s="109"/>
      <c r="D174" s="110"/>
      <c r="E174" s="109"/>
      <c r="F174" s="111">
        <v>100</v>
      </c>
      <c r="G174" s="267">
        <v>4951316</v>
      </c>
      <c r="H174" s="374">
        <v>-439600</v>
      </c>
      <c r="I174" s="369">
        <f>SUM(G174:H174)</f>
        <v>4511716</v>
      </c>
    </row>
    <row r="175" spans="1:11" s="106" customFormat="1" ht="63" x14ac:dyDescent="0.25">
      <c r="A175" s="779" t="str">
        <f>IF(B175&gt;0,VLOOKUP(B175,КВСР!#REF!,2),IF(C175&gt;0,VLOOKUP(C175,КФСР!#REF!,2),IF(D175&gt;0,VLOOKUP(D175,Программа!A$1:B$5124,2),IF(F175&gt;0,VLOOKUP(F175,КВР!A$1:B$5001,2),IF(E175&gt;0,VLOOKUP(E175,Направление!A$1:B$4812,2))))))</f>
        <v xml:space="preserve">Закупка товаров, работ и услуг для обеспечения государственных (муниципальных) нужд
</v>
      </c>
      <c r="B175" s="108"/>
      <c r="C175" s="109"/>
      <c r="D175" s="110"/>
      <c r="E175" s="109"/>
      <c r="F175" s="642">
        <v>200</v>
      </c>
      <c r="G175" s="267">
        <v>19089212</v>
      </c>
      <c r="H175" s="374">
        <v>439600</v>
      </c>
      <c r="I175" s="286">
        <f>SUM(G175:H175)</f>
        <v>19528812</v>
      </c>
    </row>
    <row r="176" spans="1:11" s="106" customFormat="1" ht="63" x14ac:dyDescent="0.25">
      <c r="A176" s="779" t="str">
        <f>IF(B176&gt;0,VLOOKUP(B176,КВСР!#REF!,2),IF(C176&gt;0,VLOOKUP(C176,КФСР!#REF!,2),IF(D176&gt;0,VLOOKUP(D176,Программа!A$1:B$5124,2),IF(F176&gt;0,VLOOKUP(F176,КВР!A$1:B$5001,2),IF(E176&gt;0,VLOOKUP(E176,Направление!A$1:B$4812,2))))))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08"/>
      <c r="C176" s="109"/>
      <c r="D176" s="111"/>
      <c r="E176" s="109">
        <v>12440</v>
      </c>
      <c r="F176" s="111"/>
      <c r="G176" s="332">
        <v>570000</v>
      </c>
      <c r="H176" s="374">
        <f>H177</f>
        <v>0</v>
      </c>
      <c r="I176" s="374">
        <f>I177</f>
        <v>570000</v>
      </c>
      <c r="K176" s="393"/>
    </row>
    <row r="177" spans="1:11" s="106" customFormat="1" ht="63" x14ac:dyDescent="0.25">
      <c r="A177" s="779" t="str">
        <f>IF(B177&gt;0,VLOOKUP(B177,КВСР!#REF!,2),IF(C177&gt;0,VLOOKUP(C177,КФСР!#REF!,2),IF(D177&gt;0,VLOOKUP(D177,Программа!A$1:B$5124,2),IF(F177&gt;0,VLOOKUP(F177,КВР!A$1:B$5001,2),IF(E177&gt;0,VLOOKUP(E177,Направление!A$1:B$4812,2))))))</f>
        <v xml:space="preserve">Закупка товаров, работ и услуг для обеспечения государственных (муниципальных) нужд
</v>
      </c>
      <c r="B177" s="108"/>
      <c r="C177" s="109"/>
      <c r="D177" s="111"/>
      <c r="E177" s="109"/>
      <c r="F177" s="111">
        <v>200</v>
      </c>
      <c r="G177" s="267">
        <v>570000</v>
      </c>
      <c r="H177" s="374"/>
      <c r="I177" s="286">
        <f t="shared" si="46"/>
        <v>570000</v>
      </c>
      <c r="K177" s="393"/>
    </row>
    <row r="178" spans="1:11" s="106" customFormat="1" ht="78.75" x14ac:dyDescent="0.25">
      <c r="A178" s="779" t="str">
        <f>IF(B178&gt;0,VLOOKUP(B178,КВСР!#REF!,2),IF(C178&gt;0,VLOOKUP(C178,КФСР!#REF!,2),IF(D178&gt;0,VLOOKUP(D178,Программа!A$1:B$5124,2),IF(F178&gt;0,VLOOKUP(F178,КВР!A$1:B$5001,2),IF(E178&gt;0,VLOOKUP(E178,Направление!A$1:B$4812,2))))))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8" s="108"/>
      <c r="C178" s="109"/>
      <c r="D178" s="111"/>
      <c r="E178" s="109">
        <v>22446</v>
      </c>
      <c r="F178" s="111"/>
      <c r="G178" s="332">
        <v>731700</v>
      </c>
      <c r="H178" s="374">
        <f>H179</f>
        <v>0</v>
      </c>
      <c r="I178" s="374">
        <f>I179</f>
        <v>731700</v>
      </c>
    </row>
    <row r="179" spans="1:11" s="106" customFormat="1" ht="63" x14ac:dyDescent="0.25">
      <c r="A179" s="779" t="str">
        <f>IF(B179&gt;0,VLOOKUP(B179,КВСР!#REF!,2),IF(C179&gt;0,VLOOKUP(C179,КФСР!#REF!,2),IF(D179&gt;0,VLOOKUP(D179,Программа!A$1:B$5124,2),IF(F179&gt;0,VLOOKUP(F179,КВР!A$1:B$5001,2),IF(E179&gt;0,VLOOKUP(E179,Направление!A$1:B$4812,2))))))</f>
        <v xml:space="preserve">Закупка товаров, работ и услуг для обеспечения государственных (муниципальных) нужд
</v>
      </c>
      <c r="B179" s="108"/>
      <c r="C179" s="109"/>
      <c r="D179" s="111"/>
      <c r="E179" s="109"/>
      <c r="F179" s="111">
        <v>200</v>
      </c>
      <c r="G179" s="267">
        <v>731700</v>
      </c>
      <c r="H179" s="374"/>
      <c r="I179" s="286">
        <f t="shared" si="46"/>
        <v>731700</v>
      </c>
    </row>
    <row r="180" spans="1:11" s="106" customFormat="1" ht="54.95" customHeight="1" x14ac:dyDescent="0.25">
      <c r="A180" s="779" t="str">
        <f>IF(B180&gt;0,VLOOKUP(B180,КВСР!#REF!,2),IF(C180&gt;0,VLOOKUP(C180,КФСР!#REF!,2),IF(D180&gt;0,VLOOKUP(D180,Программа!A$1:B$5124,2),IF(F180&gt;0,VLOOKUP(F180,КВР!A$1:B$5001,2),IF(E180&gt;0,VLOOKUP(E180,Направление!A$1:B$4812,2))))))</f>
        <v>Субсидия на ремонт дорожных объектов муниципальной собственности</v>
      </c>
      <c r="B180" s="108"/>
      <c r="C180" s="109"/>
      <c r="D180" s="111"/>
      <c r="E180" s="109">
        <v>25626</v>
      </c>
      <c r="F180" s="111"/>
      <c r="G180" s="275"/>
      <c r="H180" s="275">
        <f t="shared" ref="H180:I182" si="47">H181</f>
        <v>3016000</v>
      </c>
      <c r="I180" s="286">
        <f t="shared" si="47"/>
        <v>3016000</v>
      </c>
    </row>
    <row r="181" spans="1:11" s="106" customFormat="1" ht="63" x14ac:dyDescent="0.25">
      <c r="A181" s="779" t="str">
        <f>IF(B181&gt;0,VLOOKUP(B181,КВСР!#REF!,2),IF(C181&gt;0,VLOOKUP(C181,КФСР!#REF!,2),IF(D181&gt;0,VLOOKUP(D181,Программа!A$1:B$5124,2),IF(F181&gt;0,VLOOKUP(F181,КВР!A$1:B$5001,2),IF(E181&gt;0,VLOOKUP(E181,Направление!A$1:B$4812,2))))))</f>
        <v xml:space="preserve">Закупка товаров, работ и услуг для обеспечения государственных (муниципальных) нужд
</v>
      </c>
      <c r="B181" s="108"/>
      <c r="C181" s="109"/>
      <c r="D181" s="111"/>
      <c r="E181" s="109"/>
      <c r="F181" s="111">
        <v>200</v>
      </c>
      <c r="G181" s="267"/>
      <c r="H181" s="374">
        <v>3016000</v>
      </c>
      <c r="I181" s="286">
        <f>SUM(G181:H181)</f>
        <v>3016000</v>
      </c>
    </row>
    <row r="182" spans="1:11" s="106" customFormat="1" ht="78.75" x14ac:dyDescent="0.25">
      <c r="A182" s="779" t="str">
        <f>IF(B182&gt;0,VLOOKUP(B182,КВСР!#REF!,2),IF(C182&gt;0,VLOOKUP(C182,КФСР!#REF!,2),IF(D182&gt;0,VLOOKUP(D182,Программа!A$1:B$5124,2),IF(F182&gt;0,VLOOKUP(F182,КВР!A$1:B$5001,2),IF(E182&gt;0,VLOOKUP(E182,Направление!A$1:B$4812,2))))))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2" s="108"/>
      <c r="C182" s="109"/>
      <c r="D182" s="111"/>
      <c r="E182" s="109">
        <v>27356</v>
      </c>
      <c r="F182" s="111"/>
      <c r="G182" s="275">
        <v>1004000</v>
      </c>
      <c r="H182" s="275">
        <f t="shared" si="47"/>
        <v>13030</v>
      </c>
      <c r="I182" s="286">
        <f t="shared" si="47"/>
        <v>1017030</v>
      </c>
    </row>
    <row r="183" spans="1:11" s="106" customFormat="1" ht="63" x14ac:dyDescent="0.25">
      <c r="A183" s="779" t="str">
        <f>IF(B183&gt;0,VLOOKUP(B183,КВСР!#REF!,2),IF(C183&gt;0,VLOOKUP(C183,КФСР!#REF!,2),IF(D183&gt;0,VLOOKUP(D183,Программа!A$1:B$5124,2),IF(F183&gt;0,VLOOKUP(F183,КВР!A$1:B$5001,2),IF(E183&gt;0,VLOOKUP(E183,Направление!A$1:B$4812,2))))))</f>
        <v xml:space="preserve">Закупка товаров, работ и услуг для обеспечения государственных (муниципальных) нужд
</v>
      </c>
      <c r="B183" s="108"/>
      <c r="C183" s="109"/>
      <c r="D183" s="111"/>
      <c r="E183" s="109"/>
      <c r="F183" s="111">
        <v>200</v>
      </c>
      <c r="G183" s="267">
        <v>1004000</v>
      </c>
      <c r="H183" s="374">
        <v>13030</v>
      </c>
      <c r="I183" s="286">
        <f>SUM(G183:H183)</f>
        <v>1017030</v>
      </c>
    </row>
    <row r="184" spans="1:11" s="106" customFormat="1" ht="47.25" x14ac:dyDescent="0.25">
      <c r="A184" s="779" t="str">
        <f>IF(B184&gt;0,VLOOKUP(B184,КВСР!#REF!,2),IF(C184&gt;0,VLOOKUP(C184,КФСР!#REF!,2),IF(D184&gt;0,VLOOKUP(D184,Программа!A$1:B$5124,2),IF(F184&gt;0,VLOOKUP(F184,КВР!A$1:B$5001,2),IF(E184&gt;0,VLOOKUP(E184,Направление!A$1:B$4812,2))))))</f>
        <v>Обеспечение   мероприятий в области  дорожного хозяйства  на  ремонт и содержание автомобильных дорог</v>
      </c>
      <c r="B184" s="108"/>
      <c r="C184" s="109"/>
      <c r="D184" s="111"/>
      <c r="E184" s="109">
        <v>29086</v>
      </c>
      <c r="F184" s="111"/>
      <c r="G184" s="332">
        <v>14970944</v>
      </c>
      <c r="H184" s="374">
        <f>H185</f>
        <v>-2513030</v>
      </c>
      <c r="I184" s="374">
        <f>I185</f>
        <v>12457914</v>
      </c>
    </row>
    <row r="185" spans="1:11" s="106" customFormat="1" ht="63" x14ac:dyDescent="0.25">
      <c r="A185" s="779" t="str">
        <f>IF(B185&gt;0,VLOOKUP(B185,КВСР!#REF!,2),IF(C185&gt;0,VLOOKUP(C185,КФСР!#REF!,2),IF(D185&gt;0,VLOOKUP(D185,Программа!A$1:B$5124,2),IF(F185&gt;0,VLOOKUP(F185,КВР!A$1:B$5001,2),IF(E185&gt;0,VLOOKUP(E185,Направление!A$1:B$4812,2))))))</f>
        <v xml:space="preserve">Закупка товаров, работ и услуг для обеспечения государственных (муниципальных) нужд
</v>
      </c>
      <c r="B185" s="108"/>
      <c r="C185" s="109"/>
      <c r="D185" s="111"/>
      <c r="E185" s="109"/>
      <c r="F185" s="111">
        <v>200</v>
      </c>
      <c r="G185" s="643">
        <v>14970944</v>
      </c>
      <c r="H185" s="374">
        <f>-413030-2100000</f>
        <v>-2513030</v>
      </c>
      <c r="I185" s="286">
        <f>SUM(G185:H185)</f>
        <v>12457914</v>
      </c>
    </row>
    <row r="186" spans="1:11" s="106" customFormat="1" ht="31.5" x14ac:dyDescent="0.25">
      <c r="A186" s="779" t="str">
        <f>IF(B186&gt;0,VLOOKUP(B186,КВСР!#REF!,2),IF(C186&gt;0,VLOOKUP(C186,КФСР!#REF!,2),IF(D186&gt;0,VLOOKUP(D186,Программа!A$1:B$5124,2),IF(F186&gt;0,VLOOKUP(F186,КВР!A$1:B$5001,2),IF(E186&gt;0,VLOOKUP(E186,Направление!A$1:B$4812,2))))))</f>
        <v>Содержание и организация деятельности дорожного хозяйства</v>
      </c>
      <c r="B186" s="108"/>
      <c r="C186" s="109"/>
      <c r="D186" s="111"/>
      <c r="E186" s="109">
        <v>29696</v>
      </c>
      <c r="F186" s="111"/>
      <c r="G186" s="332">
        <v>11996984</v>
      </c>
      <c r="H186" s="374">
        <f>SUM(H187:H189)</f>
        <v>0</v>
      </c>
      <c r="I186" s="369">
        <f>SUM(I187:I189)</f>
        <v>11996984</v>
      </c>
    </row>
    <row r="187" spans="1:11" s="106" customFormat="1" ht="110.25" x14ac:dyDescent="0.25">
      <c r="A187" s="779" t="str">
        <f>IF(B187&gt;0,VLOOKUP(B187,КВСР!#REF!,2),IF(C187&gt;0,VLOOKUP(C187,КФСР!#REF!,2),IF(D187&gt;0,VLOOKUP(D187,Программа!A$1:B$5124,2),IF(F187&gt;0,VLOOKUP(F187,КВР!A$1:B$5001,2),IF(E187&gt;0,VLOOKUP(E187,Направление!A$1:B$4812,2))))))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7" s="108"/>
      <c r="C187" s="109"/>
      <c r="D187" s="111"/>
      <c r="E187" s="109"/>
      <c r="F187" s="111">
        <v>100</v>
      </c>
      <c r="G187" s="267">
        <v>2472805</v>
      </c>
      <c r="H187" s="374"/>
      <c r="I187" s="286">
        <f t="shared" si="46"/>
        <v>2472805</v>
      </c>
    </row>
    <row r="188" spans="1:11" s="106" customFormat="1" ht="63" x14ac:dyDescent="0.25">
      <c r="A188" s="779" t="str">
        <f>IF(B188&gt;0,VLOOKUP(B188,КВСР!#REF!,2),IF(C188&gt;0,VLOOKUP(C188,КФСР!#REF!,2),IF(D188&gt;0,VLOOKUP(D188,Программа!A$1:B$5124,2),IF(F188&gt;0,VLOOKUP(F188,КВР!A$1:B$5001,2),IF(E188&gt;0,VLOOKUP(E188,Направление!A$1:B$4812,2))))))</f>
        <v xml:space="preserve">Закупка товаров, работ и услуг для обеспечения государственных (муниципальных) нужд
</v>
      </c>
      <c r="B188" s="108"/>
      <c r="C188" s="109"/>
      <c r="D188" s="111"/>
      <c r="E188" s="109"/>
      <c r="F188" s="111">
        <v>200</v>
      </c>
      <c r="G188" s="267">
        <v>9419179</v>
      </c>
      <c r="H188" s="374"/>
      <c r="I188" s="286">
        <f>G188+H188</f>
        <v>9419179</v>
      </c>
    </row>
    <row r="189" spans="1:11" s="106" customFormat="1" x14ac:dyDescent="0.25">
      <c r="A189" s="779" t="str">
        <f>IF(B189&gt;0,VLOOKUP(B189,КВСР!#REF!,2),IF(C189&gt;0,VLOOKUP(C189,КФСР!#REF!,2),IF(D189&gt;0,VLOOKUP(D189,Программа!A$1:B$5124,2),IF(F189&gt;0,VLOOKUP(F189,КВР!A$1:B$5001,2),IF(E189&gt;0,VLOOKUP(E189,Направление!A$1:B$4812,2))))))</f>
        <v>Иные бюджетные ассигнования</v>
      </c>
      <c r="B189" s="108"/>
      <c r="C189" s="109"/>
      <c r="D189" s="111"/>
      <c r="E189" s="109"/>
      <c r="F189" s="111">
        <v>800</v>
      </c>
      <c r="G189" s="267">
        <v>105000</v>
      </c>
      <c r="H189" s="374"/>
      <c r="I189" s="286">
        <f>SUM(G189:H189)</f>
        <v>105000</v>
      </c>
    </row>
    <row r="190" spans="1:11" s="106" customFormat="1" ht="47.25" x14ac:dyDescent="0.25">
      <c r="A190" s="779" t="str">
        <f>IF(B190&gt;0,VLOOKUP(B190,КВСР!#REF!,2),IF(C190&gt;0,VLOOKUP(C190,КФСР!#REF!,2),IF(D190&gt;0,VLOOKUP(D190,Программа!A$1:B$5124,2),IF(F190&gt;0,VLOOKUP(F190,КВР!A$1:B$5001,2),IF(E190&gt;0,VLOOKUP(E190,Направление!A$1:B$4812,2))))))</f>
        <v>Расходы на финансирование дорожного хозяйства за счет средств областного бюджета</v>
      </c>
      <c r="B190" s="108"/>
      <c r="C190" s="109"/>
      <c r="D190" s="110"/>
      <c r="E190" s="109">
        <v>72440</v>
      </c>
      <c r="F190" s="111"/>
      <c r="G190" s="286">
        <v>10771487</v>
      </c>
      <c r="H190" s="374">
        <f>H191</f>
        <v>0</v>
      </c>
      <c r="I190" s="374">
        <f>I191</f>
        <v>10771487</v>
      </c>
    </row>
    <row r="191" spans="1:11" s="106" customFormat="1" ht="63" x14ac:dyDescent="0.25">
      <c r="A191" s="779" t="str">
        <f>IF(B191&gt;0,VLOOKUP(B191,КВСР!#REF!,2),IF(C191&gt;0,VLOOKUP(C191,КФСР!#REF!,2),IF(D191&gt;0,VLOOKUP(D191,Программа!A$1:B$5124,2),IF(F191&gt;0,VLOOKUP(F191,КВР!A$1:B$5001,2),IF(E191&gt;0,VLOOKUP(E191,Направление!A$1:B$4812,2))))))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1"/>
      <c r="E191" s="109"/>
      <c r="F191" s="111">
        <v>200</v>
      </c>
      <c r="G191" s="267">
        <v>10771487</v>
      </c>
      <c r="H191" s="374"/>
      <c r="I191" s="286">
        <f t="shared" si="46"/>
        <v>10771487</v>
      </c>
    </row>
    <row r="192" spans="1:11" s="106" customFormat="1" ht="47.25" x14ac:dyDescent="0.25">
      <c r="A192" s="779" t="str">
        <f>IF(B192&gt;0,VLOOKUP(B192,КВСР!#REF!,2),IF(C192&gt;0,VLOOKUP(C192,КФСР!#REF!,2),IF(D192&gt;0,VLOOKUP(D192,Программа!A$1:B$5124,2),IF(F192&gt;0,VLOOKUP(F192,КВР!A$1:B$5001,2),IF(E192&gt;0,VLOOKUP(E192,Направление!A$1:B$4812,2))))))</f>
        <v>Расходы на финансирование дорожного хозяйства за счет средств областного бюджета</v>
      </c>
      <c r="B192" s="108"/>
      <c r="C192" s="109"/>
      <c r="D192" s="111"/>
      <c r="E192" s="109">
        <v>72446</v>
      </c>
      <c r="F192" s="111"/>
      <c r="G192" s="332">
        <v>13901864</v>
      </c>
      <c r="H192" s="374">
        <f>H193</f>
        <v>0</v>
      </c>
      <c r="I192" s="369">
        <f>I193</f>
        <v>13901864</v>
      </c>
    </row>
    <row r="193" spans="1:9" s="106" customFormat="1" ht="63" x14ac:dyDescent="0.25">
      <c r="A193" s="779" t="str">
        <f>IF(B193&gt;0,VLOOKUP(B193,КВСР!#REF!,2),IF(C193&gt;0,VLOOKUP(C193,КФСР!#REF!,2),IF(D193&gt;0,VLOOKUP(D193,Программа!A$1:B$5124,2),IF(F193&gt;0,VLOOKUP(F193,КВР!A$1:B$5001,2),IF(E193&gt;0,VLOOKUP(E193,Направление!A$1:B$4812,2))))))</f>
        <v xml:space="preserve">Закупка товаров, работ и услуг для обеспечения государственных (муниципальных) нужд
</v>
      </c>
      <c r="B193" s="108"/>
      <c r="C193" s="109"/>
      <c r="D193" s="111"/>
      <c r="E193" s="109"/>
      <c r="F193" s="111">
        <v>200</v>
      </c>
      <c r="G193" s="267">
        <v>13901864</v>
      </c>
      <c r="H193" s="374"/>
      <c r="I193" s="286">
        <f t="shared" si="46"/>
        <v>13901864</v>
      </c>
    </row>
    <row r="194" spans="1:9" s="106" customFormat="1" ht="31.5" x14ac:dyDescent="0.25">
      <c r="A194" s="779" t="str">
        <f>IF(B194&gt;0,VLOOKUP(B194,КВСР!#REF!,2),IF(C194&gt;0,VLOOKUP(C194,КФСР!#REF!,2),IF(D194&gt;0,VLOOKUP(D194,Программа!A$1:B$5124,2),IF(F194&gt;0,VLOOKUP(F194,КВР!A$1:B$5001,2),IF(E194&gt;0,VLOOKUP(E194,Направление!A$1:B$4812,2))))))</f>
        <v>Субсидия на ремонт дорожных объектов муниципальной собственности</v>
      </c>
      <c r="B194" s="108"/>
      <c r="C194" s="109"/>
      <c r="D194" s="111"/>
      <c r="E194" s="109">
        <v>75626</v>
      </c>
      <c r="F194" s="111"/>
      <c r="G194" s="332"/>
      <c r="H194" s="374">
        <f>H195</f>
        <v>57300000</v>
      </c>
      <c r="I194" s="369">
        <f>I195</f>
        <v>57300000</v>
      </c>
    </row>
    <row r="195" spans="1:9" s="106" customFormat="1" ht="63" x14ac:dyDescent="0.25">
      <c r="A195" s="779" t="str">
        <f>IF(B195&gt;0,VLOOKUP(B195,КВСР!#REF!,2),IF(C195&gt;0,VLOOKUP(C195,КФСР!#REF!,2),IF(D195&gt;0,VLOOKUP(D195,Программа!A$1:B$5124,2),IF(F195&gt;0,VLOOKUP(F195,КВР!A$1:B$5001,2),IF(E195&gt;0,VLOOKUP(E195,Направление!A$1:B$4812,2))))))</f>
        <v xml:space="preserve">Закупка товаров, работ и услуг для обеспечения государственных (муниципальных) нужд
</v>
      </c>
      <c r="B195" s="108"/>
      <c r="C195" s="109"/>
      <c r="D195" s="111"/>
      <c r="E195" s="109"/>
      <c r="F195" s="111">
        <v>200</v>
      </c>
      <c r="G195" s="267"/>
      <c r="H195" s="374">
        <v>57300000</v>
      </c>
      <c r="I195" s="286">
        <f t="shared" ref="I195" si="48">SUM(G195:H195)</f>
        <v>57300000</v>
      </c>
    </row>
    <row r="196" spans="1:9" s="106" customFormat="1" ht="78.75" x14ac:dyDescent="0.25">
      <c r="A196" s="779" t="str">
        <f>IF(B196&gt;0,VLOOKUP(B196,КВСР!#REF!,2),IF(C196&gt;0,VLOOKUP(C196,КФСР!#REF!,2),IF(D196&gt;0,VLOOKUP(D196,Программа!A$1:B$5124,2),IF(F196&gt;0,VLOOKUP(F196,КВР!A$1:B$5001,2),IF(E196&gt;0,VLOOKUP(E196,Направление!A$1:B$4812,2))))))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6" s="108"/>
      <c r="C196" s="109"/>
      <c r="D196" s="111"/>
      <c r="E196" s="109">
        <v>77356</v>
      </c>
      <c r="F196" s="111"/>
      <c r="G196" s="275">
        <v>19070057</v>
      </c>
      <c r="H196" s="374">
        <f>H197</f>
        <v>0</v>
      </c>
      <c r="I196" s="286">
        <f>SUM(G196:H196)</f>
        <v>19070057</v>
      </c>
    </row>
    <row r="197" spans="1:9" s="106" customFormat="1" ht="63" x14ac:dyDescent="0.25">
      <c r="A197" s="779" t="str">
        <f>IF(B197&gt;0,VLOOKUP(B197,КВСР!#REF!,2),IF(C197&gt;0,VLOOKUP(C197,КФСР!#REF!,2),IF(D197&gt;0,VLOOKUP(D197,Программа!A$1:B$5124,2),IF(F197&gt;0,VLOOKUP(F197,КВР!A$1:B$5001,2),IF(E197&gt;0,VLOOKUP(E197,Направление!A$1:B$4812,2))))))</f>
        <v xml:space="preserve">Закупка товаров, работ и услуг для обеспечения государственных (муниципальных) нужд
</v>
      </c>
      <c r="B197" s="108"/>
      <c r="C197" s="109"/>
      <c r="D197" s="111"/>
      <c r="E197" s="109"/>
      <c r="F197" s="111">
        <v>200</v>
      </c>
      <c r="G197" s="267">
        <v>19070057</v>
      </c>
      <c r="H197" s="374"/>
      <c r="I197" s="286">
        <f>SUM(G197:H197)</f>
        <v>19070057</v>
      </c>
    </row>
    <row r="198" spans="1:9" s="106" customFormat="1" ht="78.75" x14ac:dyDescent="0.25">
      <c r="A198" s="779" t="str">
        <f>IF(B198&gt;0,VLOOKUP(B198,КВСР!#REF!,2),IF(C198&gt;0,VLOOKUP(C198,КФСР!#REF!,2),IF(D198&gt;0,VLOOKUP(D198,Программа!A$1:B$5124,2),IF(F198&gt;0,VLOOKUP(F198,КВР!A$1:B$5001,2),IF(E198&gt;0,VLOOKUP(E198,Направление!A$1:B$4812,2))))))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98" s="108"/>
      <c r="C198" s="109"/>
      <c r="D198" s="110" t="s">
        <v>1577</v>
      </c>
      <c r="E198" s="109"/>
      <c r="F198" s="111"/>
      <c r="G198" s="275">
        <v>56097679</v>
      </c>
      <c r="H198" s="374">
        <f>H201+H203+H205+H199</f>
        <v>-3079150</v>
      </c>
      <c r="I198" s="286">
        <f>I201+I203+I205+I199</f>
        <v>53018529</v>
      </c>
    </row>
    <row r="199" spans="1:9" s="106" customFormat="1" ht="69" customHeight="1" x14ac:dyDescent="0.25">
      <c r="A199" s="779" t="str">
        <f>IF(B199&gt;0,VLOOKUP(B199,КВСР!#REF!,2),IF(C199&gt;0,VLOOKUP(C199,КФСР!#REF!,2),IF(D199&gt;0,VLOOKUP(D199,Программа!A$1:B$5124,2),IF(F199&gt;0,VLOOKUP(F199,КВР!A$1:B$5001,2),IF(E199&gt;0,VLOOKUP(E199,Направление!A$1:B$4812,2))))))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199" s="108"/>
      <c r="C199" s="109"/>
      <c r="D199" s="110"/>
      <c r="E199" s="109">
        <v>76513</v>
      </c>
      <c r="F199" s="111"/>
      <c r="G199" s="275">
        <v>6000000</v>
      </c>
      <c r="H199" s="275">
        <f t="shared" ref="H199:I199" si="49">H200</f>
        <v>0</v>
      </c>
      <c r="I199" s="275">
        <f t="shared" si="49"/>
        <v>6000000</v>
      </c>
    </row>
    <row r="200" spans="1:9" s="106" customFormat="1" ht="54" customHeight="1" x14ac:dyDescent="0.25">
      <c r="A200" s="779" t="str">
        <f>IF(B200&gt;0,VLOOKUP(B200,КВСР!#REF!,2),IF(C200&gt;0,VLOOKUP(C200,КФСР!#REF!,2),IF(D200&gt;0,VLOOKUP(D200,Программа!A$1:B$5124,2),IF(F200&gt;0,VLOOKUP(F200,КВР!A$1:B$5001,2),IF(E200&gt;0,VLOOKUP(E200,Направление!A$1:B$4812,2))))))</f>
        <v>Капитальные вложения в объекты государственной (муниципальной) собственности</v>
      </c>
      <c r="B200" s="108"/>
      <c r="C200" s="109"/>
      <c r="D200" s="110"/>
      <c r="E200" s="109"/>
      <c r="F200" s="111">
        <v>400</v>
      </c>
      <c r="G200" s="775">
        <v>6000000</v>
      </c>
      <c r="H200" s="374"/>
      <c r="I200" s="286">
        <f>SUM(G200:H200)</f>
        <v>6000000</v>
      </c>
    </row>
    <row r="201" spans="1:9" s="106" customFormat="1" ht="102" customHeight="1" x14ac:dyDescent="0.25">
      <c r="A201" s="779" t="str">
        <f>IF(B201&gt;0,VLOOKUP(B201,КВСР!#REF!,2),IF(C201&gt;0,VLOOKUP(C201,КФСР!#REF!,2),IF(D201&gt;0,VLOOKUP(D201,Программа!A$1:B$5124,2),IF(F201&gt;0,VLOOKUP(F201,КВР!A$1:B$5001,2),IF(E201&gt;0,VLOOKUP(E201,Направление!A$1:B$4812,2))))))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01" s="108"/>
      <c r="C201" s="109"/>
      <c r="D201" s="110"/>
      <c r="E201" s="109">
        <v>76935</v>
      </c>
      <c r="F201" s="111"/>
      <c r="G201" s="275">
        <v>29307264</v>
      </c>
      <c r="H201" s="374">
        <f>H202</f>
        <v>0</v>
      </c>
      <c r="I201" s="286">
        <f>I202</f>
        <v>29307264</v>
      </c>
    </row>
    <row r="202" spans="1:9" s="106" customFormat="1" ht="47.25" x14ac:dyDescent="0.25">
      <c r="A202" s="779" t="str">
        <f>IF(B202&gt;0,VLOOKUP(B202,КВСР!#REF!,2),IF(C202&gt;0,VLOOKUP(C202,КФСР!#REF!,2),IF(D202&gt;0,VLOOKUP(D202,Программа!A$1:B$5124,2),IF(F202&gt;0,VLOOKUP(F202,КВР!A$1:B$5001,2),IF(E202&gt;0,VLOOKUP(E202,Направление!A$1:B$4812,2))))))</f>
        <v>Капитальные вложения в объекты государственной (муниципальной) собственности</v>
      </c>
      <c r="B202" s="108"/>
      <c r="C202" s="109"/>
      <c r="D202" s="110"/>
      <c r="E202" s="109"/>
      <c r="F202" s="642">
        <v>400</v>
      </c>
      <c r="G202" s="775">
        <v>29307264</v>
      </c>
      <c r="H202" s="374"/>
      <c r="I202" s="286">
        <f>SUM(G202:H202)</f>
        <v>29307264</v>
      </c>
    </row>
    <row r="203" spans="1:9" s="106" customFormat="1" ht="94.5" x14ac:dyDescent="0.25">
      <c r="A203" s="779" t="str">
        <f>IF(B203&gt;0,VLOOKUP(B203,КВСР!#REF!,2),IF(C203&gt;0,VLOOKUP(C203,КФСР!#REF!,2),IF(D203&gt;0,VLOOKUP(D203,Программа!A$1:B$5124,2),IF(F203&gt;0,VLOOKUP(F203,КВР!A$1:B$5001,2),IF(E203&gt;0,VLOOKUP(E203,Направление!A$1:B$4812,2))))))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03" s="108"/>
      <c r="C203" s="109"/>
      <c r="D203" s="111"/>
      <c r="E203" s="109">
        <v>76936</v>
      </c>
      <c r="F203" s="111"/>
      <c r="G203" s="275">
        <v>17710915</v>
      </c>
      <c r="H203" s="374">
        <f>H204</f>
        <v>-3079150</v>
      </c>
      <c r="I203" s="286">
        <f>I204</f>
        <v>14631765</v>
      </c>
    </row>
    <row r="204" spans="1:9" s="106" customFormat="1" ht="47.25" x14ac:dyDescent="0.25">
      <c r="A204" s="779" t="str">
        <f>IF(B204&gt;0,VLOOKUP(B204,КВСР!#REF!,2),IF(C204&gt;0,VLOOKUP(C204,КФСР!#REF!,2),IF(D204&gt;0,VLOOKUP(D204,Программа!A$1:B$5124,2),IF(F204&gt;0,VLOOKUP(F204,КВР!A$1:B$5001,2),IF(E204&gt;0,VLOOKUP(E204,Направление!A$1:B$4812,2))))))</f>
        <v>Капитальные вложения в объекты государственной (муниципальной) собственности</v>
      </c>
      <c r="B204" s="108"/>
      <c r="C204" s="109"/>
      <c r="D204" s="111"/>
      <c r="E204" s="109"/>
      <c r="F204" s="111">
        <v>400</v>
      </c>
      <c r="G204" s="775">
        <v>17710915</v>
      </c>
      <c r="H204" s="374">
        <v>-3079150</v>
      </c>
      <c r="I204" s="286">
        <f>SUM(G204:H204)</f>
        <v>14631765</v>
      </c>
    </row>
    <row r="205" spans="1:9" s="106" customFormat="1" ht="126" x14ac:dyDescent="0.25">
      <c r="A205" s="779" t="str">
        <f>IF(B205&gt;0,VLOOKUP(B205,КВСР!#REF!,2),IF(C205&gt;0,VLOOKUP(C205,КФСР!#REF!,2),IF(D205&gt;0,VLOOKUP(D205,Программа!A$1:B$5124,2),IF(F205&gt;0,VLOOKUP(F205,КВР!A$1:B$5001,2),IF(E205&gt;0,VLOOKUP(E205,Направление!A$1:B$4812,2))))))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05" s="108"/>
      <c r="C205" s="109"/>
      <c r="D205" s="111"/>
      <c r="E205" s="109">
        <v>26936</v>
      </c>
      <c r="F205" s="111"/>
      <c r="G205" s="275">
        <v>3079500</v>
      </c>
      <c r="H205" s="374">
        <f>H206</f>
        <v>0</v>
      </c>
      <c r="I205" s="286">
        <f>I206</f>
        <v>3079500</v>
      </c>
    </row>
    <row r="206" spans="1:9" s="106" customFormat="1" ht="47.25" x14ac:dyDescent="0.25">
      <c r="A206" s="779" t="str">
        <f>IF(B206&gt;0,VLOOKUP(B206,КВСР!#REF!,2),IF(C206&gt;0,VLOOKUP(C206,КФСР!#REF!,2),IF(D206&gt;0,VLOOKUP(D206,Программа!A$1:B$5124,2),IF(F206&gt;0,VLOOKUP(F206,КВР!A$1:B$5001,2),IF(E206&gt;0,VLOOKUP(E206,Направление!A$1:B$4812,2))))))</f>
        <v>Капитальные вложения в объекты государственной (муниципальной) собственности</v>
      </c>
      <c r="B206" s="108"/>
      <c r="C206" s="109"/>
      <c r="D206" s="111"/>
      <c r="E206" s="109"/>
      <c r="F206" s="111">
        <v>400</v>
      </c>
      <c r="G206" s="775">
        <v>3079500</v>
      </c>
      <c r="H206" s="374"/>
      <c r="I206" s="286">
        <f>SUM(G206:H206)</f>
        <v>3079500</v>
      </c>
    </row>
    <row r="207" spans="1:9" s="106" customFormat="1" ht="31.5" x14ac:dyDescent="0.25">
      <c r="A207" s="779" t="str">
        <f>IF(B207&gt;0,VLOOKUP(B207,КВСР!#REF!,2),IF(C207&gt;0,VLOOKUP(C207,КФСР!#REF!,2),IF(D207&gt;0,VLOOKUP(D207,Программа!A$1:B$5124,2),IF(F207&gt;0,VLOOKUP(F207,КВР!A$1:B$5001,2),IF(E207&gt;0,VLOOKUP(E207,Направление!A$1:B$4812,2))))))</f>
        <v>Реализация федерального проекта "Дорожная сеть"</v>
      </c>
      <c r="B207" s="108"/>
      <c r="C207" s="109"/>
      <c r="D207" s="111" t="s">
        <v>1414</v>
      </c>
      <c r="E207" s="109"/>
      <c r="F207" s="111"/>
      <c r="G207" s="286">
        <v>59356000</v>
      </c>
      <c r="H207" s="275">
        <f>H210+H214+H208+H212</f>
        <v>0</v>
      </c>
      <c r="I207" s="286">
        <f>I210+I214+I208+I212</f>
        <v>59356000</v>
      </c>
    </row>
    <row r="208" spans="1:9" s="106" customFormat="1" ht="78.75" hidden="1" x14ac:dyDescent="0.25">
      <c r="A208" s="779" t="str">
        <f>IF(B208&gt;0,VLOOKUP(B208,КВСР!#REF!,2),IF(C208&gt;0,VLOOKUP(C208,КФСР!#REF!,2),IF(D208&gt;0,VLOOKUP(D208,Программа!A$1:B$5124,2),IF(F208&gt;0,VLOOKUP(F208,КВР!A$1:B$5001,2),IF(E208&gt;0,VLOOKUP(E208,Направление!A$1:B$4812,2))))))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8" s="108"/>
      <c r="C208" s="109"/>
      <c r="D208" s="111"/>
      <c r="E208" s="109">
        <v>13930</v>
      </c>
      <c r="F208" s="111"/>
      <c r="G208" s="286">
        <v>0</v>
      </c>
      <c r="H208" s="275">
        <f t="shared" ref="H208:I208" si="50">H209</f>
        <v>0</v>
      </c>
      <c r="I208" s="286">
        <f t="shared" si="50"/>
        <v>0</v>
      </c>
    </row>
    <row r="209" spans="1:9" s="106" customFormat="1" ht="63" hidden="1" x14ac:dyDescent="0.25">
      <c r="A209" s="779" t="str">
        <f>IF(B209&gt;0,VLOOKUP(B209,КВСР!#REF!,2),IF(C209&gt;0,VLOOKUP(C209,КФСР!#REF!,2),IF(D209&gt;0,VLOOKUP(D209,Программа!A$1:B$5124,2),IF(F209&gt;0,VLOOKUP(F209,КВР!A$1:B$5001,2),IF(E209&gt;0,VLOOKUP(E209,Направление!A$1:B$4812,2))))))</f>
        <v xml:space="preserve">Закупка товаров, работ и услуг для обеспечения государственных (муниципальных) нужд
</v>
      </c>
      <c r="B209" s="108"/>
      <c r="C209" s="109"/>
      <c r="D209" s="111"/>
      <c r="E209" s="109"/>
      <c r="F209" s="111">
        <v>200</v>
      </c>
      <c r="G209" s="267">
        <v>0</v>
      </c>
      <c r="H209" s="275"/>
      <c r="I209" s="286">
        <f>SUM(G209:H209)</f>
        <v>0</v>
      </c>
    </row>
    <row r="210" spans="1:9" s="106" customFormat="1" ht="94.5" x14ac:dyDescent="0.25">
      <c r="A210" s="779" t="str">
        <f>IF(B210&gt;0,VLOOKUP(B210,КВСР!#REF!,2),IF(C210&gt;0,VLOOKUP(C210,КФСР!#REF!,2),IF(D210&gt;0,VLOOKUP(D210,Программа!A$1:B$5124,2),IF(F210&gt;0,VLOOKUP(F210,КВР!A$1:B$5001,2),IF(E210&gt;0,VLOOKUP(E210,Направление!A$1:B$4812,2))))))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10" s="108"/>
      <c r="C210" s="109"/>
      <c r="D210" s="111"/>
      <c r="E210" s="109">
        <v>23936</v>
      </c>
      <c r="F210" s="111"/>
      <c r="G210" s="286">
        <v>5556000</v>
      </c>
      <c r="H210" s="374">
        <f>H211</f>
        <v>0</v>
      </c>
      <c r="I210" s="369">
        <f>I211</f>
        <v>5556000</v>
      </c>
    </row>
    <row r="211" spans="1:9" s="106" customFormat="1" ht="63" x14ac:dyDescent="0.25">
      <c r="A211" s="779" t="str">
        <f>IF(B211&gt;0,VLOOKUP(B211,КВСР!#REF!,2),IF(C211&gt;0,VLOOKUP(C211,КФСР!#REF!,2),IF(D211&gt;0,VLOOKUP(D211,Программа!A$1:B$5124,2),IF(F211&gt;0,VLOOKUP(F211,КВР!A$1:B$5001,2),IF(E211&gt;0,VLOOKUP(E211,Направление!A$1:B$4812,2))))))</f>
        <v xml:space="preserve">Закупка товаров, работ и услуг для обеспечения государственных (муниципальных) нужд
</v>
      </c>
      <c r="B211" s="108"/>
      <c r="C211" s="109"/>
      <c r="D211" s="111"/>
      <c r="E211" s="109"/>
      <c r="F211" s="111">
        <v>200</v>
      </c>
      <c r="G211" s="267">
        <v>5556000</v>
      </c>
      <c r="H211" s="374"/>
      <c r="I211" s="286">
        <f>SUM(G211:H211)</f>
        <v>5556000</v>
      </c>
    </row>
    <row r="212" spans="1:9" s="106" customFormat="1" ht="78.75" hidden="1" x14ac:dyDescent="0.25">
      <c r="A212" s="779" t="str">
        <f>IF(B212&gt;0,VLOOKUP(B212,КВСР!#REF!,2),IF(C212&gt;0,VLOOKUP(C212,КФСР!#REF!,2),IF(D212&gt;0,VLOOKUP(D212,Программа!A$1:B$5124,2),IF(F212&gt;0,VLOOKUP(F212,КВР!A$1:B$5001,2),IF(E212&gt;0,VLOOKUP(E212,Направление!A$1:B$4812,2))))))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12" s="108"/>
      <c r="C212" s="109"/>
      <c r="D212" s="111"/>
      <c r="E212" s="109">
        <v>73930</v>
      </c>
      <c r="F212" s="111"/>
      <c r="G212" s="743">
        <v>0</v>
      </c>
      <c r="H212" s="275">
        <f t="shared" ref="H212:I212" si="51">H213</f>
        <v>0</v>
      </c>
      <c r="I212" s="286">
        <f t="shared" si="51"/>
        <v>0</v>
      </c>
    </row>
    <row r="213" spans="1:9" s="106" customFormat="1" ht="63" hidden="1" x14ac:dyDescent="0.25">
      <c r="A213" s="779" t="str">
        <f>IF(B213&gt;0,VLOOKUP(B213,КВСР!#REF!,2),IF(C213&gt;0,VLOOKUP(C213,КФСР!#REF!,2),IF(D213&gt;0,VLOOKUP(D213,Программа!A$1:B$5124,2),IF(F213&gt;0,VLOOKUP(F213,КВР!A$1:B$5001,2),IF(E213&gt;0,VLOOKUP(E213,Направление!A$1:B$4812,2))))))</f>
        <v xml:space="preserve">Закупка товаров, работ и услуг для обеспечения государственных (муниципальных) нужд
</v>
      </c>
      <c r="B213" s="108"/>
      <c r="C213" s="109"/>
      <c r="D213" s="111"/>
      <c r="E213" s="109"/>
      <c r="F213" s="111">
        <v>200</v>
      </c>
      <c r="G213" s="267">
        <v>0</v>
      </c>
      <c r="H213" s="374"/>
      <c r="I213" s="286">
        <f>SUM(G213:H213)</f>
        <v>0</v>
      </c>
    </row>
    <row r="214" spans="1:9" s="106" customFormat="1" ht="94.5" x14ac:dyDescent="0.25">
      <c r="A214" s="779" t="str">
        <f>IF(B214&gt;0,VLOOKUP(B214,КВСР!#REF!,2),IF(C214&gt;0,VLOOKUP(C214,КФСР!#REF!,2),IF(D214&gt;0,VLOOKUP(D214,Программа!A$1:B$5124,2),IF(F214&gt;0,VLOOKUP(F214,КВР!A$1:B$5001,2),IF(E214&gt;0,VLOOKUP(E214,Направление!A$1:B$4812,2))))))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14" s="108"/>
      <c r="C214" s="109"/>
      <c r="D214" s="111"/>
      <c r="E214" s="109">
        <v>73936</v>
      </c>
      <c r="F214" s="111"/>
      <c r="G214" s="286">
        <v>53800000</v>
      </c>
      <c r="H214" s="374">
        <f>H215</f>
        <v>0</v>
      </c>
      <c r="I214" s="369">
        <f>I215</f>
        <v>53800000</v>
      </c>
    </row>
    <row r="215" spans="1:9" s="106" customFormat="1" ht="63" x14ac:dyDescent="0.25">
      <c r="A215" s="779" t="str">
        <f>IF(B215&gt;0,VLOOKUP(B215,КВСР!#REF!,2),IF(C215&gt;0,VLOOKUP(C215,КФСР!#REF!,2),IF(D215&gt;0,VLOOKUP(D215,Программа!A$1:B$5124,2),IF(F215&gt;0,VLOOKUP(F215,КВР!A$1:B$5001,2),IF(E215&gt;0,VLOOKUP(E215,Направление!A$1:B$4812,2))))))</f>
        <v xml:space="preserve">Закупка товаров, работ и услуг для обеспечения государственных (муниципальных) нужд
</v>
      </c>
      <c r="B215" s="108"/>
      <c r="C215" s="109"/>
      <c r="D215" s="111"/>
      <c r="E215" s="109"/>
      <c r="F215" s="111">
        <v>200</v>
      </c>
      <c r="G215" s="267">
        <v>53800000</v>
      </c>
      <c r="H215" s="374"/>
      <c r="I215" s="286">
        <f>G215+H215</f>
        <v>53800000</v>
      </c>
    </row>
    <row r="216" spans="1:9" s="106" customFormat="1" ht="31.5" hidden="1" x14ac:dyDescent="0.25">
      <c r="A216" s="779" t="str">
        <f>IF(B216&gt;0,VLOOKUP(B216,КВСР!#REF!,2),IF(C216&gt;0,VLOOKUP(C216,КФСР!#REF!,2),IF(D216&gt;0,VLOOKUP(D216,Программа!A$1:B$5124,2),IF(F216&gt;0,VLOOKUP(F216,КВР!A$1:B$5001,2),IF(E216&gt;0,VLOOKUP(E216,Направление!A$1:B$4812,2))))))</f>
        <v>Межбюджетные трансферты  поселениям района</v>
      </c>
      <c r="B216" s="108"/>
      <c r="C216" s="109"/>
      <c r="D216" s="111" t="s">
        <v>478</v>
      </c>
      <c r="E216" s="109"/>
      <c r="F216" s="111"/>
      <c r="G216" s="274">
        <v>0</v>
      </c>
      <c r="H216" s="275">
        <f>H217</f>
        <v>0</v>
      </c>
      <c r="I216" s="286">
        <f>I217</f>
        <v>0</v>
      </c>
    </row>
    <row r="217" spans="1:9" s="106" customFormat="1" ht="126" hidden="1" x14ac:dyDescent="0.25">
      <c r="A217" s="779" t="str">
        <f>IF(B217&gt;0,VLOOKUP(B217,КВСР!#REF!,2),IF(C217&gt;0,VLOOKUP(C217,КФСР!#REF!,2),IF(D217&gt;0,VLOOKUP(D217,Программа!A$1:B$5124,2),IF(F217&gt;0,VLOOKUP(F217,КВР!A$1:B$5001,2),IF(E217&gt;0,VLOOKUP(E217,Направление!A$1:B$4812,2))))))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7" s="108"/>
      <c r="C217" s="109"/>
      <c r="D217" s="111"/>
      <c r="E217" s="109">
        <v>10052</v>
      </c>
      <c r="F217" s="111"/>
      <c r="G217" s="286">
        <v>0</v>
      </c>
      <c r="H217" s="275">
        <f t="shared" ref="H217:I217" si="52">H218</f>
        <v>0</v>
      </c>
      <c r="I217" s="286">
        <f t="shared" si="52"/>
        <v>0</v>
      </c>
    </row>
    <row r="218" spans="1:9" s="106" customFormat="1" hidden="1" x14ac:dyDescent="0.25">
      <c r="A218" s="779" t="str">
        <f>IF(B218&gt;0,VLOOKUP(B218,КВСР!#REF!,2),IF(C218&gt;0,VLOOKUP(C218,КФСР!#REF!,2),IF(D218&gt;0,VLOOKUP(D218,Программа!A$1:B$5124,2),IF(F218&gt;0,VLOOKUP(F218,КВР!A$1:B$5001,2),IF(E218&gt;0,VLOOKUP(E218,Направление!A$1:B$4812,2))))))</f>
        <v xml:space="preserve"> Межбюджетные трансферты</v>
      </c>
      <c r="B218" s="108"/>
      <c r="C218" s="109"/>
      <c r="D218" s="111"/>
      <c r="E218" s="109"/>
      <c r="F218" s="111">
        <v>500</v>
      </c>
      <c r="G218" s="267">
        <v>0</v>
      </c>
      <c r="H218" s="275"/>
      <c r="I218" s="286">
        <f t="shared" si="46"/>
        <v>0</v>
      </c>
    </row>
    <row r="219" spans="1:9" s="106" customFormat="1" ht="31.5" x14ac:dyDescent="0.25">
      <c r="A219" s="779" t="str">
        <f>IF(B219&gt;0,VLOOKUP(B219,КВСР!A48:B1213,2),IF(C219&gt;0,VLOOKUP(C219,КФСР!A48:B1560,2),IF(D219&gt;0,VLOOKUP(D219,Программа!A$1:B$5124,2),IF(F219&gt;0,VLOOKUP(F219,КВР!A$1:B$5001,2),IF(E219&gt;0,VLOOKUP(E219,Направление!A$1:B$4812,2))))))</f>
        <v>Другие вопросы в области национальной экономики</v>
      </c>
      <c r="B219" s="114"/>
      <c r="C219" s="109">
        <v>412</v>
      </c>
      <c r="D219" s="110"/>
      <c r="E219" s="109"/>
      <c r="F219" s="111"/>
      <c r="G219" s="275">
        <v>326196</v>
      </c>
      <c r="H219" s="275">
        <f>H220+H228</f>
        <v>0</v>
      </c>
      <c r="I219" s="286">
        <f>I220+I228</f>
        <v>326196</v>
      </c>
    </row>
    <row r="220" spans="1:9" s="106" customFormat="1" ht="47.25" x14ac:dyDescent="0.25">
      <c r="A220" s="779" t="str">
        <f>IF(B220&gt;0,VLOOKUP(B220,КВСР!A49:B1214,2),IF(C220&gt;0,VLOOKUP(C220,КФСР!A49:B1561,2),IF(D220&gt;0,VLOOKUP(D220,Программа!A$1:B$5124,2),IF(F220&gt;0,VLOOKUP(F220,КВР!A$1:B$5001,2),IF(E220&gt;0,VLOOKUP(E220,Направление!A$1:B$4812,2))))))</f>
        <v>Муниципальная программа "Развитие потребительского рынка Тутаевского муниципального района"</v>
      </c>
      <c r="B220" s="114"/>
      <c r="C220" s="109"/>
      <c r="D220" s="110" t="s">
        <v>1694</v>
      </c>
      <c r="E220" s="109"/>
      <c r="F220" s="111"/>
      <c r="G220" s="275">
        <v>326196</v>
      </c>
      <c r="H220" s="275">
        <f t="shared" ref="H220:I220" si="53">H221</f>
        <v>0</v>
      </c>
      <c r="I220" s="286">
        <f t="shared" si="53"/>
        <v>326196</v>
      </c>
    </row>
    <row r="221" spans="1:9" s="106" customFormat="1" ht="78.75" x14ac:dyDescent="0.25">
      <c r="A221" s="779" t="str">
        <f>IF(B221&gt;0,VLOOKUP(B221,КВСР!A49:B1214,2),IF(C221&gt;0,VLOOKUP(C221,КФСР!A49:B1561,2),IF(D221&gt;0,VLOOKUP(D221,Программа!A$1:B$5124,2),IF(F221&gt;0,VLOOKUP(F221,КВР!A$1:B$5001,2),IF(E221&gt;0,VLOOKUP(E221,Направление!A$1:B$4812,2))))))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21" s="114"/>
      <c r="C221" s="109"/>
      <c r="D221" s="110" t="s">
        <v>1695</v>
      </c>
      <c r="E221" s="109"/>
      <c r="F221" s="111"/>
      <c r="G221" s="115">
        <v>326196</v>
      </c>
      <c r="H221" s="275">
        <f>H222+H224+H226</f>
        <v>0</v>
      </c>
      <c r="I221" s="286">
        <f>I222+I224+I226</f>
        <v>326196</v>
      </c>
    </row>
    <row r="222" spans="1:9" s="106" customFormat="1" ht="126" x14ac:dyDescent="0.25">
      <c r="A222" s="779" t="str">
        <f>IF(B222&gt;0,VLOOKUP(B222,КВСР!A51:B1216,2),IF(C222&gt;0,VLOOKUP(C222,КФСР!A51:B1563,2),IF(D222&gt;0,VLOOKUP(D222,Программа!A$1:B$5124,2),IF(F222&gt;0,VLOOKUP(F222,КВР!A$1:B$5001,2),IF(E222&gt;0,VLOOKUP(E222,Направление!A$1:B$4812,2))))))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22" s="114"/>
      <c r="C222" s="109"/>
      <c r="D222" s="110"/>
      <c r="E222" s="109">
        <v>22886</v>
      </c>
      <c r="F222" s="111"/>
      <c r="G222" s="286">
        <v>12657</v>
      </c>
      <c r="H222" s="275">
        <f>H223</f>
        <v>0</v>
      </c>
      <c r="I222" s="286">
        <f>I223</f>
        <v>12657</v>
      </c>
    </row>
    <row r="223" spans="1:9" s="106" customFormat="1" x14ac:dyDescent="0.25">
      <c r="A223" s="779" t="str">
        <f>IF(B223&gt;0,VLOOKUP(B223,КВСР!A52:B1217,2),IF(C223&gt;0,VLOOKUP(C223,КФСР!A52:B1564,2),IF(D223&gt;0,VLOOKUP(D223,Программа!A$1:B$5124,2),IF(F223&gt;0,VLOOKUP(F223,КВР!A$1:B$5001,2),IF(E223&gt;0,VLOOKUP(E223,Направление!A$1:B$4812,2))))))</f>
        <v>Иные бюджетные ассигнования</v>
      </c>
      <c r="B223" s="114"/>
      <c r="C223" s="109"/>
      <c r="D223" s="110"/>
      <c r="E223" s="109"/>
      <c r="F223" s="111">
        <v>800</v>
      </c>
      <c r="G223" s="775">
        <v>12657</v>
      </c>
      <c r="H223" s="275"/>
      <c r="I223" s="286">
        <f t="shared" si="42"/>
        <v>12657</v>
      </c>
    </row>
    <row r="224" spans="1:9" s="106" customFormat="1" ht="47.25" x14ac:dyDescent="0.25">
      <c r="A224" s="779" t="str">
        <f>IF(B224&gt;0,VLOOKUP(B224,КВСР!A53:B1218,2),IF(C224&gt;0,VLOOKUP(C224,КФСР!A53:B1565,2),IF(D224&gt;0,VLOOKUP(D224,Программа!A$1:B$5124,2),IF(F224&gt;0,VLOOKUP(F224,КВР!A$1:B$5001,2),IF(E224&gt;0,VLOOKUP(E224,Направление!A$1:B$4812,2))))))</f>
        <v>Обеспечение мероприятий по организации населению услуг торговли на селе</v>
      </c>
      <c r="B224" s="114"/>
      <c r="C224" s="109"/>
      <c r="D224" s="110"/>
      <c r="E224" s="109">
        <v>29526</v>
      </c>
      <c r="F224" s="111"/>
      <c r="G224" s="286">
        <v>73065</v>
      </c>
      <c r="H224" s="275">
        <f>H225</f>
        <v>0</v>
      </c>
      <c r="I224" s="286">
        <f>I225</f>
        <v>73065</v>
      </c>
    </row>
    <row r="225" spans="1:9" s="106" customFormat="1" x14ac:dyDescent="0.25">
      <c r="A225" s="779" t="str">
        <f>IF(B225&gt;0,VLOOKUP(B225,КВСР!A54:B1219,2),IF(C225&gt;0,VLOOKUP(C225,КФСР!A54:B1566,2),IF(D225&gt;0,VLOOKUP(D225,Программа!A$1:B$5124,2),IF(F225&gt;0,VLOOKUP(F225,КВР!A$1:B$5001,2),IF(E225&gt;0,VLOOKUP(E225,Направление!A$1:B$4812,2))))))</f>
        <v>Иные бюджетные ассигнования</v>
      </c>
      <c r="B225" s="114"/>
      <c r="C225" s="109"/>
      <c r="D225" s="110"/>
      <c r="E225" s="109"/>
      <c r="F225" s="111">
        <v>800</v>
      </c>
      <c r="G225" s="775">
        <v>73065</v>
      </c>
      <c r="H225" s="275"/>
      <c r="I225" s="286">
        <f>SUM(G225:H225)</f>
        <v>73065</v>
      </c>
    </row>
    <row r="226" spans="1:9" s="106" customFormat="1" ht="126" x14ac:dyDescent="0.25">
      <c r="A226" s="779" t="str">
        <f>IF(B226&gt;0,VLOOKUP(B226,КВСР!A55:B1220,2),IF(C226&gt;0,VLOOKUP(C226,КФСР!A55:B1567,2),IF(D226&gt;0,VLOOKUP(D226,Программа!A$1:B$5124,2),IF(F226&gt;0,VLOOKUP(F226,КВР!A$1:B$5001,2),IF(E226&gt;0,VLOOKUP(E226,Направление!A$1:B$4812,2))))))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6" s="114"/>
      <c r="C226" s="109"/>
      <c r="D226" s="110"/>
      <c r="E226" s="109">
        <v>72886</v>
      </c>
      <c r="F226" s="111"/>
      <c r="G226" s="286">
        <v>240474</v>
      </c>
      <c r="H226" s="275">
        <f t="shared" ref="H226:I226" si="54">H227</f>
        <v>0</v>
      </c>
      <c r="I226" s="286">
        <f t="shared" si="54"/>
        <v>240474</v>
      </c>
    </row>
    <row r="227" spans="1:9" s="106" customFormat="1" x14ac:dyDescent="0.25">
      <c r="A227" s="779" t="str">
        <f>IF(B227&gt;0,VLOOKUP(B227,КВСР!A56:B1221,2),IF(C227&gt;0,VLOOKUP(C227,КФСР!A56:B1568,2),IF(D227&gt;0,VLOOKUP(D227,Программа!A$1:B$5124,2),IF(F227&gt;0,VLOOKUP(F227,КВР!A$1:B$5001,2),IF(E227&gt;0,VLOOKUP(E227,Направление!A$1:B$4812,2))))))</f>
        <v>Иные бюджетные ассигнования</v>
      </c>
      <c r="B227" s="114"/>
      <c r="C227" s="109"/>
      <c r="D227" s="110"/>
      <c r="E227" s="109"/>
      <c r="F227" s="111">
        <v>800</v>
      </c>
      <c r="G227" s="775">
        <v>240474</v>
      </c>
      <c r="H227" s="275"/>
      <c r="I227" s="274">
        <f>SUM(G227:H227)</f>
        <v>240474</v>
      </c>
    </row>
    <row r="228" spans="1:9" s="106" customFormat="1" ht="63" hidden="1" x14ac:dyDescent="0.25">
      <c r="A228" s="779" t="str">
        <f>IF(B228&gt;0,VLOOKUP(B228,КВСР!A56:B1221,2),IF(C228&gt;0,VLOOKUP(C228,КФСР!A56:B1568,2),IF(D228&gt;0,VLOOKUP(D228,Программа!A$1:B$5124,2),IF(F228&gt;0,VLOOKUP(F228,КВР!A$1:B$5001,2),IF(E228&gt;0,VLOOKUP(E228,Направление!A$1:B$4812,2))))))</f>
        <v>Муниципальная программа "Градостроительная деятельность на территории Тутаевского муниципального района "</v>
      </c>
      <c r="B228" s="114"/>
      <c r="C228" s="109"/>
      <c r="D228" s="110" t="s">
        <v>1335</v>
      </c>
      <c r="E228" s="109"/>
      <c r="F228" s="111"/>
      <c r="G228" s="286">
        <v>0</v>
      </c>
      <c r="H228" s="275">
        <f>H229</f>
        <v>0</v>
      </c>
      <c r="I228" s="286">
        <f>I229</f>
        <v>0</v>
      </c>
    </row>
    <row r="229" spans="1:9" s="106" customFormat="1" ht="47.25" hidden="1" x14ac:dyDescent="0.25">
      <c r="A229" s="779" t="str">
        <f>IF(B229&gt;0,VLOOKUP(B229,КВСР!A57:B1222,2),IF(C229&gt;0,VLOOKUP(C229,КФСР!A57:B1569,2),IF(D229&gt;0,VLOOKUP(D229,Программа!A$1:B$5124,2),IF(F229&gt;0,VLOOKUP(F229,КВР!A$1:B$5001,2),IF(E229&gt;0,VLOOKUP(E229,Направление!A$1:B$4812,2))))))</f>
        <v xml:space="preserve">Внесение изменений в документы территориального планирования и градостроительного зонирования </v>
      </c>
      <c r="B229" s="114"/>
      <c r="C229" s="109"/>
      <c r="D229" s="110" t="s">
        <v>1336</v>
      </c>
      <c r="E229" s="109"/>
      <c r="F229" s="111"/>
      <c r="G229" s="286">
        <v>0</v>
      </c>
      <c r="H229" s="275">
        <f>H230+H232+H234</f>
        <v>0</v>
      </c>
      <c r="I229" s="286">
        <f>I230+I232+I234</f>
        <v>0</v>
      </c>
    </row>
    <row r="230" spans="1:9" s="106" customFormat="1" ht="63" hidden="1" x14ac:dyDescent="0.25">
      <c r="A230" s="779" t="str">
        <f>IF(B230&gt;0,VLOOKUP(B230,КВСР!A58:B1223,2),IF(C230&gt;0,VLOOKUP(C230,КФСР!A58:B1570,2),IF(D230&gt;0,VLOOKUP(D230,Программа!A$1:B$5124,2),IF(F230&gt;0,VLOOKUP(F230,КВР!A$1:B$5001,2),IF(E230&gt;0,VLOOKUP(E230,Направление!A$1:B$4812,2))))))</f>
        <v>Мероприятия по внесению изменений в документы территориального  планирования и градостроительного зонирования</v>
      </c>
      <c r="B230" s="114"/>
      <c r="C230" s="109"/>
      <c r="D230" s="110"/>
      <c r="E230" s="109">
        <v>10430</v>
      </c>
      <c r="F230" s="111"/>
      <c r="G230" s="286">
        <v>0</v>
      </c>
      <c r="H230" s="275">
        <f t="shared" ref="H230:I230" si="55">H231</f>
        <v>0</v>
      </c>
      <c r="I230" s="286">
        <f t="shared" si="55"/>
        <v>0</v>
      </c>
    </row>
    <row r="231" spans="1:9" s="106" customFormat="1" ht="63" hidden="1" x14ac:dyDescent="0.25">
      <c r="A231" s="779" t="str">
        <f>IF(B231&gt;0,VLOOKUP(B231,КВСР!A59:B1224,2),IF(C231&gt;0,VLOOKUP(C231,КФСР!A59:B1571,2),IF(D231&gt;0,VLOOKUP(D231,Программа!A$1:B$5124,2),IF(F231&gt;0,VLOOKUP(F231,КВР!A$1:B$5001,2),IF(E231&gt;0,VLOOKUP(E231,Направление!A$1:B$4812,2))))))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286">
        <v>0</v>
      </c>
      <c r="H231" s="275"/>
      <c r="I231" s="274">
        <f>SUM(G231:H231)</f>
        <v>0</v>
      </c>
    </row>
    <row r="232" spans="1:9" s="106" customFormat="1" ht="78.75" hidden="1" x14ac:dyDescent="0.25">
      <c r="A232" s="779" t="str">
        <f>IF(B232&gt;0,VLOOKUP(B232,КВСР!A60:B1225,2),IF(C232&gt;0,VLOOKUP(C232,КФСР!A60:B1572,2),IF(D232&gt;0,VLOOKUP(D232,Программа!A$1:B$5124,2),IF(F232&gt;0,VLOOKUP(F232,КВР!A$1:B$5001,2),IF(E232&gt;0,VLOOKUP(E232,Направление!A$1:B$4812,2))))))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2" s="114"/>
      <c r="C232" s="109"/>
      <c r="D232" s="110"/>
      <c r="E232" s="109">
        <v>11280</v>
      </c>
      <c r="F232" s="111"/>
      <c r="G232" s="286">
        <v>0</v>
      </c>
      <c r="H232" s="275">
        <f t="shared" ref="H232:I232" si="56">H233</f>
        <v>0</v>
      </c>
      <c r="I232" s="286">
        <f t="shared" si="56"/>
        <v>0</v>
      </c>
    </row>
    <row r="233" spans="1:9" s="106" customFormat="1" ht="63" hidden="1" x14ac:dyDescent="0.25">
      <c r="A233" s="779" t="str">
        <f>IF(B233&gt;0,VLOOKUP(B233,КВСР!A61:B1226,2),IF(C233&gt;0,VLOOKUP(C233,КФСР!A61:B1573,2),IF(D233&gt;0,VLOOKUP(D233,Программа!A$1:B$5124,2),IF(F233&gt;0,VLOOKUP(F233,КВР!A$1:B$5001,2),IF(E233&gt;0,VLOOKUP(E233,Направление!A$1:B$4812,2))))))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286">
        <v>0</v>
      </c>
      <c r="H233" s="275"/>
      <c r="I233" s="274">
        <f>SUM(G233:H233)</f>
        <v>0</v>
      </c>
    </row>
    <row r="234" spans="1:9" s="106" customFormat="1" ht="63" hidden="1" x14ac:dyDescent="0.25">
      <c r="A234" s="779" t="str">
        <f>IF(B234&gt;0,VLOOKUP(B234,КВСР!A62:B1227,2),IF(C234&gt;0,VLOOKUP(C234,КФСР!A62:B1574,2),IF(D234&gt;0,VLOOKUP(D234,Программа!A$1:B$5124,2),IF(F234&gt;0,VLOOKUP(F234,КВР!A$1:B$5001,2),IF(E234&gt;0,VLOOKUP(E234,Направление!A$1:B$4812,2))))))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4" s="114"/>
      <c r="C234" s="109"/>
      <c r="D234" s="110"/>
      <c r="E234" s="109">
        <v>71280</v>
      </c>
      <c r="F234" s="111"/>
      <c r="G234" s="286">
        <v>0</v>
      </c>
      <c r="H234" s="275">
        <f t="shared" ref="H234:I234" si="57">H235</f>
        <v>0</v>
      </c>
      <c r="I234" s="286">
        <f t="shared" si="57"/>
        <v>0</v>
      </c>
    </row>
    <row r="235" spans="1:9" s="106" customFormat="1" ht="63" hidden="1" x14ac:dyDescent="0.25">
      <c r="A235" s="779" t="str">
        <f>IF(B235&gt;0,VLOOKUP(B235,КВСР!A63:B1228,2),IF(C235&gt;0,VLOOKUP(C235,КФСР!A63:B1575,2),IF(D235&gt;0,VLOOKUP(D235,Программа!A$1:B$5124,2),IF(F235&gt;0,VLOOKUP(F235,КВР!A$1:B$5001,2),IF(E235&gt;0,VLOOKUP(E235,Направление!A$1:B$4812,2))))))</f>
        <v xml:space="preserve">Закупка товаров, работ и услуг для обеспечения государственных (муниципальных) нужд
</v>
      </c>
      <c r="B235" s="114"/>
      <c r="C235" s="109"/>
      <c r="D235" s="110"/>
      <c r="E235" s="109"/>
      <c r="F235" s="111">
        <v>200</v>
      </c>
      <c r="G235" s="286">
        <v>0</v>
      </c>
      <c r="H235" s="275"/>
      <c r="I235" s="274">
        <f>SUM(G235:H235)</f>
        <v>0</v>
      </c>
    </row>
    <row r="236" spans="1:9" s="106" customFormat="1" x14ac:dyDescent="0.25">
      <c r="A236" s="779" t="str">
        <f>IF(B236&gt;0,VLOOKUP(B236,КВСР!A57:B1222,2),IF(C236&gt;0,VLOOKUP(C236,КФСР!A57:B1569,2),IF(D236&gt;0,VLOOKUP(D236,Программа!A$1:B$5124,2),IF(F236&gt;0,VLOOKUP(F236,КВР!A$1:B$5001,2),IF(E236&gt;0,VLOOKUP(E236,Направление!A$1:B$4812,2))))))</f>
        <v>Жилищное хозяйство</v>
      </c>
      <c r="B236" s="114"/>
      <c r="C236" s="109">
        <v>501</v>
      </c>
      <c r="D236" s="110"/>
      <c r="E236" s="109"/>
      <c r="F236" s="111"/>
      <c r="G236" s="275">
        <v>8431090</v>
      </c>
      <c r="H236" s="275">
        <f>H237+H241</f>
        <v>-1584000</v>
      </c>
      <c r="I236" s="275">
        <f>I237+I241</f>
        <v>6847090</v>
      </c>
    </row>
    <row r="237" spans="1:9" s="106" customFormat="1" ht="63" x14ac:dyDescent="0.25">
      <c r="A237" s="779" t="str">
        <f>IF(B237&gt;0,VLOOKUP(B237,КВСР!A58:B1223,2),IF(C237&gt;0,VLOOKUP(C237,КФСР!A58:B1570,2),IF(D237&gt;0,VLOOKUP(D237,Программа!A$1:B$5124,2),IF(F237&gt;0,VLOOKUP(F237,КВР!A$1:B$5001,2),IF(E237&gt;0,VLOOKUP(E237,Направление!A$1:B$4812,2))))))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7" s="114"/>
      <c r="C237" s="109"/>
      <c r="D237" s="110" t="s">
        <v>1416</v>
      </c>
      <c r="E237" s="109"/>
      <c r="F237" s="111"/>
      <c r="G237" s="275">
        <v>5131090</v>
      </c>
      <c r="H237" s="275">
        <f t="shared" ref="H237:I239" si="58">H238</f>
        <v>0</v>
      </c>
      <c r="I237" s="275">
        <f t="shared" si="58"/>
        <v>5131090</v>
      </c>
    </row>
    <row r="238" spans="1:9" s="106" customFormat="1" ht="47.25" x14ac:dyDescent="0.25">
      <c r="A238" s="779" t="str">
        <f>IF(B238&gt;0,VLOOKUP(B238,КВСР!A59:B1224,2),IF(C238&gt;0,VLOOKUP(C238,КФСР!A59:B1571,2),IF(D238&gt;0,VLOOKUP(D238,Программа!A$1:B$5124,2),IF(F238&gt;0,VLOOKUP(F238,КВР!A$1:B$5001,2),IF(E238&gt;0,VLOOKUP(E238,Направление!A$1:B$4812,2))))))</f>
        <v xml:space="preserve">Реализация  мероприятий  по  развитию, ремонту и содержанию муниципального жилищного фонда   </v>
      </c>
      <c r="B238" s="114"/>
      <c r="C238" s="109"/>
      <c r="D238" s="110" t="s">
        <v>1418</v>
      </c>
      <c r="E238" s="109"/>
      <c r="F238" s="111"/>
      <c r="G238" s="275">
        <v>5131090</v>
      </c>
      <c r="H238" s="275">
        <f t="shared" si="58"/>
        <v>0</v>
      </c>
      <c r="I238" s="275">
        <f t="shared" si="58"/>
        <v>5131090</v>
      </c>
    </row>
    <row r="239" spans="1:9" s="106" customFormat="1" ht="63" x14ac:dyDescent="0.25">
      <c r="A239" s="779" t="str">
        <f>IF(B239&gt;0,VLOOKUP(B239,КВСР!A61:B1226,2),IF(C239&gt;0,VLOOKUP(C239,КФСР!A61:B1573,2),IF(D239&gt;0,VLOOKUP(D239,Программа!A$1:B$5124,2),IF(F239&gt;0,VLOOKUP(F239,КВР!A$1:B$5001,2),IF(E239&gt;0,VLOOKUP(E239,Направление!A$1:B$4812,2))))))</f>
        <v>Обеспечение мероприятий по содержанию,  реконструкции и капитальному ремонту муниципального жилищного фонда</v>
      </c>
      <c r="B239" s="114"/>
      <c r="C239" s="109"/>
      <c r="D239" s="110"/>
      <c r="E239" s="109">
        <v>29376</v>
      </c>
      <c r="F239" s="111"/>
      <c r="G239" s="275">
        <v>5131090</v>
      </c>
      <c r="H239" s="275">
        <f t="shared" si="58"/>
        <v>0</v>
      </c>
      <c r="I239" s="275">
        <f t="shared" si="58"/>
        <v>5131090</v>
      </c>
    </row>
    <row r="240" spans="1:9" s="106" customFormat="1" ht="63" x14ac:dyDescent="0.25">
      <c r="A240" s="779" t="str">
        <f>IF(B240&gt;0,VLOOKUP(B240,КВСР!A62:B1227,2),IF(C240&gt;0,VLOOKUP(C240,КФСР!A62:B1574,2),IF(D240&gt;0,VLOOKUP(D240,Программа!A$1:B$5124,2),IF(F240&gt;0,VLOOKUP(F240,КВР!A$1:B$5001,2),IF(E240&gt;0,VLOOKUP(E240,Направление!A$1:B$4812,2))))))</f>
        <v xml:space="preserve">Закупка товаров, работ и услуг для обеспечения государственных (муниципальных) нужд
</v>
      </c>
      <c r="B240" s="114"/>
      <c r="C240" s="109"/>
      <c r="D240" s="110"/>
      <c r="E240" s="109"/>
      <c r="F240" s="111">
        <v>200</v>
      </c>
      <c r="G240" s="267">
        <v>5131090</v>
      </c>
      <c r="H240" s="275"/>
      <c r="I240" s="286">
        <f t="shared" si="42"/>
        <v>5131090</v>
      </c>
    </row>
    <row r="241" spans="1:9" s="106" customFormat="1" x14ac:dyDescent="0.25">
      <c r="A241" s="779" t="str">
        <f>IF(B241&gt;0,VLOOKUP(B241,КВСР!A63:B1228,2),IF(C241&gt;0,VLOOKUP(C241,КФСР!A63:B1575,2),IF(D241&gt;0,VLOOKUP(D241,Программа!A$1:B$5124,2),IF(F241&gt;0,VLOOKUP(F241,КВР!A$1:B$5001,2),IF(E241&gt;0,VLOOKUP(E241,Направление!A$1:B$4812,2))))))</f>
        <v>Непрограммные расходы бюджета</v>
      </c>
      <c r="B241" s="114"/>
      <c r="C241" s="109"/>
      <c r="D241" s="110" t="s">
        <v>311</v>
      </c>
      <c r="E241" s="109"/>
      <c r="F241" s="111"/>
      <c r="G241" s="286">
        <v>3300000</v>
      </c>
      <c r="H241" s="374">
        <f t="shared" ref="H241:I242" si="59">H242</f>
        <v>-1584000</v>
      </c>
      <c r="I241" s="286">
        <f t="shared" si="59"/>
        <v>1716000</v>
      </c>
    </row>
    <row r="242" spans="1:9" s="106" customFormat="1" ht="34.5" customHeight="1" x14ac:dyDescent="0.25">
      <c r="A242" s="779" t="str">
        <f>IF(B242&gt;0,VLOOKUP(B242,КВСР!A64:B1229,2),IF(C242&gt;0,VLOOKUP(C242,КФСР!A64:B1576,2),IF(D242&gt;0,VLOOKUP(D242,Программа!A$1:B$5124,2),IF(F242&gt;0,VLOOKUP(F242,КВР!A$1:B$5001,2),IF(E242&gt;0,VLOOKUP(E242,Направление!A$1:B$4812,2))))))</f>
        <v>Мероприятия по демонтажу аварийного жилищного фонда</v>
      </c>
      <c r="B242" s="114"/>
      <c r="C242" s="109"/>
      <c r="D242" s="110"/>
      <c r="E242" s="109">
        <v>29866</v>
      </c>
      <c r="F242" s="111"/>
      <c r="G242" s="286">
        <v>3300000</v>
      </c>
      <c r="H242" s="275">
        <f t="shared" si="59"/>
        <v>-1584000</v>
      </c>
      <c r="I242" s="286">
        <f t="shared" si="59"/>
        <v>1716000</v>
      </c>
    </row>
    <row r="243" spans="1:9" s="106" customFormat="1" ht="63" customHeight="1" x14ac:dyDescent="0.25">
      <c r="A243" s="779" t="str">
        <f>IF(B243&gt;0,VLOOKUP(B243,КВСР!A65:B1230,2),IF(C243&gt;0,VLOOKUP(C243,КФСР!A65:B1577,2),IF(D243&gt;0,VLOOKUP(D243,Программа!A$1:B$5124,2),IF(F243&gt;0,VLOOKUP(F243,КВР!A$1:B$5001,2),IF(E243&gt;0,VLOOKUP(E243,Направление!A$1:B$4812,2))))))</f>
        <v xml:space="preserve">Закупка товаров, работ и услуг для обеспечения государственных (муниципальных) нужд
</v>
      </c>
      <c r="B243" s="114"/>
      <c r="C243" s="109"/>
      <c r="D243" s="110"/>
      <c r="E243" s="109"/>
      <c r="F243" s="111">
        <v>200</v>
      </c>
      <c r="G243" s="267">
        <v>3300000</v>
      </c>
      <c r="H243" s="275">
        <v>-1584000</v>
      </c>
      <c r="I243" s="286">
        <f>SUM(G243:H243)</f>
        <v>1716000</v>
      </c>
    </row>
    <row r="244" spans="1:9" s="106" customFormat="1" x14ac:dyDescent="0.25">
      <c r="A244" s="779" t="str">
        <f>IF(B244&gt;0,VLOOKUP(B244,КВСР!A52:B1217,2),IF(C244&gt;0,VLOOKUP(C244,КФСР!A52:B1564,2),IF(D244&gt;0,VLOOKUP(D244,Программа!A$1:B$5124,2),IF(F244&gt;0,VLOOKUP(F244,КВР!A$1:B$5001,2),IF(E244&gt;0,VLOOKUP(E244,Направление!A$1:B$4812,2))))))</f>
        <v>Коммунальное хозяйство</v>
      </c>
      <c r="B244" s="114"/>
      <c r="C244" s="109">
        <v>502</v>
      </c>
      <c r="D244" s="111"/>
      <c r="E244" s="109"/>
      <c r="F244" s="111"/>
      <c r="G244" s="274">
        <v>25540566</v>
      </c>
      <c r="H244" s="275">
        <f>H245+H294+H283+H272+H279</f>
        <v>-5159918</v>
      </c>
      <c r="I244" s="275">
        <f>I245+I294+I283+I272+I279</f>
        <v>20380648</v>
      </c>
    </row>
    <row r="245" spans="1:9" s="106" customFormat="1" ht="63" x14ac:dyDescent="0.25">
      <c r="A245" s="779" t="str">
        <f>IF(B245&gt;0,VLOOKUP(B245,КВСР!A53:B1218,2),IF(C245&gt;0,VLOOKUP(C245,КФСР!A53:B1565,2),IF(D245&gt;0,VLOOKUP(D245,Программа!A$1:B$5124,2),IF(F245&gt;0,VLOOKUP(F245,КВР!A$1:B$5001,2),IF(E245&gt;0,VLOOKUP(E245,Направление!A$1:B$4812,2))))))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5" s="114"/>
      <c r="C245" s="109"/>
      <c r="D245" s="111" t="s">
        <v>525</v>
      </c>
      <c r="E245" s="109"/>
      <c r="F245" s="111"/>
      <c r="G245" s="274">
        <v>19920566</v>
      </c>
      <c r="H245" s="275">
        <f>H246+H254+H265</f>
        <v>-4005028</v>
      </c>
      <c r="I245" s="275">
        <f>I246+I254+I265</f>
        <v>15915538</v>
      </c>
    </row>
    <row r="246" spans="1:9" s="106" customFormat="1" ht="78.75" x14ac:dyDescent="0.25">
      <c r="A246" s="779" t="str">
        <f>IF(B246&gt;0,VLOOKUP(B246,КВСР!A54:B1219,2),IF(C246&gt;0,VLOOKUP(C246,КФСР!A54:B1566,2),IF(D246&gt;0,VLOOKUP(D246,Программа!A$1:B$5124,2),IF(F246&gt;0,VLOOKUP(F246,КВР!A$1:B$5001,2),IF(E246&gt;0,VLOOKUP(E246,Направление!A$1:B$4812,2))))))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6" s="114"/>
      <c r="C246" s="109"/>
      <c r="D246" s="110" t="s">
        <v>554</v>
      </c>
      <c r="E246" s="109"/>
      <c r="F246" s="111"/>
      <c r="G246" s="274">
        <v>8113066</v>
      </c>
      <c r="H246" s="275">
        <f t="shared" ref="H246:I246" si="60">H247</f>
        <v>-4521762</v>
      </c>
      <c r="I246" s="275">
        <f t="shared" si="60"/>
        <v>3591304</v>
      </c>
    </row>
    <row r="247" spans="1:9" s="106" customFormat="1" ht="78.75" x14ac:dyDescent="0.25">
      <c r="A247" s="779" t="str">
        <f>IF(B247&gt;0,VLOOKUP(B247,КВСР!A55:B1220,2),IF(C247&gt;0,VLOOKUP(C247,КФСР!A55:B1567,2),IF(D247&gt;0,VLOOKUP(D247,Программа!A$1:B$5124,2),IF(F247&gt;0,VLOOKUP(F247,КВР!A$1:B$5001,2),IF(E247&gt;0,VLOOKUP(E247,Направление!A$1:B$4812,2))))))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7" s="114"/>
      <c r="C247" s="109"/>
      <c r="D247" s="110" t="s">
        <v>595</v>
      </c>
      <c r="E247" s="109"/>
      <c r="F247" s="111"/>
      <c r="G247" s="274">
        <v>8113066</v>
      </c>
      <c r="H247" s="275">
        <f>H248+H250+H252</f>
        <v>-4521762</v>
      </c>
      <c r="I247" s="275">
        <f>I248+I250+I252</f>
        <v>3591304</v>
      </c>
    </row>
    <row r="248" spans="1:9" s="106" customFormat="1" ht="47.25" x14ac:dyDescent="0.25">
      <c r="A248" s="779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IF(B248&gt;0,VLOOKUP(B248,КВСР!A56:B1221,2),IF(C248&gt;0,VLOOKUP(C248,КФСР!A56:B1568,2),IF(D248&gt;0,VLOOKUP(D248,Программа!A$1:B$5124,2),IF(F248&gt;0,VLOOKUP(F248,КВР!A$1:B$5001,2),IF(E248&gt;0,VLOOKUP(E248,Направление!A$1:B$4812,2))))))</f>
        <v>Расходы на мероприятия по газификации населенных пунктов в сельских  поселениях</v>
      </c>
      <c r="B248" s="114"/>
      <c r="C248" s="109"/>
      <c r="D248" s="110"/>
      <c r="E248" s="109">
        <v>10060</v>
      </c>
      <c r="F248" s="111"/>
      <c r="G248" s="286">
        <v>8113066</v>
      </c>
      <c r="H248" s="275">
        <f>H249</f>
        <v>-4521762</v>
      </c>
      <c r="I248" s="275">
        <f>I249</f>
        <v>3591304</v>
      </c>
    </row>
    <row r="249" spans="1:9" s="106" customFormat="1" ht="63" x14ac:dyDescent="0.25">
      <c r="A249" s="779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IF(B249&gt;0,VLOOKUP(B249,КВСР!A58:B1223,2),IF(C249&gt;0,VLOOKUP(C249,КФСР!A58:B1570,2),IF(D249&gt;0,VLOOKUP(D249,Программа!A$1:B$5124,2),IF(F249&gt;0,VLOOKUP(F249,КВР!A$1:B$5001,2),IF(E249&gt;0,VLOOKUP(E249,Направление!A$1:B$4812,2))))))</f>
        <v xml:space="preserve">Закупка товаров, работ и услуг для обеспечения государственных (муниципальных) нужд
</v>
      </c>
      <c r="B249" s="114"/>
      <c r="C249" s="109"/>
      <c r="D249" s="110"/>
      <c r="E249" s="109"/>
      <c r="F249" s="111">
        <v>200</v>
      </c>
      <c r="G249" s="286">
        <v>8113066</v>
      </c>
      <c r="H249" s="275">
        <f>-745000-3776762</f>
        <v>-4521762</v>
      </c>
      <c r="I249" s="274">
        <f>G249+H249</f>
        <v>3591304</v>
      </c>
    </row>
    <row r="250" spans="1:9" s="106" customFormat="1" ht="47.25" hidden="1" x14ac:dyDescent="0.25">
      <c r="A250" s="779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IF(B250&gt;0,VLOOKUP(B250,КВСР!A58:B1223,2),IF(C250&gt;0,VLOOKUP(C250,КФСР!A58:B1570,2),IF(D250&gt;0,VLOOKUP(D250,Программа!A$1:B$5124,2),IF(F250&gt;0,VLOOKUP(F250,КВР!A$1:B$5001,2),IF(E250&gt;0,VLOOKUP(E250,Направление!A$1:B$4812,2))))))</f>
        <v>Бюджетные инвестиции на строительство межпоселенческих газопроводов</v>
      </c>
      <c r="B250" s="114"/>
      <c r="C250" s="109"/>
      <c r="D250" s="110"/>
      <c r="E250" s="109">
        <v>15260</v>
      </c>
      <c r="F250" s="111"/>
      <c r="G250" s="286">
        <v>0</v>
      </c>
      <c r="H250" s="330">
        <f>H251</f>
        <v>0</v>
      </c>
      <c r="I250" s="330">
        <f>I251</f>
        <v>0</v>
      </c>
    </row>
    <row r="251" spans="1:9" s="106" customFormat="1" ht="47.25" hidden="1" x14ac:dyDescent="0.25">
      <c r="A251" s="779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IF(B251&gt;0,VLOOKUP(B251,КВСР!A59:B1224,2),IF(C251&gt;0,VLOOKUP(C251,КФСР!A59:B1571,2),IF(D251&gt;0,VLOOKUP(D251,Программа!A$1:B$5124,2),IF(F251&gt;0,VLOOKUP(F251,КВР!A$1:B$5001,2),IF(E251&gt;0,VLOOKUP(E251,Направление!A$1:B$4812,2))))))</f>
        <v>Капитальные вложения в объекты государственной (муниципальной) собственности</v>
      </c>
      <c r="B251" s="114"/>
      <c r="C251" s="109"/>
      <c r="D251" s="110"/>
      <c r="E251" s="109"/>
      <c r="F251" s="111">
        <v>400</v>
      </c>
      <c r="G251" s="286">
        <v>0</v>
      </c>
      <c r="H251" s="275"/>
      <c r="I251" s="274">
        <f t="shared" si="42"/>
        <v>0</v>
      </c>
    </row>
    <row r="252" spans="1:9" s="106" customFormat="1" ht="47.25" hidden="1" x14ac:dyDescent="0.25">
      <c r="A252" s="779" t="str">
        <f>IF(B252&gt;0,VLOOKUP(B252,КВСР!A58:B1223,2),IF(C252&gt;0,VLOOKUP(C252,КФСР!A58:B1570,2),IF(D252&gt;0,VLOOKUP(D252,Программа!A$1:B$5124,2),IF(F252&gt;0,VLOOKUP(F252,КВР!A$1:B$5001,2),IF(E252&gt;0,VLOOKUP(E252,Направление!A$1:B$4812,2))))))</f>
        <v>Расходы на мероприятия по строительству межпоселеченских газопроводов</v>
      </c>
      <c r="B252" s="114"/>
      <c r="C252" s="109"/>
      <c r="D252" s="110"/>
      <c r="E252" s="109">
        <v>75260</v>
      </c>
      <c r="F252" s="111"/>
      <c r="G252" s="286">
        <v>0</v>
      </c>
      <c r="H252" s="275">
        <f t="shared" ref="H252:I252" si="61">H253</f>
        <v>0</v>
      </c>
      <c r="I252" s="275">
        <f t="shared" si="61"/>
        <v>0</v>
      </c>
    </row>
    <row r="253" spans="1:9" s="106" customFormat="1" ht="47.25" hidden="1" x14ac:dyDescent="0.25">
      <c r="A253" s="779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IF(B253&gt;0,VLOOKUP(B253,КВСР!A59:B1224,2),IF(C253&gt;0,VLOOKUP(C253,КФСР!A59:B1571,2),IF(D253&gt;0,VLOOKUP(D253,Программа!A$1:B$5124,2),IF(F253&gt;0,VLOOKUP(F253,КВР!A$1:B$5001,2),IF(E253&gt;0,VLOOKUP(E253,Направление!A$1:B$4812,2))))))</f>
        <v>Капитальные вложения в объекты государственной (муниципальной) собственности</v>
      </c>
      <c r="B253" s="114"/>
      <c r="C253" s="109"/>
      <c r="D253" s="110"/>
      <c r="E253" s="109"/>
      <c r="F253" s="111">
        <v>400</v>
      </c>
      <c r="G253" s="286">
        <v>0</v>
      </c>
      <c r="H253" s="275"/>
      <c r="I253" s="274">
        <f t="shared" si="42"/>
        <v>0</v>
      </c>
    </row>
    <row r="254" spans="1:9" s="106" customFormat="1" ht="78.75" x14ac:dyDescent="0.25">
      <c r="A254" s="779" t="str">
        <f>IF(B254&gt;0,VLOOKUP(B254,КВСР!A58:B1223,2),IF(C254&gt;0,VLOOKUP(C254,КФСР!A58:B1570,2),IF(D254&gt;0,VLOOKUP(D254,Программа!A$1:B$5124,2),IF(F254&gt;0,VLOOKUP(F254,КВР!A$1:B$5001,2),IF(E254&gt;0,VLOOKUP(E254,Направление!A$1:B$4812,2))))))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4" s="114"/>
      <c r="C254" s="109"/>
      <c r="D254" s="110" t="s">
        <v>558</v>
      </c>
      <c r="E254" s="109"/>
      <c r="F254" s="111"/>
      <c r="G254" s="274">
        <v>1807500</v>
      </c>
      <c r="H254" s="275">
        <f t="shared" ref="H254" si="62">H255+H262</f>
        <v>-343266</v>
      </c>
      <c r="I254" s="275">
        <f t="shared" ref="I254" si="63">I255+I262</f>
        <v>1464234</v>
      </c>
    </row>
    <row r="255" spans="1:9" s="106" customFormat="1" ht="78.75" x14ac:dyDescent="0.25">
      <c r="A255" s="779" t="str">
        <f>IF(B255&gt;0,VLOOKUP(B255,КВСР!A59:B1224,2),IF(C255&gt;0,VLOOKUP(C255,КФСР!A59:B1571,2),IF(D255&gt;0,VLOOKUP(D255,Программа!A$1:B$5124,2),IF(F255&gt;0,VLOOKUP(F255,КВР!A$1:B$5001,2),IF(E255&gt;0,VLOOKUP(E255,Направление!A$1:B$4812,2))))))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5" s="114"/>
      <c r="C255" s="109"/>
      <c r="D255" s="110" t="s">
        <v>559</v>
      </c>
      <c r="E255" s="109"/>
      <c r="F255" s="111"/>
      <c r="G255" s="274">
        <v>1807500</v>
      </c>
      <c r="H255" s="275">
        <f>H256+H259</f>
        <v>-343266</v>
      </c>
      <c r="I255" s="275">
        <f>I256+I259</f>
        <v>1464234</v>
      </c>
    </row>
    <row r="256" spans="1:9" s="106" customFormat="1" ht="31.5" x14ac:dyDescent="0.25">
      <c r="A256" s="779" t="str">
        <f>IF(B256&gt;0,VLOOKUP(B256,КВСР!A60:B1225,2),IF(C256&gt;0,VLOOKUP(C256,КФСР!A60:B1572,2),IF(D256&gt;0,VLOOKUP(D256,Программа!A$1:B$5124,2),IF(F256&gt;0,VLOOKUP(F256,КВР!A$1:B$5001,2),IF(E256&gt;0,VLOOKUP(E256,Направление!A$1:B$4812,2))))))</f>
        <v>Мероприятия по обеспечению водоснабжением населения на селе</v>
      </c>
      <c r="B256" s="114"/>
      <c r="C256" s="109"/>
      <c r="D256" s="110"/>
      <c r="E256" s="109">
        <v>10230</v>
      </c>
      <c r="F256" s="111"/>
      <c r="G256" s="274">
        <v>1807500</v>
      </c>
      <c r="H256" s="275">
        <f>H257+H258</f>
        <v>-343266</v>
      </c>
      <c r="I256" s="275">
        <f>I257+I258</f>
        <v>1464234</v>
      </c>
    </row>
    <row r="257" spans="1:9" s="106" customFormat="1" ht="63" x14ac:dyDescent="0.25">
      <c r="A257" s="779" t="str">
        <f>IF(B257&gt;0,VLOOKUP(B257,КВСР!A61:B1226,2),IF(C257&gt;0,VLOOKUP(C257,КФСР!A61:B1573,2),IF(D257&gt;0,VLOOKUP(D257,Программа!A$1:B$5124,2),IF(F257&gt;0,VLOOKUP(F257,КВР!A$1:B$5001,2),IF(E257&gt;0,VLOOKUP(E257,Направление!A$1:B$4812,2))))))</f>
        <v xml:space="preserve">Закупка товаров, работ и услуг для обеспечения государственных (муниципальных) нужд
</v>
      </c>
      <c r="B257" s="114"/>
      <c r="C257" s="109"/>
      <c r="D257" s="110"/>
      <c r="E257" s="109"/>
      <c r="F257" s="111">
        <v>200</v>
      </c>
      <c r="G257" s="286">
        <v>650000</v>
      </c>
      <c r="H257" s="275">
        <v>-188050</v>
      </c>
      <c r="I257" s="274">
        <f t="shared" si="42"/>
        <v>461950</v>
      </c>
    </row>
    <row r="258" spans="1:9" s="106" customFormat="1" ht="47.25" x14ac:dyDescent="0.25">
      <c r="A258" s="779" t="str">
        <f>IF(B258&gt;0,VLOOKUP(B258,КВСР!A62:B1227,2),IF(C258&gt;0,VLOOKUP(C258,КФСР!A62:B1574,2),IF(D258&gt;0,VLOOKUP(D258,Программа!A$1:B$5124,2),IF(F258&gt;0,VLOOKUP(F258,КВР!A$1:B$5001,2),IF(E258&gt;0,VLOOKUP(E258,Направление!A$1:B$4812,2))))))</f>
        <v>Капитальные вложения в объекты государственной (муниципальной) собственности</v>
      </c>
      <c r="B258" s="114"/>
      <c r="C258" s="109"/>
      <c r="D258" s="110"/>
      <c r="E258" s="109"/>
      <c r="F258" s="111">
        <v>400</v>
      </c>
      <c r="G258" s="286">
        <v>1157500</v>
      </c>
      <c r="H258" s="275">
        <v>-155216</v>
      </c>
      <c r="I258" s="274">
        <f t="shared" si="42"/>
        <v>1002284</v>
      </c>
    </row>
    <row r="259" spans="1:9" s="106" customFormat="1" ht="63" hidden="1" x14ac:dyDescent="0.25">
      <c r="A259" s="779" t="str">
        <f>IF(B259&gt;0,VLOOKUP(B259,КВСР!A62:B1227,2),IF(C259&gt;0,VLOOKUP(C259,КФСР!A62:B1574,2),IF(D259&gt;0,VLOOKUP(D259,Программа!A$1:B$5124,2),IF(F259&gt;0,VLOOKUP(F259,КВР!A$1:B$5001,2),IF(E259&gt;0,VLOOKUP(E259,Направление!A$1:B$4812,2))))))</f>
        <v xml:space="preserve">Обеспечение мероприятий по строительству,  реконструкции и ремонту  объектов водоснабжения и водоотведения </v>
      </c>
      <c r="B259" s="114"/>
      <c r="C259" s="109"/>
      <c r="D259" s="110"/>
      <c r="E259" s="109">
        <v>29046</v>
      </c>
      <c r="F259" s="111"/>
      <c r="G259" s="274">
        <v>0</v>
      </c>
      <c r="H259" s="275">
        <f>H260+H261</f>
        <v>0</v>
      </c>
      <c r="I259" s="275">
        <f>I260+I261</f>
        <v>0</v>
      </c>
    </row>
    <row r="260" spans="1:9" s="106" customFormat="1" ht="47.25" hidden="1" x14ac:dyDescent="0.25">
      <c r="A260" s="779" t="str">
        <f>IF(B260&gt;0,VLOOKUP(B260,КВСР!A63:B1228,2),IF(C260&gt;0,VLOOKUP(C260,КФСР!A63:B1575,2),IF(D260&gt;0,VLOOKUP(D260,Программа!A$1:B$5124,2),IF(F260&gt;0,VLOOKUP(F260,КВР!A$1:B$5001,2),IF(E260&gt;0,VLOOKUP(E260,Направление!A$1:B$4812,2))))))</f>
        <v>Капитальные вложения в объекты государственной (муниципальной) собственности</v>
      </c>
      <c r="B260" s="114"/>
      <c r="C260" s="109"/>
      <c r="D260" s="110"/>
      <c r="E260" s="109"/>
      <c r="F260" s="111">
        <v>400</v>
      </c>
      <c r="G260" s="274">
        <v>0</v>
      </c>
      <c r="H260" s="275"/>
      <c r="I260" s="274">
        <f>SUM(G260:H260)</f>
        <v>0</v>
      </c>
    </row>
    <row r="261" spans="1:9" s="106" customFormat="1" ht="47.25" hidden="1" x14ac:dyDescent="0.25">
      <c r="A261" s="779" t="str">
        <f>IF(B261&gt;0,VLOOKUP(B261,КВСР!A63:B1228,2),IF(C261&gt;0,VLOOKUP(C261,КФСР!A63:B1575,2),IF(D261&gt;0,VLOOKUP(D261,Программа!A$1:B$5124,2),IF(F261&gt;0,VLOOKUP(F261,КВР!A$1:B$5001,2),IF(E261&gt;0,VLOOKUP(E261,Направление!A$1:B$4812,2))))))</f>
        <v>Предоставление субсидий бюджетным, автономным учреждениям и иным некоммерческим организациям</v>
      </c>
      <c r="B261" s="114"/>
      <c r="C261" s="109"/>
      <c r="D261" s="110"/>
      <c r="E261" s="109"/>
      <c r="F261" s="111">
        <v>600</v>
      </c>
      <c r="G261" s="286">
        <v>0</v>
      </c>
      <c r="H261" s="275"/>
      <c r="I261" s="274">
        <f>SUM(G261:H261)</f>
        <v>0</v>
      </c>
    </row>
    <row r="262" spans="1:9" s="106" customFormat="1" ht="31.5" hidden="1" x14ac:dyDescent="0.25">
      <c r="A262" s="779" t="str">
        <f>IF(B262&gt;0,VLOOKUP(B262,КВСР!A64:B1229,2),IF(C262&gt;0,VLOOKUP(C262,КФСР!A64:B1576,2),IF(D262&gt;0,VLOOKUP(D262,Программа!A$1:B$5124,2),IF(F262&gt;0,VLOOKUP(F262,КВР!A$1:B$5001,2),IF(E262&gt;0,VLOOKUP(E262,Направление!A$1:B$4812,2))))))</f>
        <v>Федеральный проект "Оздоровление Волги"</v>
      </c>
      <c r="B262" s="114"/>
      <c r="C262" s="109"/>
      <c r="D262" s="109" t="s">
        <v>1375</v>
      </c>
      <c r="E262" s="109"/>
      <c r="F262" s="111"/>
      <c r="G262" s="286">
        <v>0</v>
      </c>
      <c r="H262" s="275">
        <f t="shared" ref="H262:I263" si="64">H263</f>
        <v>0</v>
      </c>
      <c r="I262" s="286">
        <f t="shared" si="64"/>
        <v>0</v>
      </c>
    </row>
    <row r="263" spans="1:9" s="106" customFormat="1" ht="78.75" hidden="1" x14ac:dyDescent="0.25">
      <c r="A263" s="779" t="str">
        <f>IF(B263&gt;0,VLOOKUP(B263,КВСР!A65:B1230,2),IF(C263&gt;0,VLOOKUP(C263,КФСР!A65:B1577,2),IF(D263&gt;0,VLOOKUP(D263,Программа!A$1:B$5124,2),IF(F263&gt;0,VLOOKUP(F263,КВР!A$1:B$5001,2),IF(E263&gt;0,VLOOKUP(E263,Направление!A$1:B$4812,2))))))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3" s="114"/>
      <c r="C263" s="109"/>
      <c r="D263" s="110"/>
      <c r="E263" s="109">
        <v>50136</v>
      </c>
      <c r="F263" s="111"/>
      <c r="G263" s="286">
        <v>0</v>
      </c>
      <c r="H263" s="275">
        <f t="shared" si="64"/>
        <v>0</v>
      </c>
      <c r="I263" s="286">
        <f t="shared" si="64"/>
        <v>0</v>
      </c>
    </row>
    <row r="264" spans="1:9" s="106" customFormat="1" ht="47.25" hidden="1" x14ac:dyDescent="0.25">
      <c r="A264" s="779" t="str">
        <f>IF(B264&gt;0,VLOOKUP(B264,КВСР!A66:B1231,2),IF(C264&gt;0,VLOOKUP(C264,КФСР!A66:B1578,2),IF(D264&gt;0,VLOOKUP(D264,Программа!A$1:B$5124,2),IF(F264&gt;0,VLOOKUP(F264,КВР!A$1:B$5001,2),IF(E264&gt;0,VLOOKUP(E264,Направление!A$1:B$4812,2))))))</f>
        <v>Капитальные вложения в объекты государственной (муниципальной) собственности</v>
      </c>
      <c r="B264" s="114"/>
      <c r="C264" s="109"/>
      <c r="D264" s="110"/>
      <c r="E264" s="109"/>
      <c r="F264" s="111">
        <v>400</v>
      </c>
      <c r="G264" s="286">
        <v>0</v>
      </c>
      <c r="H264" s="275"/>
      <c r="I264" s="274">
        <f>SUM(G264:H264)</f>
        <v>0</v>
      </c>
    </row>
    <row r="265" spans="1:9" s="106" customFormat="1" ht="78.75" x14ac:dyDescent="0.25">
      <c r="A265" s="779" t="str">
        <f>IF(B265&gt;0,VLOOKUP(B265,КВСР!A67:B1232,2),IF(C265&gt;0,VLOOKUP(C265,КФСР!A67:B1579,2),IF(D265&gt;0,VLOOKUP(D265,Программа!A$1:B$5124,2),IF(F265&gt;0,VLOOKUP(F265,КВР!A$1:B$5001,2),IF(E265&gt;0,VLOOKUP(E265,Направление!A$1:B$4812,2))))))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5" s="114"/>
      <c r="C265" s="109"/>
      <c r="D265" s="110" t="s">
        <v>561</v>
      </c>
      <c r="E265" s="109"/>
      <c r="F265" s="111"/>
      <c r="G265" s="286">
        <v>10000000</v>
      </c>
      <c r="H265" s="275">
        <f t="shared" ref="H265" si="65">H266+H269</f>
        <v>860000</v>
      </c>
      <c r="I265" s="275">
        <f t="shared" ref="I265" si="66">I266+I269</f>
        <v>10860000</v>
      </c>
    </row>
    <row r="266" spans="1:9" s="106" customFormat="1" ht="47.25" x14ac:dyDescent="0.25">
      <c r="A266" s="779" t="str">
        <f>IF(B266&gt;0,VLOOKUP(B266,КВСР!A68:B1233,2),IF(C266&gt;0,VLOOKUP(C266,КФСР!A68:B1580,2),IF(D266&gt;0,VLOOKUP(D266,Программа!A$1:B$5124,2),IF(F266&gt;0,VLOOKUP(F266,КВР!A$1:B$5001,2),IF(E266&gt;0,VLOOKUP(E266,Направление!A$1:B$4812,2))))))</f>
        <v>Проведение комплекса работ по ремонту, замене и реконструкции объектов теплоснабжения</v>
      </c>
      <c r="B266" s="114"/>
      <c r="C266" s="109"/>
      <c r="D266" s="110" t="s">
        <v>563</v>
      </c>
      <c r="E266" s="109"/>
      <c r="F266" s="111"/>
      <c r="G266" s="286">
        <v>0</v>
      </c>
      <c r="H266" s="275">
        <f t="shared" ref="H266:I266" si="67">H267</f>
        <v>780000</v>
      </c>
      <c r="I266" s="275">
        <f t="shared" si="67"/>
        <v>780000</v>
      </c>
    </row>
    <row r="267" spans="1:9" s="106" customFormat="1" ht="54.95" customHeight="1" x14ac:dyDescent="0.25">
      <c r="A267" s="779" t="str">
        <f>IF(B267&gt;0,VLOOKUP(B267,КВСР!A69:B1234,2),IF(C267&gt;0,VLOOKUP(C267,КФСР!A69:B1581,2),IF(D267&gt;0,VLOOKUP(D267,Программа!A$1:B$5124,2),IF(F267&gt;0,VLOOKUP(F267,КВР!A$1:B$5001,2),IF(E267&gt;0,VLOOKUP(E267,Направление!A$1:B$4812,2))))))</f>
        <v>Мероприятия по содержанию и ремонту объектов, находящихся в муниципальной собственности</v>
      </c>
      <c r="B267" s="114"/>
      <c r="C267" s="109"/>
      <c r="D267" s="110"/>
      <c r="E267" s="109">
        <v>10040</v>
      </c>
      <c r="F267" s="111"/>
      <c r="G267" s="286">
        <v>0</v>
      </c>
      <c r="H267" s="275">
        <f>H268</f>
        <v>780000</v>
      </c>
      <c r="I267" s="275">
        <f>I268</f>
        <v>780000</v>
      </c>
    </row>
    <row r="268" spans="1:9" s="106" customFormat="1" x14ac:dyDescent="0.25">
      <c r="A268" s="779" t="str">
        <f>IF(B268&gt;0,VLOOKUP(B268,КВСР!A70:B1235,2),IF(C268&gt;0,VLOOKUP(C268,КФСР!A70:B1582,2),IF(D268&gt;0,VLOOKUP(D268,Программа!A$1:B$5124,2),IF(F268&gt;0,VLOOKUP(F268,КВР!A$1:B$5001,2),IF(E268&gt;0,VLOOKUP(E268,Направление!A$1:B$4812,2))))))</f>
        <v>Иные бюджетные ассигнования</v>
      </c>
      <c r="B268" s="114"/>
      <c r="C268" s="109"/>
      <c r="D268" s="110"/>
      <c r="E268" s="109"/>
      <c r="F268" s="435">
        <v>800</v>
      </c>
      <c r="G268" s="369">
        <v>0</v>
      </c>
      <c r="H268" s="374">
        <f>567000+213000</f>
        <v>780000</v>
      </c>
      <c r="I268" s="332">
        <f>SUM(G268:H268)</f>
        <v>780000</v>
      </c>
    </row>
    <row r="269" spans="1:9" s="106" customFormat="1" ht="110.25" x14ac:dyDescent="0.25">
      <c r="A269" s="779" t="str">
        <f>IF(B269&gt;0,VLOOKUP(B269,КВСР!A71:B1236,2),IF(C269&gt;0,VLOOKUP(C269,КФСР!A71:B1583,2),IF(D269&gt;0,VLOOKUP(D269,Программа!A$1:B$5124,2),IF(F269&gt;0,VLOOKUP(F269,КВР!A$1:B$5001,2),IF(E269&gt;0,VLOOKUP(E269,Направление!A$1:B$4812,2))))))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69" s="114"/>
      <c r="C269" s="109"/>
      <c r="D269" s="110" t="s">
        <v>1701</v>
      </c>
      <c r="E269" s="109"/>
      <c r="F269" s="435"/>
      <c r="G269" s="369">
        <v>10000000</v>
      </c>
      <c r="H269" s="374">
        <f>H270</f>
        <v>80000</v>
      </c>
      <c r="I269" s="369">
        <f>I270</f>
        <v>10080000</v>
      </c>
    </row>
    <row r="270" spans="1:9" s="106" customFormat="1" ht="63" x14ac:dyDescent="0.25">
      <c r="A270" s="779" t="str">
        <f>IF(B270&gt;0,VLOOKUP(B270,КВСР!A72:B1237,2),IF(C270&gt;0,VLOOKUP(C270,КФСР!A72:B1584,2),IF(D270&gt;0,VLOOKUP(D270,Программа!A$1:B$5124,2),IF(F270&gt;0,VLOOKUP(F270,КВР!A$1:B$5001,2),IF(E270&gt;0,VLOOKUP(E270,Направление!A$1:B$4812,2))))))</f>
        <v>Субсидия на возмещение затрат по содержанию и ремонту  объектов находящихся в муниципальной собственности</v>
      </c>
      <c r="B270" s="114"/>
      <c r="C270" s="109"/>
      <c r="D270" s="110"/>
      <c r="E270" s="109">
        <v>10030</v>
      </c>
      <c r="F270" s="435"/>
      <c r="G270" s="369">
        <v>10000000</v>
      </c>
      <c r="H270" s="374">
        <f>H271</f>
        <v>80000</v>
      </c>
      <c r="I270" s="369">
        <f>I271</f>
        <v>10080000</v>
      </c>
    </row>
    <row r="271" spans="1:9" s="106" customFormat="1" x14ac:dyDescent="0.25">
      <c r="A271" s="779" t="str">
        <f>IF(B271&gt;0,VLOOKUP(B271,КВСР!A73:B1238,2),IF(C271&gt;0,VLOOKUP(C271,КФСР!A73:B1585,2),IF(D271&gt;0,VLOOKUP(D271,Программа!A$1:B$5124,2),IF(F271&gt;0,VLOOKUP(F271,КВР!A$1:B$5001,2),IF(E271&gt;0,VLOOKUP(E271,Направление!A$1:B$4812,2))))))</f>
        <v>Иные бюджетные ассигнования</v>
      </c>
      <c r="B271" s="114"/>
      <c r="C271" s="109"/>
      <c r="D271" s="110"/>
      <c r="E271" s="109"/>
      <c r="F271" s="435">
        <v>800</v>
      </c>
      <c r="G271" s="369">
        <v>10000000</v>
      </c>
      <c r="H271" s="374">
        <v>80000</v>
      </c>
      <c r="I271" s="332">
        <f t="shared" ref="I271:I276" si="68">SUM(G271:H271)</f>
        <v>10080000</v>
      </c>
    </row>
    <row r="272" spans="1:9" s="106" customFormat="1" ht="94.5" hidden="1" x14ac:dyDescent="0.25">
      <c r="A272" s="779" t="str">
        <f>IF(B272&gt;0,VLOOKUP(B272,КВСР!A74:B1239,2),IF(C272&gt;0,VLOOKUP(C272,КФСР!A74:B1586,2),IF(D272&gt;0,VLOOKUP(D272,Программа!A$1:B$5124,2),IF(F272&gt;0,VLOOKUP(F272,КВР!A$1:B$5001,2),IF(E272&gt;0,VLOOKUP(E272,Направление!A$1:B$4812,2))))))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2" s="114"/>
      <c r="C272" s="109"/>
      <c r="D272" s="110" t="s">
        <v>337</v>
      </c>
      <c r="E272" s="109"/>
      <c r="F272" s="435"/>
      <c r="G272" s="369">
        <v>0</v>
      </c>
      <c r="H272" s="374">
        <f>H273</f>
        <v>0</v>
      </c>
      <c r="I272" s="332">
        <f t="shared" si="68"/>
        <v>0</v>
      </c>
    </row>
    <row r="273" spans="1:9" s="106" customFormat="1" ht="63" hidden="1" x14ac:dyDescent="0.25">
      <c r="A273" s="779" t="str">
        <f>IF(B273&gt;0,VLOOKUP(B273,КВСР!A75:B1240,2),IF(C273&gt;0,VLOOKUP(C273,КФСР!A75:B1587,2),IF(D273&gt;0,VLOOKUP(D273,Программа!A$1:B$5124,2),IF(F273&gt;0,VLOOKUP(F273,КВР!A$1:B$5001,2),IF(E273&gt;0,VLOOKUP(E273,Направление!A$1:B$4812,2))))))</f>
        <v>Муниципальная целевая программа "Стимулирование инвестиционной деятельности в Тутаевском муниципальном районе "</v>
      </c>
      <c r="B273" s="114"/>
      <c r="C273" s="109"/>
      <c r="D273" s="110" t="s">
        <v>1451</v>
      </c>
      <c r="E273" s="109"/>
      <c r="F273" s="435"/>
      <c r="G273" s="369">
        <v>0</v>
      </c>
      <c r="H273" s="374">
        <f>H274</f>
        <v>0</v>
      </c>
      <c r="I273" s="332">
        <f t="shared" si="68"/>
        <v>0</v>
      </c>
    </row>
    <row r="274" spans="1:9" s="106" customFormat="1" ht="63" hidden="1" x14ac:dyDescent="0.25">
      <c r="A274" s="779" t="str">
        <f>IF(B274&gt;0,VLOOKUP(B274,КВСР!A76:B1241,2),IF(C274&gt;0,VLOOKUP(C274,КФСР!A76:B1588,2),IF(D274&gt;0,VLOOKUP(D274,Программа!A$1:B$5124,2),IF(F274&gt;0,VLOOKUP(F274,КВР!A$1:B$5001,2),IF(E274&gt;0,VLOOKUP(E274,Направление!A$1:B$4812,2))))))</f>
        <v>Реализация мероприятий по развитию инвестиционной привлекательности в монопрофильных  муниципальных образованиях</v>
      </c>
      <c r="B274" s="114"/>
      <c r="C274" s="109"/>
      <c r="D274" s="110" t="s">
        <v>1452</v>
      </c>
      <c r="E274" s="109"/>
      <c r="F274" s="435"/>
      <c r="G274" s="369">
        <v>0</v>
      </c>
      <c r="H274" s="374">
        <f>H275+H277</f>
        <v>0</v>
      </c>
      <c r="I274" s="369">
        <f t="shared" si="68"/>
        <v>0</v>
      </c>
    </row>
    <row r="275" spans="1:9" s="106" customFormat="1" ht="126" hidden="1" x14ac:dyDescent="0.25">
      <c r="A275" s="779" t="str">
        <f>IF(B275&gt;0,VLOOKUP(B275,КВСР!A77:B1242,2),IF(C275&gt;0,VLOOKUP(C275,КФСР!A77:B1589,2),IF(D275&gt;0,VLOOKUP(D275,Программа!A$1:B$5124,2),IF(F275&gt;0,VLOOKUP(F275,КВР!A$1:B$5001,2),IF(E275&gt;0,VLOOKUP(E275,Направление!A$1:B$4812,2))))))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4"/>
      <c r="C275" s="109"/>
      <c r="D275" s="110"/>
      <c r="E275" s="109">
        <v>26936</v>
      </c>
      <c r="F275" s="435"/>
      <c r="G275" s="369">
        <v>0</v>
      </c>
      <c r="H275" s="374">
        <f>H276</f>
        <v>0</v>
      </c>
      <c r="I275" s="332">
        <f t="shared" si="68"/>
        <v>0</v>
      </c>
    </row>
    <row r="276" spans="1:9" s="106" customFormat="1" ht="47.25" hidden="1" x14ac:dyDescent="0.25">
      <c r="A276" s="779" t="str">
        <f>IF(B276&gt;0,VLOOKUP(B276,КВСР!A78:B1243,2),IF(C276&gt;0,VLOOKUP(C276,КФСР!A78:B1590,2),IF(D276&gt;0,VLOOKUP(D276,Программа!A$1:B$5124,2),IF(F276&gt;0,VLOOKUP(F276,КВР!A$1:B$5001,2),IF(E276&gt;0,VLOOKUP(E276,Направление!A$1:B$4812,2))))))</f>
        <v>Капитальные вложения в объекты государственной (муниципальной) собственности</v>
      </c>
      <c r="B276" s="114"/>
      <c r="C276" s="109"/>
      <c r="D276" s="110"/>
      <c r="E276" s="109"/>
      <c r="F276" s="435">
        <v>400</v>
      </c>
      <c r="G276" s="391">
        <v>0</v>
      </c>
      <c r="H276" s="374"/>
      <c r="I276" s="369">
        <f t="shared" si="68"/>
        <v>0</v>
      </c>
    </row>
    <row r="277" spans="1:9" s="106" customFormat="1" ht="94.5" hidden="1" x14ac:dyDescent="0.25">
      <c r="A277" s="779" t="str">
        <f>IF(B277&gt;0,VLOOKUP(B277,КВСР!A79:B1244,2),IF(C277&gt;0,VLOOKUP(C277,КФСР!A79:B1591,2),IF(D277&gt;0,VLOOKUP(D277,Программа!A$1:B$5124,2),IF(F277&gt;0,VLOOKUP(F277,КВР!A$1:B$5001,2),IF(E277&gt;0,VLOOKUP(E277,Направление!A$1:B$4812,2))))))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77" s="114"/>
      <c r="C277" s="109"/>
      <c r="D277" s="110"/>
      <c r="E277" s="109">
        <v>76936</v>
      </c>
      <c r="F277" s="435"/>
      <c r="G277" s="369">
        <v>0</v>
      </c>
      <c r="H277" s="374">
        <f>H278</f>
        <v>0</v>
      </c>
      <c r="I277" s="369">
        <f>I278</f>
        <v>0</v>
      </c>
    </row>
    <row r="278" spans="1:9" s="106" customFormat="1" ht="47.25" hidden="1" x14ac:dyDescent="0.25">
      <c r="A278" s="779" t="str">
        <f>IF(B278&gt;0,VLOOKUP(B278,КВСР!A80:B1245,2),IF(C278&gt;0,VLOOKUP(C278,КФСР!A80:B1592,2),IF(D278&gt;0,VLOOKUP(D278,Программа!A$1:B$5124,2),IF(F278&gt;0,VLOOKUP(F278,КВР!A$1:B$5001,2),IF(E278&gt;0,VLOOKUP(E278,Направление!A$1:B$4812,2))))))</f>
        <v>Предоставление субсидий бюджетным, автономным учреждениям и иным некоммерческим организациям</v>
      </c>
      <c r="B278" s="114"/>
      <c r="C278" s="109"/>
      <c r="D278" s="110"/>
      <c r="E278" s="109"/>
      <c r="F278" s="435">
        <v>600</v>
      </c>
      <c r="G278" s="391"/>
      <c r="H278" s="374"/>
      <c r="I278" s="643"/>
    </row>
    <row r="279" spans="1:9" s="106" customFormat="1" ht="63" hidden="1" x14ac:dyDescent="0.25">
      <c r="A279" s="779" t="str">
        <f>IF(B279&gt;0,VLOOKUP(B279,КВСР!A81:B1246,2),IF(C279&gt;0,VLOOKUP(C279,КФСР!A81:B1593,2),IF(D279&gt;0,VLOOKUP(D279,Программа!A$1:B$5124,2),IF(F279&gt;0,VLOOKUP(F279,КВР!A$1:B$5001,2),IF(E279&gt;0,VLOOKUP(E279,Направление!A$1:B$4812,2))))))</f>
        <v>Муниципальная программа "Комплексное развитие сельских территорий Тутаевского муниципального района"</v>
      </c>
      <c r="B279" s="114"/>
      <c r="C279" s="109"/>
      <c r="D279" s="110" t="s">
        <v>1460</v>
      </c>
      <c r="E279" s="109"/>
      <c r="F279" s="435"/>
      <c r="G279" s="374">
        <v>0</v>
      </c>
      <c r="H279" s="374">
        <f t="shared" ref="H279:I280" si="69">H280</f>
        <v>0</v>
      </c>
      <c r="I279" s="374">
        <f t="shared" si="69"/>
        <v>0</v>
      </c>
    </row>
    <row r="280" spans="1:9" s="106" customFormat="1" ht="47.25" hidden="1" x14ac:dyDescent="0.25">
      <c r="A280" s="779" t="str">
        <f>IF(B280&gt;0,VLOOKUP(B280,КВСР!A82:B1247,2),IF(C280&gt;0,VLOOKUP(C280,КФСР!A82:B1594,2),IF(D280&gt;0,VLOOKUP(D280,Программа!A$1:B$5124,2),IF(F280&gt;0,VLOOKUP(F280,КВР!A$1:B$5001,2),IF(E280&gt;0,VLOOKUP(E280,Направление!A$1:B$4812,2))))))</f>
        <v xml:space="preserve">Реализация  общественно значимых проектов по благоустройству сельских территорий в Тутаевском районе </v>
      </c>
      <c r="B280" s="114"/>
      <c r="C280" s="109"/>
      <c r="D280" s="110" t="s">
        <v>1461</v>
      </c>
      <c r="E280" s="109"/>
      <c r="F280" s="435"/>
      <c r="G280" s="374">
        <v>0</v>
      </c>
      <c r="H280" s="374">
        <f t="shared" si="69"/>
        <v>0</v>
      </c>
      <c r="I280" s="374">
        <f t="shared" si="69"/>
        <v>0</v>
      </c>
    </row>
    <row r="281" spans="1:9" s="106" customFormat="1" ht="31.5" hidden="1" x14ac:dyDescent="0.25">
      <c r="A281" s="779" t="str">
        <f>IF(B281&gt;0,VLOOKUP(B281,КВСР!A83:B1248,2),IF(C281&gt;0,VLOOKUP(C281,КФСР!A83:B1595,2),IF(D281&gt;0,VLOOKUP(D281,Программа!A$1:B$5124,2),IF(F281&gt;0,VLOOKUP(F281,КВР!A$1:B$5001,2),IF(E281&gt;0,VLOOKUP(E281,Направление!A$1:B$4812,2))))))</f>
        <v>Мероприятия по обеспечению водоснабжением населения на селе</v>
      </c>
      <c r="B281" s="114"/>
      <c r="C281" s="109"/>
      <c r="D281" s="110"/>
      <c r="E281" s="109">
        <v>10230</v>
      </c>
      <c r="F281" s="435"/>
      <c r="G281" s="374">
        <v>0</v>
      </c>
      <c r="H281" s="374">
        <f>H282</f>
        <v>0</v>
      </c>
      <c r="I281" s="374">
        <f>I282</f>
        <v>0</v>
      </c>
    </row>
    <row r="282" spans="1:9" s="106" customFormat="1" ht="47.25" hidden="1" x14ac:dyDescent="0.25">
      <c r="A282" s="779" t="str">
        <f>IF(B282&gt;0,VLOOKUP(B282,КВСР!A84:B1249,2),IF(C282&gt;0,VLOOKUP(C282,КФСР!A84:B1596,2),IF(D282&gt;0,VLOOKUP(D282,Программа!A$1:B$5124,2),IF(F282&gt;0,VLOOKUP(F282,КВР!A$1:B$5001,2),IF(E282&gt;0,VLOOKUP(E282,Направление!A$1:B$4812,2))))))</f>
        <v>Капитальные вложения в объекты государственной (муниципальной) собственности</v>
      </c>
      <c r="B282" s="114"/>
      <c r="C282" s="109"/>
      <c r="D282" s="110"/>
      <c r="E282" s="109"/>
      <c r="F282" s="435">
        <v>400</v>
      </c>
      <c r="G282" s="374">
        <v>0</v>
      </c>
      <c r="H282" s="374"/>
      <c r="I282" s="369">
        <f>SUM(G282:H282)</f>
        <v>0</v>
      </c>
    </row>
    <row r="283" spans="1:9" s="106" customFormat="1" x14ac:dyDescent="0.25">
      <c r="A283" s="779" t="str">
        <f>IF(B283&gt;0,VLOOKUP(B283,КВСР!A68:B1233,2),IF(C283&gt;0,VLOOKUP(C283,КФСР!A68:B1580,2),IF(D283&gt;0,VLOOKUP(D283,Программа!A$1:B$5124,2),IF(F283&gt;0,VLOOKUP(F283,КВР!A$1:B$5001,2),IF(E283&gt;0,VLOOKUP(E283,Направление!A$1:B$4812,2))))))</f>
        <v>Непрограммные расходы бюджета</v>
      </c>
      <c r="B283" s="114"/>
      <c r="C283" s="109"/>
      <c r="D283" s="110" t="s">
        <v>311</v>
      </c>
      <c r="E283" s="109"/>
      <c r="F283" s="111"/>
      <c r="G283" s="274">
        <v>5620000</v>
      </c>
      <c r="H283" s="374">
        <f>H290+H288+H284+H293+H286</f>
        <v>-1154890</v>
      </c>
      <c r="I283" s="275">
        <f>I290+I288+I284+I293+I286</f>
        <v>4465110</v>
      </c>
    </row>
    <row r="284" spans="1:9" s="106" customFormat="1" ht="31.5" x14ac:dyDescent="0.25">
      <c r="A284" s="779" t="str">
        <f>IF(B284&gt;0,VLOOKUP(B284,КВСР!A69:B1234,2),IF(C284&gt;0,VLOOKUP(C284,КФСР!A69:B1581,2),IF(D284&gt;0,VLOOKUP(D284,Программа!A$1:B$5124,2),IF(F284&gt;0,VLOOKUP(F284,КВР!A$1:B$5001,2),IF(E284&gt;0,VLOOKUP(E284,Направление!A$1:B$4812,2))))))</f>
        <v>Мероприятия по актуализации схем коммунальной инфраструктуры</v>
      </c>
      <c r="B284" s="114"/>
      <c r="C284" s="109"/>
      <c r="D284" s="110"/>
      <c r="E284" s="109">
        <v>10410</v>
      </c>
      <c r="F284" s="111"/>
      <c r="G284" s="274">
        <v>210000</v>
      </c>
      <c r="H284" s="275">
        <f t="shared" ref="H284:I284" si="70">H285</f>
        <v>-110000</v>
      </c>
      <c r="I284" s="274">
        <f t="shared" si="70"/>
        <v>100000</v>
      </c>
    </row>
    <row r="285" spans="1:9" s="106" customFormat="1" ht="63" x14ac:dyDescent="0.25">
      <c r="A285" s="779" t="str">
        <f>IF(B285&gt;0,VLOOKUP(B285,КВСР!A70:B1235,2),IF(C285&gt;0,VLOOKUP(C285,КФСР!A70:B1582,2),IF(D285&gt;0,VLOOKUP(D285,Программа!A$1:B$5124,2),IF(F285&gt;0,VLOOKUP(F285,КВР!A$1:B$5001,2),IF(E285&gt;0,VLOOKUP(E285,Направление!A$1:B$4812,2))))))</f>
        <v xml:space="preserve">Закупка товаров, работ и услуг для обеспечения государственных (муниципальных) нужд
</v>
      </c>
      <c r="B285" s="114"/>
      <c r="C285" s="109"/>
      <c r="D285" s="110"/>
      <c r="E285" s="109"/>
      <c r="F285" s="111">
        <v>200</v>
      </c>
      <c r="G285" s="274">
        <v>210000</v>
      </c>
      <c r="H285" s="275">
        <v>-110000</v>
      </c>
      <c r="I285" s="274">
        <f>SUM(G285:H285)</f>
        <v>100000</v>
      </c>
    </row>
    <row r="286" spans="1:9" s="106" customFormat="1" ht="48.75" customHeight="1" x14ac:dyDescent="0.25">
      <c r="A286" s="779" t="str">
        <f>IF(B286&gt;0,VLOOKUP(B286,КВСР!A71:B1236,2),IF(C286&gt;0,VLOOKUP(C286,КФСР!A71:B1583,2),IF(D286&gt;0,VLOOKUP(D286,Программа!A$1:B$5124,2),IF(F286&gt;0,VLOOKUP(F286,КВР!A$1:B$5001,2),IF(E286&gt;0,VLOOKUP(E286,Направление!A$1:B$4812,2))))))</f>
        <v>Расходы на обеспечение мероприятий по организации населению услуг бань  в общих отделениях</v>
      </c>
      <c r="B286" s="114"/>
      <c r="C286" s="109"/>
      <c r="D286" s="110"/>
      <c r="E286" s="109">
        <v>29206</v>
      </c>
      <c r="F286" s="111"/>
      <c r="G286" s="274">
        <v>965000</v>
      </c>
      <c r="H286" s="274">
        <f t="shared" ref="H286:I286" si="71">H287</f>
        <v>0</v>
      </c>
      <c r="I286" s="274">
        <f t="shared" si="71"/>
        <v>965000</v>
      </c>
    </row>
    <row r="287" spans="1:9" s="106" customFormat="1" ht="27" customHeight="1" x14ac:dyDescent="0.25">
      <c r="A287" s="779" t="str">
        <f>IF(B287&gt;0,VLOOKUP(B287,КВСР!A72:B1237,2),IF(C287&gt;0,VLOOKUP(C287,КФСР!A72:B1584,2),IF(D287&gt;0,VLOOKUP(D287,Программа!A$1:B$5124,2),IF(F287&gt;0,VLOOKUP(F287,КВР!A$1:B$5001,2),IF(E287&gt;0,VLOOKUP(E287,Направление!A$1:B$4812,2))))))</f>
        <v>Иные бюджетные ассигнования</v>
      </c>
      <c r="B287" s="114"/>
      <c r="C287" s="109"/>
      <c r="D287" s="110"/>
      <c r="E287" s="109"/>
      <c r="F287" s="111">
        <v>800</v>
      </c>
      <c r="G287" s="783">
        <v>965000</v>
      </c>
      <c r="H287" s="275"/>
      <c r="I287" s="274">
        <f>SUM(G287:H287)</f>
        <v>965000</v>
      </c>
    </row>
    <row r="288" spans="1:9" s="106" customFormat="1" ht="47.25" x14ac:dyDescent="0.25">
      <c r="A288" s="779" t="str">
        <f>IF(B288&gt;0,VLOOKUP(B288,КВСР!A71:B1236,2),IF(C288&gt;0,VLOOKUP(C288,КФСР!A71:B1583,2),IF(D288&gt;0,VLOOKUP(D288,Программа!A$1:B$5124,2),IF(F288&gt;0,VLOOKUP(F288,КВР!A$1:B$5001,2),IF(E288&gt;0,VLOOKUP(E288,Направление!A$1:B$4812,2))))))</f>
        <v>Обеспечение мероприятий по актуализации схем коммунальной инфраструктуры</v>
      </c>
      <c r="B288" s="114"/>
      <c r="C288" s="109"/>
      <c r="D288" s="110"/>
      <c r="E288" s="109">
        <v>29536</v>
      </c>
      <c r="F288" s="111"/>
      <c r="G288" s="286">
        <v>200000</v>
      </c>
      <c r="H288" s="275">
        <f>H289</f>
        <v>-100000</v>
      </c>
      <c r="I288" s="286">
        <f>I289</f>
        <v>100000</v>
      </c>
    </row>
    <row r="289" spans="1:9" s="106" customFormat="1" ht="63" x14ac:dyDescent="0.25">
      <c r="A289" s="779" t="str">
        <f>IF(B289&gt;0,VLOOKUP(B289,КВСР!A72:B1237,2),IF(C289&gt;0,VLOOKUP(C289,КФСР!A72:B1584,2),IF(D289&gt;0,VLOOKUP(D289,Программа!A$1:B$5124,2),IF(F289&gt;0,VLOOKUP(F289,КВР!A$1:B$5001,2),IF(E289&gt;0,VLOOKUP(E289,Направление!A$1:B$4812,2))))))</f>
        <v xml:space="preserve">Закупка товаров, работ и услуг для обеспечения государственных (муниципальных) нужд
</v>
      </c>
      <c r="B289" s="114"/>
      <c r="C289" s="109"/>
      <c r="D289" s="110"/>
      <c r="E289" s="109"/>
      <c r="F289" s="111">
        <v>200</v>
      </c>
      <c r="G289" s="286">
        <v>200000</v>
      </c>
      <c r="H289" s="275">
        <v>-100000</v>
      </c>
      <c r="I289" s="274">
        <f>G289+H289</f>
        <v>100000</v>
      </c>
    </row>
    <row r="290" spans="1:9" s="106" customFormat="1" ht="47.25" x14ac:dyDescent="0.25">
      <c r="A290" s="779" t="str">
        <f>IF(B290&gt;0,VLOOKUP(B290,КВСР!A69:B1234,2),IF(C290&gt;0,VLOOKUP(C290,КФСР!A69:B1581,2),IF(D290&gt;0,VLOOKUP(D290,Программа!A$1:B$5124,2),IF(F290&gt;0,VLOOKUP(F290,КВР!A$1:B$5001,2),IF(E290&gt;0,VLOOKUP(E290,Направление!A$1:B$4812,2))))))</f>
        <v>Обеспечение мероприятий  по переработке и утилизации ливневых стоков</v>
      </c>
      <c r="B290" s="114"/>
      <c r="C290" s="109"/>
      <c r="D290" s="110"/>
      <c r="E290" s="109">
        <v>29616</v>
      </c>
      <c r="F290" s="111"/>
      <c r="G290" s="274">
        <v>3100000</v>
      </c>
      <c r="H290" s="275">
        <f>H291</f>
        <v>0</v>
      </c>
      <c r="I290" s="275">
        <f>I291</f>
        <v>3100000</v>
      </c>
    </row>
    <row r="291" spans="1:9" s="106" customFormat="1" ht="63" x14ac:dyDescent="0.25">
      <c r="A291" s="779" t="str">
        <f>IF(B291&gt;0,VLOOKUP(B291,КВСР!A70:B1235,2),IF(C291&gt;0,VLOOKUP(C291,КФСР!A70:B1582,2),IF(D291&gt;0,VLOOKUP(D291,Программа!A$1:B$5124,2),IF(F291&gt;0,VLOOKUP(F291,КВР!A$1:B$5001,2),IF(E291&gt;0,VLOOKUP(E291,Направление!A$1:B$4812,2))))))</f>
        <v xml:space="preserve">Закупка товаров, работ и услуг для обеспечения государственных (муниципальных) нужд
</v>
      </c>
      <c r="B291" s="114"/>
      <c r="C291" s="109"/>
      <c r="D291" s="110"/>
      <c r="E291" s="109"/>
      <c r="F291" s="111">
        <v>200</v>
      </c>
      <c r="G291" s="286">
        <v>3100000</v>
      </c>
      <c r="H291" s="275"/>
      <c r="I291" s="274">
        <f>SUM(G291:H291)</f>
        <v>3100000</v>
      </c>
    </row>
    <row r="292" spans="1:9" s="106" customFormat="1" ht="31.5" x14ac:dyDescent="0.25">
      <c r="A292" s="779" t="str">
        <f>IF(B292&gt;0,VLOOKUP(B292,КВСР!A71:B1236,2),IF(C292&gt;0,VLOOKUP(C292,КФСР!A71:B1583,2),IF(D292&gt;0,VLOOKUP(D292,Программа!A$1:B$5124,2),IF(F292&gt;0,VLOOKUP(F292,КВР!A$1:B$5001,2),IF(E292&gt;0,VLOOKUP(E292,Направление!A$1:B$4812,2))))))</f>
        <v>Обеспечение мероприятий по разработке и экспертизе ПСД</v>
      </c>
      <c r="B292" s="114"/>
      <c r="C292" s="109"/>
      <c r="D292" s="110"/>
      <c r="E292" s="109">
        <v>29776</v>
      </c>
      <c r="F292" s="111"/>
      <c r="G292" s="286">
        <v>1145000</v>
      </c>
      <c r="H292" s="286">
        <f>H293</f>
        <v>-944890</v>
      </c>
      <c r="I292" s="286">
        <f>I293</f>
        <v>200110</v>
      </c>
    </row>
    <row r="293" spans="1:9" s="106" customFormat="1" ht="63" x14ac:dyDescent="0.25">
      <c r="A293" s="779" t="str">
        <f>IF(B293&gt;0,VLOOKUP(B293,КВСР!A72:B1237,2),IF(C293&gt;0,VLOOKUP(C293,КФСР!A72:B1584,2),IF(D293&gt;0,VLOOKUP(D293,Программа!A$1:B$5124,2),IF(F293&gt;0,VLOOKUP(F293,КВР!A$1:B$5001,2),IF(E293&gt;0,VLOOKUP(E293,Направление!A$1:B$4812,2))))))</f>
        <v xml:space="preserve">Закупка товаров, работ и услуг для обеспечения государственных (муниципальных) нужд
</v>
      </c>
      <c r="B293" s="114"/>
      <c r="C293" s="109"/>
      <c r="D293" s="110"/>
      <c r="E293" s="109"/>
      <c r="F293" s="111">
        <v>200</v>
      </c>
      <c r="G293" s="286">
        <v>1145000</v>
      </c>
      <c r="H293" s="275">
        <v>-944890</v>
      </c>
      <c r="I293" s="274">
        <f>SUM(G293:H293)</f>
        <v>200110</v>
      </c>
    </row>
    <row r="294" spans="1:9" s="106" customFormat="1" ht="31.5" hidden="1" x14ac:dyDescent="0.25">
      <c r="A294" s="779" t="str">
        <f>IF(B294&gt;0,VLOOKUP(B294,КВСР!A68:B1233,2),IF(C294&gt;0,VLOOKUP(C294,КФСР!A68:B1580,2),IF(D294&gt;0,VLOOKUP(D294,Программа!A$1:B$5124,2),IF(F294&gt;0,VLOOKUP(F294,КВР!A$1:B$5001,2),IF(E294&gt;0,VLOOKUP(E294,Направление!A$1:B$4812,2))))))</f>
        <v>Межбюджетные трансферты  поселениям района</v>
      </c>
      <c r="B294" s="114"/>
      <c r="C294" s="109"/>
      <c r="D294" s="110" t="s">
        <v>478</v>
      </c>
      <c r="E294" s="109"/>
      <c r="F294" s="111"/>
      <c r="G294" s="286">
        <v>0</v>
      </c>
      <c r="H294" s="275">
        <f t="shared" ref="H294:I295" si="72">H295</f>
        <v>0</v>
      </c>
      <c r="I294" s="275">
        <f t="shared" si="72"/>
        <v>0</v>
      </c>
    </row>
    <row r="295" spans="1:9" s="106" customFormat="1" ht="47.25" hidden="1" x14ac:dyDescent="0.25">
      <c r="A295" s="779" t="str">
        <f>IF(B295&gt;0,VLOOKUP(B295,КВСР!A69:B1234,2),IF(C295&gt;0,VLOOKUP(C295,КФСР!A69:B1581,2),IF(D295&gt;0,VLOOKUP(D295,Программа!A$1:B$5124,2),IF(F295&gt;0,VLOOKUP(F295,КВР!A$1:B$5001,2),IF(E295&gt;0,VLOOKUP(E295,Направление!A$1:B$4812,2))))))</f>
        <v>Межбюджетные трансферты на организацию  в границах поселения водоснабжения населения</v>
      </c>
      <c r="B295" s="114"/>
      <c r="C295" s="109"/>
      <c r="D295" s="110"/>
      <c r="E295" s="109">
        <v>10051</v>
      </c>
      <c r="F295" s="111"/>
      <c r="G295" s="286">
        <v>0</v>
      </c>
      <c r="H295" s="275">
        <f t="shared" si="72"/>
        <v>0</v>
      </c>
      <c r="I295" s="275">
        <f t="shared" si="72"/>
        <v>0</v>
      </c>
    </row>
    <row r="296" spans="1:9" s="106" customFormat="1" hidden="1" x14ac:dyDescent="0.25">
      <c r="A296" s="779" t="str">
        <f>IF(B296&gt;0,VLOOKUP(B296,КВСР!A70:B1235,2),IF(C296&gt;0,VLOOKUP(C296,КФСР!A70:B1582,2),IF(D296&gt;0,VLOOKUP(D296,Программа!A$1:B$5124,2),IF(F296&gt;0,VLOOKUP(F296,КВР!A$1:B$5001,2),IF(E296&gt;0,VLOOKUP(E296,Направление!A$1:B$4812,2))))))</f>
        <v xml:space="preserve"> Межбюджетные трансферты</v>
      </c>
      <c r="B296" s="114"/>
      <c r="C296" s="109"/>
      <c r="D296" s="110"/>
      <c r="E296" s="109"/>
      <c r="F296" s="111">
        <v>500</v>
      </c>
      <c r="G296" s="286">
        <v>0</v>
      </c>
      <c r="H296" s="275"/>
      <c r="I296" s="274">
        <f t="shared" si="42"/>
        <v>0</v>
      </c>
    </row>
    <row r="297" spans="1:9" s="106" customFormat="1" x14ac:dyDescent="0.25">
      <c r="A297" s="779" t="str">
        <f>IF(B297&gt;0,VLOOKUP(B297,КВСР!A71:B1236,2),IF(C297&gt;0,VLOOKUP(C297,КФСР!A71:B1583,2),IF(D297&gt;0,VLOOKUP(D297,Программа!A$1:B$5124,2),IF(F297&gt;0,VLOOKUP(F297,КВР!A$1:B$5001,2),IF(E297&gt;0,VLOOKUP(E297,Направление!A$1:B$4812,2))))))</f>
        <v>Благоустройство</v>
      </c>
      <c r="B297" s="114"/>
      <c r="C297" s="109">
        <v>503</v>
      </c>
      <c r="D297" s="110"/>
      <c r="E297" s="109"/>
      <c r="F297" s="111"/>
      <c r="G297" s="274">
        <v>135515525</v>
      </c>
      <c r="H297" s="275">
        <f>H298+H336+H350</f>
        <v>11216313</v>
      </c>
      <c r="I297" s="275">
        <f>I298+I336+I350</f>
        <v>146731838</v>
      </c>
    </row>
    <row r="298" spans="1:9" s="106" customFormat="1" ht="63" x14ac:dyDescent="0.25">
      <c r="A298" s="779" t="str">
        <f>IF(B298&gt;0,VLOOKUP(B298,КВСР!A72:B1237,2),IF(C298&gt;0,VLOOKUP(C298,КФСР!A72:B1584,2),IF(D298&gt;0,VLOOKUP(D298,Программа!A$1:B$5124,2),IF(F298&gt;0,VLOOKUP(F298,КВР!A$1:B$5001,2),IF(E298&gt;0,VLOOKUP(E298,Направление!A$1:B$4812,2))))))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8" s="114"/>
      <c r="C298" s="109"/>
      <c r="D298" s="110" t="s">
        <v>640</v>
      </c>
      <c r="E298" s="109"/>
      <c r="F298" s="111"/>
      <c r="G298" s="274">
        <v>42468301</v>
      </c>
      <c r="H298" s="275">
        <f>H299+H303+H328+H332</f>
        <v>7816632</v>
      </c>
      <c r="I298" s="275">
        <f>I299+I303+I328+I332</f>
        <v>50284933</v>
      </c>
    </row>
    <row r="299" spans="1:9" s="106" customFormat="1" ht="63" x14ac:dyDescent="0.25">
      <c r="A299" s="779" t="str">
        <f>IF(B299&gt;0,VLOOKUP(B299,КВСР!A73:B1238,2),IF(C299&gt;0,VLOOKUP(C299,КФСР!A73:B1585,2),IF(D299&gt;0,VLOOKUP(D299,Программа!A$1:B$5124,2),IF(F299&gt;0,VLOOKUP(F299,КВР!A$1:B$5001,2),IF(E299&gt;0,VLOOKUP(E299,Направление!A$1:B$4812,2))))))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9" s="114"/>
      <c r="C299" s="109"/>
      <c r="D299" s="110" t="s">
        <v>642</v>
      </c>
      <c r="E299" s="109"/>
      <c r="F299" s="111"/>
      <c r="G299" s="274">
        <v>489830</v>
      </c>
      <c r="H299" s="275">
        <f t="shared" ref="H299:I301" si="73">H300</f>
        <v>-10890</v>
      </c>
      <c r="I299" s="275">
        <f t="shared" si="73"/>
        <v>478940</v>
      </c>
    </row>
    <row r="300" spans="1:9" s="106" customFormat="1" ht="47.25" x14ac:dyDescent="0.25">
      <c r="A300" s="779" t="str">
        <f>IF(B300&gt;0,VLOOKUP(B300,КВСР!A74:B1239,2),IF(C300&gt;0,VLOOKUP(C300,КФСР!A74:B1586,2),IF(D300&gt;0,VLOOKUP(D300,Программа!A$1:B$5124,2),IF(F300&gt;0,VLOOKUP(F300,КВР!A$1:B$5001,2),IF(E300&gt;0,VLOOKUP(E300,Направление!A$1:B$4812,2))))))</f>
        <v>Обеспечение комплекса работ по повышению уровня благоустройства мест погребений</v>
      </c>
      <c r="B300" s="114"/>
      <c r="C300" s="109"/>
      <c r="D300" s="110" t="s">
        <v>644</v>
      </c>
      <c r="E300" s="109"/>
      <c r="F300" s="111"/>
      <c r="G300" s="274">
        <v>489830</v>
      </c>
      <c r="H300" s="275">
        <f t="shared" si="73"/>
        <v>-10890</v>
      </c>
      <c r="I300" s="275">
        <f t="shared" si="73"/>
        <v>478940</v>
      </c>
    </row>
    <row r="301" spans="1:9" s="106" customFormat="1" ht="31.5" x14ac:dyDescent="0.25">
      <c r="A301" s="779" t="str">
        <f>IF(B301&gt;0,VLOOKUP(B301,КВСР!A75:B1240,2),IF(C301&gt;0,VLOOKUP(C301,КФСР!A75:B1587,2),IF(D301&gt;0,VLOOKUP(D301,Программа!A$1:B$5124,2),IF(F301&gt;0,VLOOKUP(F301,КВР!A$1:B$5001,2),IF(E301&gt;0,VLOOKUP(E301,Направление!A$1:B$4812,2))))))</f>
        <v>Обеспечение мероприятий по  содержанию мест захоронения</v>
      </c>
      <c r="B301" s="114"/>
      <c r="C301" s="109"/>
      <c r="D301" s="110"/>
      <c r="E301" s="109">
        <v>29316</v>
      </c>
      <c r="F301" s="111"/>
      <c r="G301" s="274">
        <v>489830</v>
      </c>
      <c r="H301" s="275">
        <f t="shared" si="73"/>
        <v>-10890</v>
      </c>
      <c r="I301" s="275">
        <f t="shared" si="73"/>
        <v>478940</v>
      </c>
    </row>
    <row r="302" spans="1:9" s="106" customFormat="1" ht="63" x14ac:dyDescent="0.25">
      <c r="A302" s="779" t="str">
        <f>IF(B302&gt;0,VLOOKUP(B302,КВСР!A76:B1241,2),IF(C302&gt;0,VLOOKUP(C302,КФСР!A76:B1588,2),IF(D302&gt;0,VLOOKUP(D302,Программа!A$1:B$5124,2),IF(F302&gt;0,VLOOKUP(F302,КВР!A$1:B$5001,2),IF(E302&gt;0,VLOOKUP(E302,Направление!A$1:B$4812,2))))))</f>
        <v xml:space="preserve">Закупка товаров, работ и услуг для обеспечения государственных (муниципальных) нужд
</v>
      </c>
      <c r="B302" s="114"/>
      <c r="C302" s="109"/>
      <c r="D302" s="110"/>
      <c r="E302" s="109"/>
      <c r="F302" s="111">
        <v>200</v>
      </c>
      <c r="G302" s="286">
        <v>489830</v>
      </c>
      <c r="H302" s="275">
        <v>-10890</v>
      </c>
      <c r="I302" s="274">
        <f>SUM(G302:H302)</f>
        <v>478940</v>
      </c>
    </row>
    <row r="303" spans="1:9" s="106" customFormat="1" ht="63" x14ac:dyDescent="0.25">
      <c r="A303" s="779" t="str">
        <f>IF(B303&gt;0,VLOOKUP(B303,КВСР!A77:B1242,2),IF(C303&gt;0,VLOOKUP(C303,КФСР!A77:B1589,2),IF(D303&gt;0,VLOOKUP(D303,Программа!A$1:B$5124,2),IF(F303&gt;0,VLOOKUP(F303,КВР!A$1:B$5001,2),IF(E303&gt;0,VLOOKUP(E303,Направление!A$1:B$4812,2))))))</f>
        <v>Муниципальная целевая программа "Благоустройство и озеленение территории Тутаевского муниципального  района"</v>
      </c>
      <c r="B303" s="114"/>
      <c r="C303" s="109"/>
      <c r="D303" s="110" t="s">
        <v>645</v>
      </c>
      <c r="E303" s="109"/>
      <c r="F303" s="111"/>
      <c r="G303" s="274">
        <v>24830693</v>
      </c>
      <c r="H303" s="274">
        <f>H304+H311+H319</f>
        <v>7127522</v>
      </c>
      <c r="I303" s="274">
        <f>I304+I311+I319</f>
        <v>31958215</v>
      </c>
    </row>
    <row r="304" spans="1:9" s="106" customFormat="1" ht="63" x14ac:dyDescent="0.25">
      <c r="A304" s="779" t="str">
        <f>IF(B304&gt;0,VLOOKUP(B304,КВСР!A78:B1243,2),IF(C304&gt;0,VLOOKUP(C304,КФСР!A78:B1590,2),IF(D304&gt;0,VLOOKUP(D304,Программа!A$1:B$5124,2),IF(F304&gt;0,VLOOKUP(F304,КВР!A$1:B$5001,2),IF(E304&gt;0,VLOOKUP(E304,Направление!A$1:B$4812,2))))))</f>
        <v>Улучшение уровня внешнего благоустройства и санитарного  состояния территорий Тутаевского муниципального района</v>
      </c>
      <c r="B304" s="114"/>
      <c r="C304" s="109"/>
      <c r="D304" s="110" t="s">
        <v>647</v>
      </c>
      <c r="E304" s="109"/>
      <c r="F304" s="111"/>
      <c r="G304" s="274">
        <v>20181300</v>
      </c>
      <c r="H304" s="274">
        <f>H305+H309</f>
        <v>5832300</v>
      </c>
      <c r="I304" s="274">
        <f>I305+I309</f>
        <v>26013600</v>
      </c>
    </row>
    <row r="305" spans="1:9" s="106" customFormat="1" ht="47.25" x14ac:dyDescent="0.25">
      <c r="A305" s="779" t="str">
        <f>IF(B305&gt;0,VLOOKUP(B305,КВСР!A85:B1250,2),IF(C305&gt;0,VLOOKUP(C305,КФСР!A85:B1597,2),IF(D305&gt;0,VLOOKUP(D305,Программа!A$1:B$5124,2),IF(F305&gt;0,VLOOKUP(F305,КВР!A$1:B$5001,2),IF(E305&gt;0,VLOOKUP(E305,Направление!A$1:B$4812,2))))))</f>
        <v>Содержание и организация деятельности по благоустройству на территории поселения</v>
      </c>
      <c r="B305" s="114"/>
      <c r="C305" s="109"/>
      <c r="D305" s="110"/>
      <c r="E305" s="109">
        <v>29256</v>
      </c>
      <c r="F305" s="111"/>
      <c r="G305" s="274">
        <v>20181300</v>
      </c>
      <c r="H305" s="275">
        <f>H307+H306+H308</f>
        <v>5832300</v>
      </c>
      <c r="I305" s="275">
        <f>I307+I306+I308</f>
        <v>26013600</v>
      </c>
    </row>
    <row r="306" spans="1:9" s="106" customFormat="1" ht="110.25" x14ac:dyDescent="0.25">
      <c r="A306" s="779" t="str">
        <f>IF(B306&gt;0,VLOOKUP(B306,КВСР!A86:B1251,2),IF(C306&gt;0,VLOOKUP(C306,КФСР!A86:B1598,2),IF(D306&gt;0,VLOOKUP(D306,Программа!A$1:B$5124,2),IF(F306&gt;0,VLOOKUP(F306,КВР!A$1:B$5001,2),IF(E306&gt;0,VLOOKUP(E306,Направление!A$1:B$4812,2))))))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6" s="114"/>
      <c r="C306" s="109"/>
      <c r="D306" s="110"/>
      <c r="E306" s="109"/>
      <c r="F306" s="111">
        <v>100</v>
      </c>
      <c r="G306" s="274">
        <v>18332580</v>
      </c>
      <c r="H306" s="275">
        <v>6000000</v>
      </c>
      <c r="I306" s="275">
        <f>SUM(G306:H306)</f>
        <v>24332580</v>
      </c>
    </row>
    <row r="307" spans="1:9" s="106" customFormat="1" ht="63" x14ac:dyDescent="0.25">
      <c r="A307" s="779" t="str">
        <f>IF(B307&gt;0,VLOOKUP(B307,КВСР!A86:B1251,2),IF(C307&gt;0,VLOOKUP(C307,КФСР!A86:B1598,2),IF(D307&gt;0,VLOOKUP(D307,Программа!A$1:B$5124,2),IF(F307&gt;0,VLOOKUP(F307,КВР!A$1:B$5001,2),IF(E307&gt;0,VLOOKUP(E307,Направление!A$1:B$4812,2))))))</f>
        <v xml:space="preserve">Закупка товаров, работ и услуг для обеспечения государственных (муниципальных) нужд
</v>
      </c>
      <c r="B307" s="114"/>
      <c r="C307" s="109"/>
      <c r="D307" s="110"/>
      <c r="E307" s="109"/>
      <c r="F307" s="111">
        <v>200</v>
      </c>
      <c r="G307" s="286">
        <v>1833720</v>
      </c>
      <c r="H307" s="275">
        <v>-167700</v>
      </c>
      <c r="I307" s="274">
        <f t="shared" ref="I307:I342" si="74">SUM(G307:H307)</f>
        <v>1666020</v>
      </c>
    </row>
    <row r="308" spans="1:9" s="106" customFormat="1" x14ac:dyDescent="0.25">
      <c r="A308" s="779" t="str">
        <f>IF(B308&gt;0,VLOOKUP(B308,КВСР!A87:B1252,2),IF(C308&gt;0,VLOOKUP(C308,КФСР!A87:B1599,2),IF(D308&gt;0,VLOOKUP(D308,Программа!A$1:B$5124,2),IF(F308&gt;0,VLOOKUP(F308,КВР!A$1:B$5001,2),IF(E308&gt;0,VLOOKUP(E308,Направление!A$1:B$4812,2))))))</f>
        <v>Иные бюджетные ассигнования</v>
      </c>
      <c r="B308" s="114"/>
      <c r="C308" s="109"/>
      <c r="D308" s="110"/>
      <c r="E308" s="109"/>
      <c r="F308" s="111">
        <v>800</v>
      </c>
      <c r="G308" s="286">
        <v>15000</v>
      </c>
      <c r="H308" s="275"/>
      <c r="I308" s="274">
        <f>SUM(G308:H308)</f>
        <v>15000</v>
      </c>
    </row>
    <row r="309" spans="1:9" s="106" customFormat="1" ht="63.95" hidden="1" customHeight="1" x14ac:dyDescent="0.25">
      <c r="A309" s="779" t="str">
        <f>IF(B309&gt;0,VLOOKUP(B309,КВСР!A87:B1252,2),IF(C309&gt;0,VLOOKUP(C309,КФСР!A87:B1599,2),IF(D309&gt;0,VLOOKUP(D309,Программа!A$1:B$5124,2),IF(F309&gt;0,VLOOKUP(F309,КВР!A$1:B$5001,2),IF(E309&gt;0,VLOOKUP(E309,Направление!A$1:B$4812,2))))))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9" s="114"/>
      <c r="C309" s="109"/>
      <c r="D309" s="110"/>
      <c r="E309" s="109">
        <v>76426</v>
      </c>
      <c r="F309" s="111"/>
      <c r="G309" s="286">
        <v>0</v>
      </c>
      <c r="H309" s="286">
        <f>H310</f>
        <v>0</v>
      </c>
      <c r="I309" s="286">
        <f>I310</f>
        <v>0</v>
      </c>
    </row>
    <row r="310" spans="1:9" s="106" customFormat="1" ht="63" hidden="1" x14ac:dyDescent="0.25">
      <c r="A310" s="779" t="str">
        <f>IF(B310&gt;0,VLOOKUP(B310,КВСР!A88:B1253,2),IF(C310&gt;0,VLOOKUP(C310,КФСР!A88:B1600,2),IF(D310&gt;0,VLOOKUP(D310,Программа!A$1:B$5124,2),IF(F310&gt;0,VLOOKUP(F310,КВР!A$1:B$5001,2),IF(E310&gt;0,VLOOKUP(E310,Направление!A$1:B$4812,2))))))</f>
        <v xml:space="preserve">Закупка товаров, работ и услуг для обеспечения государственных (муниципальных) нужд
</v>
      </c>
      <c r="B310" s="114"/>
      <c r="C310" s="109"/>
      <c r="D310" s="110"/>
      <c r="E310" s="109"/>
      <c r="F310" s="111">
        <v>200</v>
      </c>
      <c r="G310" s="286">
        <v>0</v>
      </c>
      <c r="H310" s="275"/>
      <c r="I310" s="274">
        <f>G310+H310</f>
        <v>0</v>
      </c>
    </row>
    <row r="311" spans="1:9" s="106" customFormat="1" ht="47.25" x14ac:dyDescent="0.25">
      <c r="A311" s="779" t="str">
        <f>IF(B311&gt;0,VLOOKUP(B311,КВСР!A87:B1252,2),IF(C311&gt;0,VLOOKUP(C311,КФСР!A87:B1599,2),IF(D311&gt;0,VLOOKUP(D311,Программа!A$1:B$5124,2),IF(F311&gt;0,VLOOKUP(F311,КВР!A$1:B$5001,2),IF(E311&gt;0,VLOOKUP(E311,Направление!A$1:B$4812,2))))))</f>
        <v xml:space="preserve">Обеспечение мероприятий по совершенствованию  эстетического  состояния территорий </v>
      </c>
      <c r="B311" s="114"/>
      <c r="C311" s="109"/>
      <c r="D311" s="110" t="s">
        <v>649</v>
      </c>
      <c r="E311" s="109"/>
      <c r="F311" s="111"/>
      <c r="G311" s="286">
        <v>4649393</v>
      </c>
      <c r="H311" s="275">
        <f>H312+H314+H317</f>
        <v>298578</v>
      </c>
      <c r="I311" s="275">
        <f>I312+I314+I317</f>
        <v>4947971</v>
      </c>
    </row>
    <row r="312" spans="1:9" s="106" customFormat="1" ht="63" hidden="1" x14ac:dyDescent="0.25">
      <c r="A312" s="779" t="str">
        <f>IF(B312&gt;0,VLOOKUP(B312,КВСР!A88:B1253,2),IF(C312&gt;0,VLOOKUP(C312,КФСР!A88:B1600,2),IF(D312&gt;0,VLOOKUP(D312,Программа!A$1:B$5124,2),IF(F312&gt;0,VLOOKUP(F312,КВР!A$1:B$5001,2),IF(E312&gt;0,VLOOKUP(E312,Направление!A$1:B$4812,2))))))</f>
        <v>Мероприятия по благоустройству и ремонту дворовых территории в рамках софинансирования инициативного бюджетирования</v>
      </c>
      <c r="B312" s="114"/>
      <c r="C312" s="109"/>
      <c r="D312" s="110"/>
      <c r="E312" s="109">
        <v>25356</v>
      </c>
      <c r="F312" s="111"/>
      <c r="G312" s="274">
        <v>0</v>
      </c>
      <c r="H312" s="275">
        <f t="shared" ref="H312:I312" si="75">H313</f>
        <v>0</v>
      </c>
      <c r="I312" s="275">
        <f t="shared" si="75"/>
        <v>0</v>
      </c>
    </row>
    <row r="313" spans="1:9" s="106" customFormat="1" ht="47.25" hidden="1" x14ac:dyDescent="0.25">
      <c r="A313" s="779" t="str">
        <f>IF(B313&gt;0,VLOOKUP(B313,КВСР!A89:B1254,2),IF(C313&gt;0,VLOOKUP(C313,КФСР!A89:B1601,2),IF(D313&gt;0,VLOOKUP(D313,Программа!A$1:B$5124,2),IF(F313&gt;0,VLOOKUP(F313,КВР!A$1:B$5001,2),IF(E313&gt;0,VLOOKUP(E313,Направление!A$1:B$4812,2))))))</f>
        <v>Предоставление субсидий бюджетным, автономным учреждениям и иным некоммерческим организациям</v>
      </c>
      <c r="B313" s="114"/>
      <c r="C313" s="109"/>
      <c r="D313" s="110"/>
      <c r="E313" s="109"/>
      <c r="F313" s="111">
        <v>600</v>
      </c>
      <c r="G313" s="286">
        <v>0</v>
      </c>
      <c r="H313" s="275"/>
      <c r="I313" s="274">
        <f t="shared" ref="I313" si="76">SUM(G313:H313)</f>
        <v>0</v>
      </c>
    </row>
    <row r="314" spans="1:9" s="106" customFormat="1" ht="31.5" x14ac:dyDescent="0.25">
      <c r="A314" s="779" t="str">
        <f>IF(B314&gt;0,VLOOKUP(B314,КВСР!A90:B1255,2),IF(C314&gt;0,VLOOKUP(C314,КФСР!A90:B1602,2),IF(D314&gt;0,VLOOKUP(D314,Программа!A$1:B$5124,2),IF(F314&gt;0,VLOOKUP(F314,КВР!A$1:B$5001,2),IF(E314&gt;0,VLOOKUP(E314,Направление!A$1:B$4812,2))))))</f>
        <v>Обеспечение мероприятий в области благоустройства и озеленения</v>
      </c>
      <c r="B314" s="114"/>
      <c r="C314" s="109"/>
      <c r="D314" s="110"/>
      <c r="E314" s="109">
        <v>29266</v>
      </c>
      <c r="F314" s="111"/>
      <c r="G314" s="274">
        <v>4649393</v>
      </c>
      <c r="H314" s="275">
        <f>H315+H316</f>
        <v>298578</v>
      </c>
      <c r="I314" s="275">
        <f>I315+I316</f>
        <v>4947971</v>
      </c>
    </row>
    <row r="315" spans="1:9" s="106" customFormat="1" ht="63" x14ac:dyDescent="0.25">
      <c r="A315" s="779" t="str">
        <f>IF(B315&gt;0,VLOOKUP(B315,КВСР!A91:B1256,2),IF(C315&gt;0,VLOOKUP(C315,КФСР!A91:B1603,2),IF(D315&gt;0,VLOOKUP(D315,Программа!A$1:B$5124,2),IF(F315&gt;0,VLOOKUP(F315,КВР!A$1:B$5001,2),IF(E315&gt;0,VLOOKUP(E315,Направление!A$1:B$4812,2))))))</f>
        <v xml:space="preserve">Закупка товаров, работ и услуг для обеспечения государственных (муниципальных) нужд
</v>
      </c>
      <c r="B315" s="114"/>
      <c r="C315" s="109"/>
      <c r="D315" s="110"/>
      <c r="E315" s="109"/>
      <c r="F315" s="111">
        <v>200</v>
      </c>
      <c r="G315" s="783">
        <v>4369393</v>
      </c>
      <c r="H315" s="275">
        <f>-51010+354053</f>
        <v>303043</v>
      </c>
      <c r="I315" s="274">
        <f>SUM(G315:H315)</f>
        <v>4672436</v>
      </c>
    </row>
    <row r="316" spans="1:9" s="106" customFormat="1" ht="47.25" x14ac:dyDescent="0.25">
      <c r="A316" s="779" t="str">
        <f>IF(B316&gt;0,VLOOKUP(B316,КВСР!A92:B1257,2),IF(C316&gt;0,VLOOKUP(C316,КФСР!A92:B1604,2),IF(D316&gt;0,VLOOKUP(D316,Программа!A$1:B$5124,2),IF(F316&gt;0,VLOOKUP(F316,КВР!A$1:B$5001,2),IF(E316&gt;0,VLOOKUP(E316,Направление!A$1:B$4812,2))))))</f>
        <v>Капитальные вложения в объекты государственной (муниципальной) собственности</v>
      </c>
      <c r="B316" s="114"/>
      <c r="C316" s="109"/>
      <c r="D316" s="110"/>
      <c r="E316" s="109"/>
      <c r="F316" s="111">
        <v>400</v>
      </c>
      <c r="G316" s="783">
        <v>280000</v>
      </c>
      <c r="H316" s="275">
        <v>-4465</v>
      </c>
      <c r="I316" s="274">
        <f>SUM(G316:H316)</f>
        <v>275535</v>
      </c>
    </row>
    <row r="317" spans="1:9" s="106" customFormat="1" ht="63" hidden="1" x14ac:dyDescent="0.25">
      <c r="A317" s="779" t="str">
        <f>IF(B317&gt;0,VLOOKUP(B317,КВСР!A87:B1252,2),IF(C317&gt;0,VLOOKUP(C317,КФСР!A87:B1599,2),IF(D317&gt;0,VLOOKUP(D317,Программа!A$1:B$5124,2),IF(F317&gt;0,VLOOKUP(F317,КВР!A$1:B$5001,2),IF(E317&gt;0,VLOOKUP(E317,Направление!A$1:B$4812,2))))))</f>
        <v>Мероприятия по благоустройству и ремонту дворовых  территории в рамках софинансирования инициативного бюджетирования</v>
      </c>
      <c r="B317" s="114"/>
      <c r="C317" s="109"/>
      <c r="D317" s="110"/>
      <c r="E317" s="109">
        <v>75356</v>
      </c>
      <c r="F317" s="111"/>
      <c r="G317" s="274">
        <v>0</v>
      </c>
      <c r="H317" s="275">
        <f>H318</f>
        <v>0</v>
      </c>
      <c r="I317" s="275">
        <f>I318</f>
        <v>0</v>
      </c>
    </row>
    <row r="318" spans="1:9" s="106" customFormat="1" ht="47.25" hidden="1" x14ac:dyDescent="0.25">
      <c r="A318" s="779" t="str">
        <f>IF(B318&gt;0,VLOOKUP(B318,КВСР!A88:B1253,2),IF(C318&gt;0,VLOOKUP(C318,КФСР!A88:B1600,2),IF(D318&gt;0,VLOOKUP(D318,Программа!A$1:B$5124,2),IF(F318&gt;0,VLOOKUP(F318,КВР!A$1:B$5001,2),IF(E318&gt;0,VLOOKUP(E318,Направление!A$1:B$4812,2))))))</f>
        <v>Предоставление субсидий бюджетным, автономным учреждениям и иным некоммерческим организациям</v>
      </c>
      <c r="B318" s="114"/>
      <c r="C318" s="109"/>
      <c r="D318" s="110"/>
      <c r="E318" s="109"/>
      <c r="F318" s="111">
        <v>600</v>
      </c>
      <c r="G318" s="775">
        <v>0</v>
      </c>
      <c r="H318" s="275"/>
      <c r="I318" s="274">
        <f t="shared" si="74"/>
        <v>0</v>
      </c>
    </row>
    <row r="319" spans="1:9" s="106" customFormat="1" ht="40.700000000000003" customHeight="1" x14ac:dyDescent="0.25">
      <c r="A319" s="779" t="str">
        <f>IF(B319&gt;0,VLOOKUP(B319,КВСР!A89:B1254,2),IF(C319&gt;0,VLOOKUP(C319,КФСР!A89:B1601,2),IF(D319&gt;0,VLOOKUP(D319,Программа!A$1:B$5124,2),IF(F319&gt;0,VLOOKUP(F319,КВР!A$1:B$5001,2),IF(E319&gt;0,VLOOKUP(E319,Направление!A$1:B$4812,2))))))</f>
        <v>Обеспечение мероприятий по благоустройству воинских захоронений</v>
      </c>
      <c r="B319" s="114"/>
      <c r="C319" s="109"/>
      <c r="D319" s="110" t="s">
        <v>650</v>
      </c>
      <c r="E319" s="109"/>
      <c r="F319" s="111"/>
      <c r="G319" s="286">
        <v>0</v>
      </c>
      <c r="H319" s="275">
        <f>H320+H324+H322+H326</f>
        <v>996644</v>
      </c>
      <c r="I319" s="275">
        <f>I320+I324+I322+I326</f>
        <v>996644</v>
      </c>
    </row>
    <row r="320" spans="1:9" s="106" customFormat="1" ht="63" x14ac:dyDescent="0.25">
      <c r="A320" s="779" t="str">
        <f>IF(B320&gt;0,VLOOKUP(B320,КВСР!A90:B1255,2),IF(C320&gt;0,VLOOKUP(C320,КФСР!A90:B1602,2),IF(D320&gt;0,VLOOKUP(D320,Программа!A$1:B$5124,2),IF(F320&gt;0,VLOOKUP(F320,КВР!A$1:B$5001,2),IF(E320&gt;0,VLOOKUP(E320,Направление!A$1:B$4812,2))))))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20" s="114"/>
      <c r="C320" s="109"/>
      <c r="D320" s="110"/>
      <c r="E320" s="109">
        <v>26426</v>
      </c>
      <c r="F320" s="111"/>
      <c r="G320" s="286">
        <v>0</v>
      </c>
      <c r="H320" s="275">
        <f t="shared" ref="H320:I320" si="77">H321</f>
        <v>55475</v>
      </c>
      <c r="I320" s="275">
        <f t="shared" si="77"/>
        <v>55475</v>
      </c>
    </row>
    <row r="321" spans="1:9" s="106" customFormat="1" ht="68.25" customHeight="1" x14ac:dyDescent="0.25">
      <c r="A321" s="779" t="str">
        <f>IF(B321&gt;0,VLOOKUP(B321,КВСР!A91:B1256,2),IF(C321&gt;0,VLOOKUP(C321,КФСР!A91:B1603,2),IF(D321&gt;0,VLOOKUP(D321,Программа!A$1:B$5124,2),IF(F321&gt;0,VLOOKUP(F321,КВР!A$1:B$5001,2),IF(E321&gt;0,VLOOKUP(E321,Направление!A$1:B$4812,2))))))</f>
        <v xml:space="preserve">Закупка товаров, работ и услуг для обеспечения государственных (муниципальных) нужд
</v>
      </c>
      <c r="B321" s="114"/>
      <c r="C321" s="109"/>
      <c r="D321" s="110"/>
      <c r="E321" s="109"/>
      <c r="F321" s="111">
        <v>200</v>
      </c>
      <c r="G321" s="775">
        <v>0</v>
      </c>
      <c r="H321" s="275">
        <v>55475</v>
      </c>
      <c r="I321" s="286">
        <f>SUM(G321:H321)</f>
        <v>55475</v>
      </c>
    </row>
    <row r="322" spans="1:9" s="106" customFormat="1" ht="63" x14ac:dyDescent="0.25">
      <c r="A322" s="779" t="str">
        <f>IF(B322&gt;0,VLOOKUP(B322,КВСР!A92:B1257,2),IF(C322&gt;0,VLOOKUP(C322,КФСР!A92:B1604,2),IF(D322&gt;0,VLOOKUP(D322,Программа!A$1:B$5124,2),IF(F322&gt;0,VLOOKUP(F322,КВР!A$1:B$5001,2),IF(E322&gt;0,VLOOKUP(E322,Направление!A$1:B$4812,2))))))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2" s="114"/>
      <c r="C322" s="109"/>
      <c r="D322" s="110"/>
      <c r="E322" s="109">
        <v>76426</v>
      </c>
      <c r="F322" s="111"/>
      <c r="G322" s="286">
        <v>0</v>
      </c>
      <c r="H322" s="275">
        <f>H323</f>
        <v>941169</v>
      </c>
      <c r="I322" s="286">
        <f>I323</f>
        <v>941169</v>
      </c>
    </row>
    <row r="323" spans="1:9" s="106" customFormat="1" ht="63" customHeight="1" x14ac:dyDescent="0.25">
      <c r="A323" s="779" t="str">
        <f>IF(B323&gt;0,VLOOKUP(B323,КВСР!A93:B1258,2),IF(C323&gt;0,VLOOKUP(C323,КФСР!A93:B1605,2),IF(D323&gt;0,VLOOKUP(D323,Программа!A$1:B$5124,2),IF(F323&gt;0,VLOOKUP(F323,КВР!A$1:B$5001,2),IF(E323&gt;0,VLOOKUP(E323,Направление!A$1:B$4812,2))))))</f>
        <v xml:space="preserve">Закупка товаров, работ и услуг для обеспечения государственных (муниципальных) нужд
</v>
      </c>
      <c r="B323" s="114"/>
      <c r="C323" s="109"/>
      <c r="D323" s="110"/>
      <c r="E323" s="109"/>
      <c r="F323" s="111">
        <v>200</v>
      </c>
      <c r="G323" s="775">
        <v>0</v>
      </c>
      <c r="H323" s="275">
        <v>941169</v>
      </c>
      <c r="I323" s="286">
        <f>SUM(G323:H323)</f>
        <v>941169</v>
      </c>
    </row>
    <row r="324" spans="1:9" s="106" customFormat="1" ht="63" hidden="1" x14ac:dyDescent="0.25">
      <c r="A324" s="779" t="str">
        <f>IF(B324&gt;0,VLOOKUP(B324,КВСР!A92:B1257,2),IF(C324&gt;0,VLOOKUP(C324,КФСР!A92:B1604,2),IF(D324&gt;0,VLOOKUP(D324,Программа!A$1:B$5124,2),IF(F324&gt;0,VLOOKUP(F324,КВР!A$1:B$5001,2),IF(E324&gt;0,VLOOKUP(E324,Направление!A$1:B$4812,2))))))</f>
        <v>Мероприятия по благоустройству и ремонту дворовых  территории в рамках софинансирования инициативного бюджетирования</v>
      </c>
      <c r="B324" s="114"/>
      <c r="C324" s="109"/>
      <c r="D324" s="110"/>
      <c r="E324" s="109">
        <v>75356</v>
      </c>
      <c r="F324" s="111"/>
      <c r="G324" s="286">
        <v>0</v>
      </c>
      <c r="H324" s="275">
        <f t="shared" ref="H324:I324" si="78">H325</f>
        <v>0</v>
      </c>
      <c r="I324" s="286">
        <f t="shared" si="78"/>
        <v>0</v>
      </c>
    </row>
    <row r="325" spans="1:9" s="106" customFormat="1" ht="47.25" hidden="1" x14ac:dyDescent="0.25">
      <c r="A325" s="779" t="str">
        <f>IF(B325&gt;0,VLOOKUP(B325,КВСР!A93:B1258,2),IF(C325&gt;0,VLOOKUP(C325,КФСР!A93:B1605,2),IF(D325&gt;0,VLOOKUP(D325,Программа!A$1:B$5124,2),IF(F325&gt;0,VLOOKUP(F325,КВР!A$1:B$5001,2),IF(E325&gt;0,VLOOKUP(E325,Направление!A$1:B$4812,2))))))</f>
        <v>Предоставление субсидий бюджетным, автономным учреждениям и иным некоммерческим организациям</v>
      </c>
      <c r="B325" s="114"/>
      <c r="C325" s="109"/>
      <c r="D325" s="110"/>
      <c r="E325" s="109"/>
      <c r="F325" s="111">
        <v>600</v>
      </c>
      <c r="G325" s="775">
        <v>0</v>
      </c>
      <c r="H325" s="275"/>
      <c r="I325" s="286">
        <f>SUM(G325:H325)</f>
        <v>0</v>
      </c>
    </row>
    <row r="326" spans="1:9" s="106" customFormat="1" ht="31.5" hidden="1" x14ac:dyDescent="0.25">
      <c r="A326" s="779" t="str">
        <f>IF(B326&gt;0,VLOOKUP(B326,КВСР!A94:B1259,2),IF(C326&gt;0,VLOOKUP(C326,КФСР!A94:B1606,2),IF(D326&gt;0,VLOOKUP(D326,Программа!A$1:B$5124,2),IF(F326&gt;0,VLOOKUP(F326,КВР!A$1:B$5001,2),IF(E326&gt;0,VLOOKUP(E326,Направление!A$1:B$4812,2))))))</f>
        <v>Обеспечение мероприятий по благоустройству площади Юбилейная</v>
      </c>
      <c r="B326" s="114"/>
      <c r="C326" s="109"/>
      <c r="D326" s="110"/>
      <c r="E326" s="109">
        <v>77266</v>
      </c>
      <c r="F326" s="111"/>
      <c r="G326" s="275">
        <v>0</v>
      </c>
      <c r="H326" s="275">
        <f>H327</f>
        <v>0</v>
      </c>
      <c r="I326" s="286">
        <f>I327</f>
        <v>0</v>
      </c>
    </row>
    <row r="327" spans="1:9" s="106" customFormat="1" ht="47.25" hidden="1" x14ac:dyDescent="0.25">
      <c r="A327" s="779" t="str">
        <f>IF(B327&gt;0,VLOOKUP(B327,КВСР!A95:B1260,2),IF(C327&gt;0,VLOOKUP(C327,КФСР!A95:B1607,2),IF(D327&gt;0,VLOOKUP(D327,Программа!A$1:B$5124,2),IF(F327&gt;0,VLOOKUP(F327,КВР!A$1:B$5001,2),IF(E327&gt;0,VLOOKUP(E327,Направление!A$1:B$4812,2))))))</f>
        <v>Предоставление субсидий бюджетным, автономным учреждениям и иным некоммерческим организациям</v>
      </c>
      <c r="B327" s="114"/>
      <c r="C327" s="109"/>
      <c r="D327" s="110"/>
      <c r="E327" s="109"/>
      <c r="F327" s="111">
        <v>600</v>
      </c>
      <c r="G327" s="775">
        <v>0</v>
      </c>
      <c r="H327" s="275"/>
      <c r="I327" s="286">
        <f>SUM(G327:H327)</f>
        <v>0</v>
      </c>
    </row>
    <row r="328" spans="1:9" s="106" customFormat="1" ht="110.25" x14ac:dyDescent="0.25">
      <c r="A328" s="779" t="str">
        <f>IF(B328&gt;0,VLOOKUP(B328,КВСР!A93:B1258,2),IF(C328&gt;0,VLOOKUP(C328,КФСР!A93:B1605,2),IF(D328&gt;0,VLOOKUP(D328,Программа!A$1:B$5124,2),IF(F328&gt;0,VLOOKUP(F328,КВР!A$1:B$5001,2),IF(E328&gt;0,VLOOKUP(E328,Направление!A$1:B$4812,2))))))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8" s="114"/>
      <c r="C328" s="109"/>
      <c r="D328" s="110" t="s">
        <v>1391</v>
      </c>
      <c r="E328" s="109"/>
      <c r="F328" s="111"/>
      <c r="G328" s="286">
        <v>14647778</v>
      </c>
      <c r="H328" s="275">
        <f t="shared" ref="H328:I330" si="79">H329</f>
        <v>0</v>
      </c>
      <c r="I328" s="286">
        <f t="shared" si="79"/>
        <v>14647778</v>
      </c>
    </row>
    <row r="329" spans="1:9" s="106" customFormat="1" ht="47.25" x14ac:dyDescent="0.25">
      <c r="A329" s="779" t="str">
        <f>IF(B329&gt;0,VLOOKUP(B329,КВСР!A94:B1259,2),IF(C329&gt;0,VLOOKUP(C329,КФСР!A94:B1606,2),IF(D329&gt;0,VLOOKUP(D329,Программа!A$1:B$5124,2),IF(F329&gt;0,VLOOKUP(F329,КВР!A$1:B$5001,2),IF(E329&gt;0,VLOOKUP(E329,Направление!A$1:B$4812,2))))))</f>
        <v>Создание механизма управления потреблением энергетических ресурсов и сокращение бюджетных затрат</v>
      </c>
      <c r="B329" s="114"/>
      <c r="C329" s="109"/>
      <c r="D329" s="110" t="s">
        <v>1392</v>
      </c>
      <c r="E329" s="109"/>
      <c r="F329" s="111"/>
      <c r="G329" s="286">
        <v>14647778</v>
      </c>
      <c r="H329" s="275">
        <f t="shared" si="79"/>
        <v>0</v>
      </c>
      <c r="I329" s="286">
        <f t="shared" si="79"/>
        <v>14647778</v>
      </c>
    </row>
    <row r="330" spans="1:9" s="106" customFormat="1" ht="31.5" x14ac:dyDescent="0.25">
      <c r="A330" s="779" t="str">
        <f>IF(B330&gt;0,VLOOKUP(B330,КВСР!A94:B1259,2),IF(C330&gt;0,VLOOKUP(C330,КФСР!A94:B1606,2),IF(D330&gt;0,VLOOKUP(D330,Программа!A$1:B$5124,2),IF(F330&gt;0,VLOOKUP(F330,КВР!A$1:B$5001,2),IF(E330&gt;0,VLOOKUP(E330,Направление!A$1:B$4812,2))))))</f>
        <v>Обеспечение мероприятий по уличному освещению</v>
      </c>
      <c r="B330" s="114"/>
      <c r="C330" s="109"/>
      <c r="D330" s="110"/>
      <c r="E330" s="109">
        <v>29236</v>
      </c>
      <c r="F330" s="111"/>
      <c r="G330" s="286">
        <v>14647778</v>
      </c>
      <c r="H330" s="275">
        <f t="shared" si="79"/>
        <v>0</v>
      </c>
      <c r="I330" s="286">
        <f t="shared" si="79"/>
        <v>14647778</v>
      </c>
    </row>
    <row r="331" spans="1:9" s="106" customFormat="1" ht="63" x14ac:dyDescent="0.25">
      <c r="A331" s="779" t="str">
        <f>IF(B331&gt;0,VLOOKUP(B331,КВСР!A95:B1260,2),IF(C331&gt;0,VLOOKUP(C331,КФСР!A95:B1607,2),IF(D331&gt;0,VLOOKUP(D331,Программа!A$1:B$5124,2),IF(F331&gt;0,VLOOKUP(F331,КВР!A$1:B$5001,2),IF(E331&gt;0,VLOOKUP(E331,Направление!A$1:B$4812,2))))))</f>
        <v xml:space="preserve">Закупка товаров, работ и услуг для обеспечения государственных (муниципальных) нужд
</v>
      </c>
      <c r="B331" s="114"/>
      <c r="C331" s="109"/>
      <c r="D331" s="110"/>
      <c r="E331" s="109"/>
      <c r="F331" s="111">
        <v>200</v>
      </c>
      <c r="G331" s="913">
        <v>14647778</v>
      </c>
      <c r="H331" s="275"/>
      <c r="I331" s="274">
        <f>G331+H331</f>
        <v>14647778</v>
      </c>
    </row>
    <row r="332" spans="1:9" s="106" customFormat="1" ht="63" x14ac:dyDescent="0.25">
      <c r="A332" s="779" t="str">
        <f>IF(B332&gt;0,VLOOKUP(B332,КВСР!A96:B1261,2),IF(C332&gt;0,VLOOKUP(C332,КФСР!A96:B1608,2),IF(D332&gt;0,VLOOKUP(D332,Программа!A$1:B$5124,2),IF(F332&gt;0,VLOOKUP(F332,КВР!A$1:B$5001,2),IF(E332&gt;0,VLOOKUP(E332,Направление!A$1:B$4812,2))))))</f>
        <v>Муниципальная целевая программа "Развитие сетей уличного освещения на территории  Тутаевского муниципального района"</v>
      </c>
      <c r="B332" s="114"/>
      <c r="C332" s="109"/>
      <c r="D332" s="110" t="s">
        <v>1393</v>
      </c>
      <c r="E332" s="109"/>
      <c r="F332" s="111"/>
      <c r="G332" s="286">
        <v>2500000</v>
      </c>
      <c r="H332" s="275">
        <f t="shared" ref="H332:I334" si="80">H333</f>
        <v>700000</v>
      </c>
      <c r="I332" s="286">
        <f t="shared" si="80"/>
        <v>3200000</v>
      </c>
    </row>
    <row r="333" spans="1:9" s="106" customFormat="1" ht="31.5" x14ac:dyDescent="0.25">
      <c r="A333" s="779" t="str">
        <f>IF(B333&gt;0,VLOOKUP(B333,КВСР!A97:B1262,2),IF(C333&gt;0,VLOOKUP(C333,КФСР!A97:B1609,2),IF(D333&gt;0,VLOOKUP(D333,Программа!A$1:B$5124,2),IF(F333&gt;0,VLOOKUP(F333,КВР!A$1:B$5001,2),IF(E333&gt;0,VLOOKUP(E333,Направление!A$1:B$4812,2))))))</f>
        <v xml:space="preserve">Реконструкция, ремонт и строительство новых сетей уличного освещения </v>
      </c>
      <c r="B333" s="114"/>
      <c r="C333" s="109"/>
      <c r="D333" s="110" t="s">
        <v>1394</v>
      </c>
      <c r="E333" s="109"/>
      <c r="F333" s="111"/>
      <c r="G333" s="286">
        <v>2500000</v>
      </c>
      <c r="H333" s="275">
        <f t="shared" si="80"/>
        <v>700000</v>
      </c>
      <c r="I333" s="286">
        <f t="shared" si="80"/>
        <v>3200000</v>
      </c>
    </row>
    <row r="334" spans="1:9" s="106" customFormat="1" ht="63" x14ac:dyDescent="0.25">
      <c r="A334" s="779" t="str">
        <f>IF(B334&gt;0,VLOOKUP(B334,КВСР!A97:B1262,2),IF(C334&gt;0,VLOOKUP(C334,КФСР!A97:B1609,2),IF(D334&gt;0,VLOOKUP(D334,Программа!A$1:B$5124,2),IF(F334&gt;0,VLOOKUP(F334,КВР!A$1:B$5001,2),IF(E334&gt;0,VLOOKUP(E334,Направление!A$1:B$4812,2))))))</f>
        <v>Обеспечение мероприятий по техническому содержанию, текущему и капитальному ремонту сетей уличного освещения</v>
      </c>
      <c r="B334" s="114"/>
      <c r="C334" s="109"/>
      <c r="D334" s="110"/>
      <c r="E334" s="109">
        <v>29246</v>
      </c>
      <c r="F334" s="111"/>
      <c r="G334" s="286">
        <v>2500000</v>
      </c>
      <c r="H334" s="275">
        <f t="shared" si="80"/>
        <v>700000</v>
      </c>
      <c r="I334" s="286">
        <f t="shared" si="80"/>
        <v>3200000</v>
      </c>
    </row>
    <row r="335" spans="1:9" s="106" customFormat="1" ht="63" x14ac:dyDescent="0.25">
      <c r="A335" s="779" t="str">
        <f>IF(B335&gt;0,VLOOKUP(B335,КВСР!A98:B1263,2),IF(C335&gt;0,VLOOKUP(C335,КФСР!A98:B1610,2),IF(D335&gt;0,VLOOKUP(D335,Программа!A$1:B$5124,2),IF(F335&gt;0,VLOOKUP(F335,КВР!A$1:B$5001,2),IF(E335&gt;0,VLOOKUP(E335,Направление!A$1:B$4812,2))))))</f>
        <v xml:space="preserve">Закупка товаров, работ и услуг для обеспечения государственных (муниципальных) нужд
</v>
      </c>
      <c r="B335" s="114"/>
      <c r="C335" s="109"/>
      <c r="D335" s="110"/>
      <c r="E335" s="109"/>
      <c r="F335" s="111">
        <v>200</v>
      </c>
      <c r="G335" s="775">
        <v>2500000</v>
      </c>
      <c r="H335" s="275">
        <v>700000</v>
      </c>
      <c r="I335" s="274">
        <f>G335+H335</f>
        <v>3200000</v>
      </c>
    </row>
    <row r="336" spans="1:9" s="106" customFormat="1" ht="63" x14ac:dyDescent="0.25">
      <c r="A336" s="779" t="str">
        <f>IF(B336&gt;0,VLOOKUP(B336,КВСР!A89:B1254,2),IF(C336&gt;0,VLOOKUP(C336,КФСР!A89:B1601,2),IF(D336&gt;0,VLOOKUP(D336,Программа!A$1:B$5124,2),IF(F336&gt;0,VLOOKUP(F336,КВР!A$1:B$5001,2),IF(E336&gt;0,VLOOKUP(E336,Направление!A$1:B$4812,2))))))</f>
        <v>Муниципальная программа "Формирование  современной городской среды"  Тутаевского муниципального района</v>
      </c>
      <c r="B336" s="114"/>
      <c r="C336" s="109"/>
      <c r="D336" s="110" t="s">
        <v>1134</v>
      </c>
      <c r="E336" s="109"/>
      <c r="F336" s="111"/>
      <c r="G336" s="274">
        <v>92907930</v>
      </c>
      <c r="H336" s="275">
        <f>H337+H345+H340</f>
        <v>3399681</v>
      </c>
      <c r="I336" s="275">
        <f>I337+I345+I340</f>
        <v>96307611</v>
      </c>
    </row>
    <row r="337" spans="1:9" s="106" customFormat="1" ht="31.5" x14ac:dyDescent="0.25">
      <c r="A337" s="779" t="str">
        <f>IF(B337&gt;0,VLOOKUP(B337,КВСР!A90:B1255,2),IF(C337&gt;0,VLOOKUP(C337,КФСР!A90:B1602,2),IF(D337&gt;0,VLOOKUP(D337,Программа!A$1:B$5124,2),IF(F337&gt;0,VLOOKUP(F337,КВР!A$1:B$5001,2),IF(E337&gt;0,VLOOKUP(E337,Направление!A$1:B$4812,2))))))</f>
        <v>Повышение уровня благоустройства территорий</v>
      </c>
      <c r="B337" s="114"/>
      <c r="C337" s="109"/>
      <c r="D337" s="110" t="s">
        <v>1152</v>
      </c>
      <c r="E337" s="109"/>
      <c r="F337" s="111"/>
      <c r="G337" s="274">
        <v>4574095</v>
      </c>
      <c r="H337" s="275">
        <f>H338</f>
        <v>2910703</v>
      </c>
      <c r="I337" s="275">
        <f>I338</f>
        <v>7484798</v>
      </c>
    </row>
    <row r="338" spans="1:9" s="106" customFormat="1" ht="47.25" x14ac:dyDescent="0.25">
      <c r="A338" s="779" t="str">
        <f>IF(B338&gt;0,VLOOKUP(B338,КВСР!A89:B1254,2),IF(C338&gt;0,VLOOKUP(C338,КФСР!A89:B1601,2),IF(D338&gt;0,VLOOKUP(D338,Программа!A$1:B$5124,2),IF(F338&gt;0,VLOOKUP(F338,КВР!A$1:B$5001,2),IF(E338&gt;0,VLOOKUP(E338,Направление!A$1:B$4812,2))))))</f>
        <v>Обеспечение мероприятий по формированию современной городской среды</v>
      </c>
      <c r="B338" s="114"/>
      <c r="C338" s="109"/>
      <c r="D338" s="110"/>
      <c r="E338" s="109">
        <v>29456</v>
      </c>
      <c r="F338" s="111"/>
      <c r="G338" s="274">
        <v>4574095</v>
      </c>
      <c r="H338" s="275">
        <f>H339</f>
        <v>2910703</v>
      </c>
      <c r="I338" s="275">
        <f>I339</f>
        <v>7484798</v>
      </c>
    </row>
    <row r="339" spans="1:9" s="106" customFormat="1" ht="63" x14ac:dyDescent="0.25">
      <c r="A339" s="779" t="str">
        <f>IF(B339&gt;0,VLOOKUP(B339,КВСР!A90:B1255,2),IF(C339&gt;0,VLOOKUP(C339,КФСР!A90:B1602,2),IF(D339&gt;0,VLOOKUP(D339,Программа!A$1:B$5124,2),IF(F339&gt;0,VLOOKUP(F339,КВР!A$1:B$5001,2),IF(E339&gt;0,VLOOKUP(E339,Направление!A$1:B$4812,2))))))</f>
        <v xml:space="preserve">Закупка товаров, работ и услуг для обеспечения государственных (муниципальных) нужд
</v>
      </c>
      <c r="B339" s="114"/>
      <c r="C339" s="109"/>
      <c r="D339" s="110"/>
      <c r="E339" s="109"/>
      <c r="F339" s="111">
        <v>200</v>
      </c>
      <c r="G339" s="775">
        <v>4574095</v>
      </c>
      <c r="H339" s="275">
        <v>2910703</v>
      </c>
      <c r="I339" s="274">
        <f t="shared" si="74"/>
        <v>7484798</v>
      </c>
    </row>
    <row r="340" spans="1:9" s="106" customFormat="1" ht="31.5" x14ac:dyDescent="0.25">
      <c r="A340" s="779" t="str">
        <f>IF(B340&gt;0,VLOOKUP(B340,КВСР!A91:B1256,2),IF(C340&gt;0,VLOOKUP(C340,КФСР!A91:B1603,2),IF(D340&gt;0,VLOOKUP(D340,Программа!A$1:B$5124,2),IF(F340&gt;0,VLOOKUP(F340,КВР!A$1:B$5001,2),IF(E340&gt;0,VLOOKUP(E340,Направление!A$1:B$4812,2))))))</f>
        <v>Реализация  Губернаторского  проекта "Наши дворы"</v>
      </c>
      <c r="B340" s="114"/>
      <c r="C340" s="109"/>
      <c r="D340" s="110" t="s">
        <v>1153</v>
      </c>
      <c r="E340" s="109"/>
      <c r="F340" s="111"/>
      <c r="G340" s="286">
        <v>79471764</v>
      </c>
      <c r="H340" s="275">
        <f>H341+H343</f>
        <v>0</v>
      </c>
      <c r="I340" s="275">
        <f>I341+I343</f>
        <v>79471764</v>
      </c>
    </row>
    <row r="341" spans="1:9" s="106" customFormat="1" x14ac:dyDescent="0.25">
      <c r="A341" s="779" t="str">
        <f>IF(B341&gt;0,VLOOKUP(B341,КВСР!A92:B1257,2),IF(C341&gt;0,VLOOKUP(C341,КФСР!A92:B1604,2),IF(D341&gt;0,VLOOKUP(D341,Программа!A$1:B$5124,2),IF(F341&gt;0,VLOOKUP(F341,КВР!A$1:B$5001,2),IF(E341&gt;0,VLOOKUP(E341,Направление!A$1:B$4812,2))))))</f>
        <v>Мероприятия проекта "Наши дворы"</v>
      </c>
      <c r="B341" s="114"/>
      <c r="C341" s="109"/>
      <c r="D341" s="110"/>
      <c r="E341" s="109">
        <v>29656</v>
      </c>
      <c r="F341" s="111"/>
      <c r="G341" s="274">
        <v>12971764</v>
      </c>
      <c r="H341" s="275">
        <f>H342</f>
        <v>0</v>
      </c>
      <c r="I341" s="275">
        <f>I342</f>
        <v>12971764</v>
      </c>
    </row>
    <row r="342" spans="1:9" s="106" customFormat="1" ht="63" x14ac:dyDescent="0.25">
      <c r="A342" s="779" t="str">
        <f>IF(B342&gt;0,VLOOKUP(B342,КВСР!A93:B1258,2),IF(C342&gt;0,VLOOKUP(C342,КФСР!A93:B1605,2),IF(D342&gt;0,VLOOKUP(D342,Программа!A$1:B$5124,2),IF(F342&gt;0,VLOOKUP(F342,КВР!A$1:B$5001,2),IF(E342&gt;0,VLOOKUP(E342,Направление!A$1:B$4812,2))))))</f>
        <v xml:space="preserve">Закупка товаров, работ и услуг для обеспечения государственных (муниципальных) нужд
</v>
      </c>
      <c r="B342" s="114"/>
      <c r="C342" s="109"/>
      <c r="D342" s="110"/>
      <c r="E342" s="109"/>
      <c r="F342" s="111">
        <v>200</v>
      </c>
      <c r="G342" s="286">
        <v>12971764</v>
      </c>
      <c r="H342" s="275"/>
      <c r="I342" s="274">
        <f t="shared" si="74"/>
        <v>12971764</v>
      </c>
    </row>
    <row r="343" spans="1:9" s="106" customFormat="1" ht="47.25" x14ac:dyDescent="0.25">
      <c r="A343" s="779" t="str">
        <f>IF(B343&gt;0,VLOOKUP(B343,КВСР!A94:B1259,2),IF(C343&gt;0,VLOOKUP(C343,КФСР!A94:B1606,2),IF(D343&gt;0,VLOOKUP(D343,Программа!A$1:B$5124,2),IF(F343&gt;0,VLOOKUP(F343,КВР!A$1:B$5001,2),IF(E343&gt;0,VLOOKUP(E343,Направление!A$1:B$4812,2))))))</f>
        <v>Мероприятия по благоустройству дворовых территорий и обустройству территорий для выгула собак</v>
      </c>
      <c r="B343" s="114"/>
      <c r="C343" s="109"/>
      <c r="D343" s="110"/>
      <c r="E343" s="109">
        <v>70416</v>
      </c>
      <c r="F343" s="111"/>
      <c r="G343" s="286">
        <v>66500000</v>
      </c>
      <c r="H343" s="275">
        <f>H344</f>
        <v>0</v>
      </c>
      <c r="I343" s="274">
        <f>I344</f>
        <v>66500000</v>
      </c>
    </row>
    <row r="344" spans="1:9" s="106" customFormat="1" ht="63" x14ac:dyDescent="0.25">
      <c r="A344" s="779" t="str">
        <f>IF(B344&gt;0,VLOOKUP(B344,КВСР!A95:B1260,2),IF(C344&gt;0,VLOOKUP(C344,КФСР!A95:B1607,2),IF(D344&gt;0,VLOOKUP(D344,Программа!A$1:B$5124,2),IF(F344&gt;0,VLOOKUP(F344,КВР!A$1:B$5001,2),IF(E344&gt;0,VLOOKUP(E344,Направление!A$1:B$4812,2))))))</f>
        <v xml:space="preserve">Закупка товаров, работ и услуг для обеспечения государственных (муниципальных) нужд
</v>
      </c>
      <c r="B344" s="114"/>
      <c r="C344" s="109"/>
      <c r="D344" s="110"/>
      <c r="E344" s="109"/>
      <c r="F344" s="111">
        <v>200</v>
      </c>
      <c r="G344" s="286">
        <v>66500000</v>
      </c>
      <c r="H344" s="275"/>
      <c r="I344" s="274">
        <f>SUM(G344:H344)</f>
        <v>66500000</v>
      </c>
    </row>
    <row r="345" spans="1:9" s="106" customFormat="1" ht="31.5" x14ac:dyDescent="0.25">
      <c r="A345" s="779" t="str">
        <f>IF(B345&gt;0,VLOOKUP(B345,КВСР!A94:B1259,2),IF(C345&gt;0,VLOOKUP(C345,КФСР!A94:B1606,2),IF(D345&gt;0,VLOOKUP(D345,Программа!A$1:B$5124,2),IF(F345&gt;0,VLOOKUP(F345,КВР!A$1:B$5001,2),IF(E345&gt;0,VLOOKUP(E345,Направление!A$1:B$4812,2))))))</f>
        <v>Реализация   проекта "Формирование комфортной городской среды"</v>
      </c>
      <c r="B345" s="114"/>
      <c r="C345" s="109"/>
      <c r="D345" s="110" t="s">
        <v>1314</v>
      </c>
      <c r="E345" s="109"/>
      <c r="F345" s="111"/>
      <c r="G345" s="286">
        <v>8862071</v>
      </c>
      <c r="H345" s="275">
        <f>H348+H346</f>
        <v>488978</v>
      </c>
      <c r="I345" s="275">
        <f>I348+I346</f>
        <v>9351049</v>
      </c>
    </row>
    <row r="346" spans="1:9" s="106" customFormat="1" ht="110.25" hidden="1" x14ac:dyDescent="0.25">
      <c r="A346" s="779" t="str">
        <f>IF(B346&gt;0,VLOOKUP(B346,КВСР!A95:B1260,2),IF(C346&gt;0,VLOOKUP(C346,КФСР!A95:B1607,2),IF(D346&gt;0,VLOOKUP(D346,Программа!A$1:B$5124,2),IF(F346&gt;0,VLOOKUP(F346,КВР!A$1:B$5001,2),IF(E346&gt;0,VLOOKUP(E346,Направление!A$1:B$4812,2))))))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46" s="114"/>
      <c r="C346" s="109"/>
      <c r="D346" s="110"/>
      <c r="E346" s="109">
        <v>54246</v>
      </c>
      <c r="F346" s="111"/>
      <c r="G346" s="286">
        <v>0</v>
      </c>
      <c r="H346" s="275">
        <f>H347</f>
        <v>0</v>
      </c>
      <c r="I346" s="275">
        <f>I347</f>
        <v>0</v>
      </c>
    </row>
    <row r="347" spans="1:9" s="106" customFormat="1" ht="63" hidden="1" x14ac:dyDescent="0.25">
      <c r="A347" s="779" t="str">
        <f>IF(B347&gt;0,VLOOKUP(B347,КВСР!A96:B1261,2),IF(C347&gt;0,VLOOKUP(C347,КФСР!A96:B1608,2),IF(D347&gt;0,VLOOKUP(D347,Программа!A$1:B$5124,2),IF(F347&gt;0,VLOOKUP(F347,КВР!A$1:B$5001,2),IF(E347&gt;0,VLOOKUP(E347,Направление!A$1:B$4812,2))))))</f>
        <v xml:space="preserve">Закупка товаров, работ и услуг для обеспечения государственных (муниципальных) нужд
</v>
      </c>
      <c r="B347" s="114"/>
      <c r="C347" s="109"/>
      <c r="D347" s="110"/>
      <c r="E347" s="109"/>
      <c r="F347" s="111">
        <v>200</v>
      </c>
      <c r="G347" s="267">
        <v>0</v>
      </c>
      <c r="H347" s="275"/>
      <c r="I347" s="286">
        <f>SUM(G347:H347)</f>
        <v>0</v>
      </c>
    </row>
    <row r="348" spans="1:9" s="106" customFormat="1" ht="47.25" x14ac:dyDescent="0.25">
      <c r="A348" s="779" t="str">
        <f>IF(B348&gt;0,VLOOKUP(B348,КВСР!A95:B1260,2),IF(C348&gt;0,VLOOKUP(C348,КФСР!A95:B1607,2),IF(D348&gt;0,VLOOKUP(D348,Программа!A$1:B$5124,2),IF(F348&gt;0,VLOOKUP(F348,КВР!A$1:B$5001,2),IF(E348&gt;0,VLOOKUP(E348,Направление!A$1:B$4812,2))))))</f>
        <v xml:space="preserve">Расходы на реализацию программ формирования современной городской среды </v>
      </c>
      <c r="B348" s="114"/>
      <c r="C348" s="109"/>
      <c r="D348" s="110"/>
      <c r="E348" s="109">
        <v>55556</v>
      </c>
      <c r="F348" s="111"/>
      <c r="G348" s="286">
        <v>8862071</v>
      </c>
      <c r="H348" s="275">
        <f t="shared" ref="H348:I348" si="81">H349</f>
        <v>488978</v>
      </c>
      <c r="I348" s="286">
        <f t="shared" si="81"/>
        <v>9351049</v>
      </c>
    </row>
    <row r="349" spans="1:9" s="106" customFormat="1" ht="63" x14ac:dyDescent="0.25">
      <c r="A349" s="779" t="str">
        <f>IF(B349&gt;0,VLOOKUP(B349,КВСР!A96:B1261,2),IF(C349&gt;0,VLOOKUP(C349,КФСР!A96:B1608,2),IF(D349&gt;0,VLOOKUP(D349,Программа!A$1:B$5124,2),IF(F349&gt;0,VLOOKUP(F349,КВР!A$1:B$5001,2),IF(E349&gt;0,VLOOKUP(E349,Направление!A$1:B$4812,2))))))</f>
        <v xml:space="preserve">Закупка товаров, работ и услуг для обеспечения государственных (муниципальных) нужд
</v>
      </c>
      <c r="B349" s="114"/>
      <c r="C349" s="109"/>
      <c r="D349" s="110"/>
      <c r="E349" s="109"/>
      <c r="F349" s="111">
        <v>200</v>
      </c>
      <c r="G349" s="267">
        <v>8862071</v>
      </c>
      <c r="H349" s="275">
        <v>488978</v>
      </c>
      <c r="I349" s="274">
        <f>SUM(G349:H349)</f>
        <v>9351049</v>
      </c>
    </row>
    <row r="350" spans="1:9" s="106" customFormat="1" x14ac:dyDescent="0.25">
      <c r="A350" s="779" t="str">
        <f>IF(B350&gt;0,VLOOKUP(B350,КВСР!A97:B1262,2),IF(C350&gt;0,VLOOKUP(C350,КФСР!A97:B1609,2),IF(D350&gt;0,VLOOKUP(D350,Программа!A$1:B$5124,2),IF(F350&gt;0,VLOOKUP(F350,КВР!A$1:B$5001,2),IF(E350&gt;0,VLOOKUP(E350,Направление!A$1:B$4812,2))))))</f>
        <v>Непрограммные расходы бюджета</v>
      </c>
      <c r="B350" s="114"/>
      <c r="C350" s="109"/>
      <c r="D350" s="111" t="s">
        <v>311</v>
      </c>
      <c r="E350" s="109"/>
      <c r="F350" s="111"/>
      <c r="G350" s="275">
        <v>139294</v>
      </c>
      <c r="H350" s="374">
        <f>H351</f>
        <v>0</v>
      </c>
      <c r="I350" s="274">
        <f>I351</f>
        <v>139294</v>
      </c>
    </row>
    <row r="351" spans="1:9" s="106" customFormat="1" ht="31.5" x14ac:dyDescent="0.25">
      <c r="A351" s="779" t="str">
        <f>IF(B351&gt;0,VLOOKUP(B351,КВСР!A98:B1263,2),IF(C351&gt;0,VLOOKUP(C351,КФСР!A98:B1610,2),IF(D351&gt;0,VLOOKUP(D351,Программа!A$1:B$5124,2),IF(F351&gt;0,VLOOKUP(F351,КВР!A$1:B$5001,2),IF(E351&gt;0,VLOOKUP(E351,Направление!A$1:B$4812,2))))))</f>
        <v>Расходы  на оказание услуг по захоронению невостребованных трупов</v>
      </c>
      <c r="B351" s="114"/>
      <c r="C351" s="109"/>
      <c r="D351" s="110"/>
      <c r="E351" s="109">
        <v>29356</v>
      </c>
      <c r="F351" s="111"/>
      <c r="G351" s="267">
        <v>139294</v>
      </c>
      <c r="H351" s="275">
        <f>H352</f>
        <v>0</v>
      </c>
      <c r="I351" s="274">
        <f>SUM(G351:H351)</f>
        <v>139294</v>
      </c>
    </row>
    <row r="352" spans="1:9" s="891" customFormat="1" ht="63" x14ac:dyDescent="0.25">
      <c r="A352" s="781" t="str">
        <f>IF(B352&gt;0,VLOOKUP(B352,КВСР!A99:B1264,2),IF(C352&gt;0,VLOOKUP(C352,КФСР!A99:B1611,2),IF(D352&gt;0,VLOOKUP(D352,Программа!A$1:B$5124,2),IF(F352&gt;0,VLOOKUP(F352,КВР!A$1:B$5001,2),IF(E352&gt;0,VLOOKUP(E352,Направление!A$1:B$4812,2))))))</f>
        <v xml:space="preserve">Закупка товаров, работ и услуг для обеспечения государственных (муниципальных) нужд
</v>
      </c>
      <c r="B352" s="887"/>
      <c r="C352" s="888"/>
      <c r="D352" s="889"/>
      <c r="E352" s="888"/>
      <c r="F352" s="890">
        <v>200</v>
      </c>
      <c r="G352" s="286">
        <v>139294</v>
      </c>
      <c r="H352" s="286"/>
      <c r="I352" s="286">
        <f>G352+H352</f>
        <v>139294</v>
      </c>
    </row>
    <row r="353" spans="1:9" s="106" customFormat="1" ht="31.5" x14ac:dyDescent="0.25">
      <c r="A353" s="779" t="str">
        <f>IF(B353&gt;0,VLOOKUP(B353,КВСР!A58:B1223,2),IF(C353&gt;0,VLOOKUP(C353,КФСР!A58:B1570,2),IF(D353&gt;0,VLOOKUP(D353,Программа!A$1:B$5124,2),IF(F353&gt;0,VLOOKUP(F353,КВР!A$1:B$5001,2),IF(E353&gt;0,VLOOKUP(E353,Направление!A$1:B$4812,2))))))</f>
        <v>Другие вопросы в области охраны окружающей среды</v>
      </c>
      <c r="B353" s="114"/>
      <c r="C353" s="109">
        <v>605</v>
      </c>
      <c r="D353" s="111"/>
      <c r="E353" s="109"/>
      <c r="F353" s="111"/>
      <c r="G353" s="286">
        <v>1855865</v>
      </c>
      <c r="H353" s="275">
        <f t="shared" ref="H353:I354" si="82">H354</f>
        <v>-161750</v>
      </c>
      <c r="I353" s="275">
        <f t="shared" si="82"/>
        <v>1694115</v>
      </c>
    </row>
    <row r="354" spans="1:9" s="106" customFormat="1" ht="63" x14ac:dyDescent="0.25">
      <c r="A354" s="779" t="str">
        <f>IF(B354&gt;0,VLOOKUP(B354,КВСР!A59:B1224,2),IF(C354&gt;0,VLOOKUP(C354,КФСР!A59:B1571,2),IF(D354&gt;0,VLOOKUP(D354,Программа!A$1:B$5124,2),IF(F354&gt;0,VLOOKUP(F354,КВР!A$1:B$5001,2),IF(E354&gt;0,VLOOKUP(E354,Направление!A$1:B$4812,2))))))</f>
        <v>Муниципальная программа "Охрана окружающей среды и рациональное природопользование в Тутаевском муниципальном районе"</v>
      </c>
      <c r="B354" s="114"/>
      <c r="C354" s="109"/>
      <c r="D354" s="111" t="s">
        <v>1026</v>
      </c>
      <c r="E354" s="109"/>
      <c r="F354" s="111"/>
      <c r="G354" s="286">
        <v>1855865</v>
      </c>
      <c r="H354" s="275">
        <f t="shared" si="82"/>
        <v>-161750</v>
      </c>
      <c r="I354" s="275">
        <f t="shared" si="82"/>
        <v>1694115</v>
      </c>
    </row>
    <row r="355" spans="1:9" s="106" customFormat="1" ht="63" x14ac:dyDescent="0.25">
      <c r="A355" s="779" t="str">
        <f>IF(B355&gt;0,VLOOKUP(B355,КВСР!A60:B1225,2),IF(C355&gt;0,VLOOKUP(C355,КФСР!A60:B1572,2),IF(D355&gt;0,VLOOKUP(D355,Программа!A$1:B$5124,2),IF(F355&gt;0,VLOOKUP(F355,КВР!A$1:B$5001,2),IF(E355&gt;0,VLOOKUP(E355,Направление!A$1:B$4812,2))))))</f>
        <v>Проведение мероприятий по охране окружающей среды и природопользованию на территории Тутаевского муниципального района</v>
      </c>
      <c r="B355" s="114"/>
      <c r="C355" s="109"/>
      <c r="D355" s="111" t="s">
        <v>1067</v>
      </c>
      <c r="E355" s="109"/>
      <c r="F355" s="111"/>
      <c r="G355" s="286">
        <v>1855865</v>
      </c>
      <c r="H355" s="275">
        <f>H356+H359+H361</f>
        <v>-161750</v>
      </c>
      <c r="I355" s="275">
        <f>I356+I359+I361</f>
        <v>1694115</v>
      </c>
    </row>
    <row r="356" spans="1:9" s="106" customFormat="1" ht="31.5" x14ac:dyDescent="0.25">
      <c r="A356" s="779" t="str">
        <f>IF(B356&gt;0,VLOOKUP(B356,КВСР!A60:B1225,2),IF(C356&gt;0,VLOOKUP(C356,КФСР!A60:B1572,2),IF(D356&gt;0,VLOOKUP(D356,Программа!A$1:B$5124,2),IF(F356&gt;0,VLOOKUP(F356,КВР!A$1:B$5001,2),IF(E356&gt;0,VLOOKUP(E356,Направление!A$1:B$4812,2))))))</f>
        <v>Расходы на природоохранные мероприятия</v>
      </c>
      <c r="B356" s="114"/>
      <c r="C356" s="109"/>
      <c r="D356" s="111"/>
      <c r="E356" s="109">
        <v>10600</v>
      </c>
      <c r="F356" s="111"/>
      <c r="G356" s="286">
        <v>1348800</v>
      </c>
      <c r="H356" s="275">
        <f>H357+H358</f>
        <v>-153979</v>
      </c>
      <c r="I356" s="275">
        <f>I357+I358</f>
        <v>1194821</v>
      </c>
    </row>
    <row r="357" spans="1:9" s="106" customFormat="1" ht="63" x14ac:dyDescent="0.25">
      <c r="A357" s="779" t="str">
        <f>IF(B357&gt;0,VLOOKUP(B357,КВСР!A61:B1226,2),IF(C357&gt;0,VLOOKUP(C357,КФСР!A61:B1573,2),IF(D357&gt;0,VLOOKUP(D357,Программа!A$1:B$5124,2),IF(F357&gt;0,VLOOKUP(F357,КВР!A$1:B$5001,2),IF(E357&gt;0,VLOOKUP(E357,Направление!A$1:B$4812,2))))))</f>
        <v xml:space="preserve">Закупка товаров, работ и услуг для обеспечения государственных (муниципальных) нужд
</v>
      </c>
      <c r="B357" s="114"/>
      <c r="C357" s="109"/>
      <c r="D357" s="111"/>
      <c r="E357" s="109"/>
      <c r="F357" s="111">
        <v>200</v>
      </c>
      <c r="G357" s="286">
        <v>550000</v>
      </c>
      <c r="H357" s="275">
        <v>-153979</v>
      </c>
      <c r="I357" s="117">
        <f t="shared" si="28"/>
        <v>396021</v>
      </c>
    </row>
    <row r="358" spans="1:9" s="106" customFormat="1" x14ac:dyDescent="0.25">
      <c r="A358" s="779" t="str">
        <f>IF(B358&gt;0,VLOOKUP(B358,КВСР!A62:B1227,2),IF(C358&gt;0,VLOOKUP(C358,КФСР!A62:B1574,2),IF(D358&gt;0,VLOOKUP(D358,Программа!A$1:B$5124,2),IF(F358&gt;0,VLOOKUP(F358,КВР!A$1:B$5001,2),IF(E358&gt;0,VLOOKUP(E358,Направление!A$1:B$4812,2))))))</f>
        <v xml:space="preserve"> Межбюджетные трансферты</v>
      </c>
      <c r="B358" s="114"/>
      <c r="C358" s="109"/>
      <c r="D358" s="111"/>
      <c r="E358" s="109"/>
      <c r="F358" s="111">
        <v>500</v>
      </c>
      <c r="G358" s="286">
        <v>798800</v>
      </c>
      <c r="H358" s="275"/>
      <c r="I358" s="117">
        <f t="shared" si="28"/>
        <v>798800</v>
      </c>
    </row>
    <row r="359" spans="1:9" s="106" customFormat="1" ht="31.5" x14ac:dyDescent="0.25">
      <c r="A359" s="779" t="str">
        <f>IF(B359&gt;0,VLOOKUP(B359,КВСР!A63:B1228,2),IF(C359&gt;0,VLOOKUP(C359,КФСР!A63:B1575,2),IF(D359&gt;0,VLOOKUP(D359,Программа!A$1:B$5124,2),IF(F359&gt;0,VLOOKUP(F359,КВР!A$1:B$5001,2),IF(E359&gt;0,VLOOKUP(E359,Направление!A$1:B$4812,2))))))</f>
        <v>Расходы на реализацию мероприятий по борьбе с борщевиком Сосновского</v>
      </c>
      <c r="B359" s="114"/>
      <c r="C359" s="109"/>
      <c r="D359" s="111"/>
      <c r="E359" s="109">
        <v>16900</v>
      </c>
      <c r="F359" s="111"/>
      <c r="G359" s="286">
        <v>60000</v>
      </c>
      <c r="H359" s="275">
        <f>H360</f>
        <v>-7771</v>
      </c>
      <c r="I359" s="286">
        <f>I360</f>
        <v>52229</v>
      </c>
    </row>
    <row r="360" spans="1:9" s="106" customFormat="1" ht="63" x14ac:dyDescent="0.25">
      <c r="A360" s="779" t="str">
        <f>IF(B360&gt;0,VLOOKUP(B360,КВСР!A64:B1229,2),IF(C360&gt;0,VLOOKUP(C360,КФСР!A64:B1576,2),IF(D360&gt;0,VLOOKUP(D360,Программа!A$1:B$5124,2),IF(F360&gt;0,VLOOKUP(F360,КВР!A$1:B$5001,2),IF(E360&gt;0,VLOOKUP(E360,Направление!A$1:B$4812,2))))))</f>
        <v xml:space="preserve">Закупка товаров, работ и услуг для обеспечения государственных (муниципальных) нужд
</v>
      </c>
      <c r="B360" s="114"/>
      <c r="C360" s="109"/>
      <c r="D360" s="111"/>
      <c r="E360" s="109"/>
      <c r="F360" s="111">
        <v>200</v>
      </c>
      <c r="G360" s="286">
        <v>60000</v>
      </c>
      <c r="H360" s="275">
        <v>-7771</v>
      </c>
      <c r="I360" s="117">
        <f>G360+H360</f>
        <v>52229</v>
      </c>
    </row>
    <row r="361" spans="1:9" s="106" customFormat="1" ht="47.25" x14ac:dyDescent="0.25">
      <c r="A361" s="779" t="str">
        <f>IF(B361&gt;0,VLOOKUP(B361,КВСР!A65:B1230,2),IF(C361&gt;0,VLOOKUP(C361,КФСР!A65:B1577,2),IF(D361&gt;0,VLOOKUP(D361,Программа!A$1:B$5124,2),IF(F361&gt;0,VLOOKUP(F361,КВР!A$1:B$5001,2),IF(E361&gt;0,VLOOKUP(E361,Направление!A$1:B$4812,2))))))</f>
        <v>Расходы на реализацию мероприятий по борьбе с борщевиком Сосновского на территории Ярославской области</v>
      </c>
      <c r="B361" s="114"/>
      <c r="C361" s="109"/>
      <c r="D361" s="111"/>
      <c r="E361" s="109">
        <v>76900</v>
      </c>
      <c r="F361" s="111"/>
      <c r="G361" s="286">
        <v>447065</v>
      </c>
      <c r="H361" s="275">
        <f>H362</f>
        <v>0</v>
      </c>
      <c r="I361" s="286">
        <f>I362</f>
        <v>447065</v>
      </c>
    </row>
    <row r="362" spans="1:9" s="106" customFormat="1" ht="63" x14ac:dyDescent="0.25">
      <c r="A362" s="779" t="str">
        <f>IF(B362&gt;0,VLOOKUP(B362,КВСР!A64:B1229,2),IF(C362&gt;0,VLOOKUP(C362,КФСР!A64:B1576,2),IF(D362&gt;0,VLOOKUP(D362,Программа!A$1:B$5124,2),IF(F362&gt;0,VLOOKUP(F362,КВР!A$1:B$5001,2),IF(E362&gt;0,VLOOKUP(E362,Направление!A$1:B$4812,2))))))</f>
        <v xml:space="preserve">Закупка товаров, работ и услуг для обеспечения государственных (муниципальных) нужд
</v>
      </c>
      <c r="B362" s="114"/>
      <c r="C362" s="109"/>
      <c r="D362" s="111"/>
      <c r="E362" s="109"/>
      <c r="F362" s="111">
        <v>200</v>
      </c>
      <c r="G362" s="286">
        <v>447065</v>
      </c>
      <c r="H362" s="275"/>
      <c r="I362" s="117">
        <f>G362+H362</f>
        <v>447065</v>
      </c>
    </row>
    <row r="363" spans="1:9" s="106" customFormat="1" x14ac:dyDescent="0.25">
      <c r="A363" s="779" t="str">
        <f>IF(B363&gt;0,VLOOKUP(B363,КВСР!A65:B1230,2),IF(C363&gt;0,VLOOKUP(C363,КФСР!A65:B1577,2),IF(D363&gt;0,VLOOKUP(D363,Программа!A$1:B$5124,2),IF(F363&gt;0,VLOOKUP(F363,КВР!A$1:B$5001,2),IF(E363&gt;0,VLOOKUP(E363,Направление!A$1:B$4812,2))))))</f>
        <v>Культура</v>
      </c>
      <c r="B363" s="114"/>
      <c r="C363" s="109">
        <v>801</v>
      </c>
      <c r="D363" s="111"/>
      <c r="E363" s="109"/>
      <c r="F363" s="111"/>
      <c r="G363" s="286">
        <v>31462009</v>
      </c>
      <c r="H363" s="275">
        <f t="shared" ref="H363:I371" si="83">H364</f>
        <v>-334765</v>
      </c>
      <c r="I363" s="286">
        <f t="shared" si="83"/>
        <v>31127244</v>
      </c>
    </row>
    <row r="364" spans="1:9" s="106" customFormat="1" ht="63" x14ac:dyDescent="0.25">
      <c r="A364" s="779" t="str">
        <f>IF(B364&gt;0,VLOOKUP(B364,КВСР!A66:B1231,2),IF(C364&gt;0,VLOOKUP(C364,КФСР!A66:B1578,2),IF(D364&gt;0,VLOOKUP(D364,Программа!A$1:B$5124,2),IF(F364&gt;0,VLOOKUP(F364,КВР!A$1:B$5001,2),IF(E364&gt;0,VLOOKUP(E364,Направление!A$1:B$4812,2))))))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364" s="114"/>
      <c r="C364" s="109"/>
      <c r="D364" s="111" t="s">
        <v>396</v>
      </c>
      <c r="E364" s="109"/>
      <c r="F364" s="111"/>
      <c r="G364" s="286">
        <v>31462009</v>
      </c>
      <c r="H364" s="275">
        <f t="shared" si="83"/>
        <v>-334765</v>
      </c>
      <c r="I364" s="286">
        <f t="shared" si="83"/>
        <v>31127244</v>
      </c>
    </row>
    <row r="365" spans="1:9" s="106" customFormat="1" ht="47.25" x14ac:dyDescent="0.25">
      <c r="A365" s="779" t="str">
        <f>IF(B365&gt;0,VLOOKUP(B365,КВСР!A67:B1232,2),IF(C365&gt;0,VLOOKUP(C365,КФСР!A67:B1579,2),IF(D365&gt;0,VLOOKUP(D365,Программа!A$1:B$5124,2),IF(F365&gt;0,VLOOKUP(F365,КВР!A$1:B$5001,2),IF(E365&gt;0,VLOOKUP(E365,Направление!A$1:B$4812,2))))))</f>
        <v>Ведомственная целевая программа «Сохранение и развитие культуры Тутаевского муниципального района»</v>
      </c>
      <c r="B365" s="114"/>
      <c r="C365" s="109"/>
      <c r="D365" s="110" t="s">
        <v>494</v>
      </c>
      <c r="E365" s="109"/>
      <c r="F365" s="111"/>
      <c r="G365" s="286">
        <v>31462009</v>
      </c>
      <c r="H365" s="275">
        <f>H370+H366</f>
        <v>-334765</v>
      </c>
      <c r="I365" s="275">
        <f>I370+I366</f>
        <v>31127244</v>
      </c>
    </row>
    <row r="366" spans="1:9" s="106" customFormat="1" ht="31.5" hidden="1" x14ac:dyDescent="0.25">
      <c r="A366" s="779" t="str">
        <f>IF(B366&gt;0,VLOOKUP(B366,КВСР!A68:B1233,2),IF(C366&gt;0,VLOOKUP(C366,КФСР!A68:B1580,2),IF(D366&gt;0,VLOOKUP(D366,Программа!A$1:B$5124,2),IF(F366&gt;0,VLOOKUP(F366,КВР!A$1:B$5001,2),IF(E366&gt;0,VLOOKUP(E366,Направление!A$1:B$4812,2))))))</f>
        <v>Содействие доступу граждан к культурным ценностям</v>
      </c>
      <c r="B366" s="114"/>
      <c r="C366" s="109"/>
      <c r="D366" s="110" t="s">
        <v>512</v>
      </c>
      <c r="E366" s="109"/>
      <c r="F366" s="111"/>
      <c r="G366" s="286">
        <v>0</v>
      </c>
      <c r="H366" s="286">
        <f t="shared" ref="H366:I366" si="84">H367</f>
        <v>0</v>
      </c>
      <c r="I366" s="286">
        <f t="shared" si="84"/>
        <v>0</v>
      </c>
    </row>
    <row r="367" spans="1:9" s="106" customFormat="1" ht="31.5" hidden="1" x14ac:dyDescent="0.25">
      <c r="A367" s="779" t="str">
        <f>IF(B367&gt;0,VLOOKUP(B367,КВСР!A69:B1234,2),IF(C367&gt;0,VLOOKUP(C367,КФСР!A69:B1581,2),IF(D367&gt;0,VLOOKUP(D367,Программа!A$1:B$5124,2),IF(F367&gt;0,VLOOKUP(F367,КВР!A$1:B$5001,2),IF(E367&gt;0,VLOOKUP(E367,Направление!A$1:B$4812,2))))))</f>
        <v>Обеспечение деятельности учреждений по организации досуга в сфере культуры</v>
      </c>
      <c r="B367" s="114"/>
      <c r="C367" s="109"/>
      <c r="D367" s="110"/>
      <c r="E367" s="109">
        <v>15010</v>
      </c>
      <c r="F367" s="111"/>
      <c r="G367" s="286">
        <v>0</v>
      </c>
      <c r="H367" s="286">
        <f>H369+H368</f>
        <v>0</v>
      </c>
      <c r="I367" s="286">
        <f>I369+I368</f>
        <v>0</v>
      </c>
    </row>
    <row r="368" spans="1:9" s="106" customFormat="1" ht="63" hidden="1" x14ac:dyDescent="0.25">
      <c r="A368" s="779" t="str">
        <f>IF(B368&gt;0,VLOOKUP(B368,КВСР!A70:B1235,2),IF(C368&gt;0,VLOOKUP(C368,КФСР!A70:B1582,2),IF(D368&gt;0,VLOOKUP(D368,Программа!A$1:B$5124,2),IF(F368&gt;0,VLOOKUP(F368,КВР!A$1:B$5001,2),IF(E368&gt;0,VLOOKUP(E368,Направление!A$1:B$4812,2))))))</f>
        <v xml:space="preserve">Закупка товаров, работ и услуг для обеспечения государственных (муниципальных) нужд
</v>
      </c>
      <c r="B368" s="114"/>
      <c r="C368" s="109"/>
      <c r="D368" s="110"/>
      <c r="E368" s="109"/>
      <c r="F368" s="111">
        <v>200</v>
      </c>
      <c r="G368" s="286">
        <v>0</v>
      </c>
      <c r="H368" s="286"/>
      <c r="I368" s="286">
        <f>G368+H368</f>
        <v>0</v>
      </c>
    </row>
    <row r="369" spans="1:9" s="106" customFormat="1" ht="47.25" hidden="1" x14ac:dyDescent="0.25">
      <c r="A369" s="779" t="str">
        <f>IF(B369&gt;0,VLOOKUP(B369,КВСР!A70:B1235,2),IF(C369&gt;0,VLOOKUP(C369,КФСР!A70:B1582,2),IF(D369&gt;0,VLOOKUP(D369,Программа!A$1:B$5124,2),IF(F369&gt;0,VLOOKUP(F369,КВР!A$1:B$5001,2),IF(E369&gt;0,VLOOKUP(E369,Направление!A$1:B$4812,2))))))</f>
        <v>Предоставление субсидий бюджетным, автономным учреждениям и иным некоммерческим организациям</v>
      </c>
      <c r="B369" s="114"/>
      <c r="C369" s="109"/>
      <c r="D369" s="110"/>
      <c r="E369" s="109"/>
      <c r="F369" s="111">
        <v>600</v>
      </c>
      <c r="G369" s="286">
        <v>0</v>
      </c>
      <c r="H369" s="275"/>
      <c r="I369" s="286">
        <f>G369+H369</f>
        <v>0</v>
      </c>
    </row>
    <row r="370" spans="1:9" s="106" customFormat="1" x14ac:dyDescent="0.25">
      <c r="A370" s="779" t="str">
        <f>IF(B370&gt;0,VLOOKUP(B370,КВСР!A68:B1233,2),IF(C370&gt;0,VLOOKUP(C370,КФСР!A68:B1580,2),IF(D370&gt;0,VLOOKUP(D370,Программа!A$1:B$5124,2),IF(F370&gt;0,VLOOKUP(F370,КВР!A$1:B$5001,2),IF(E370&gt;0,VLOOKUP(E370,Направление!A$1:B$4812,2))))))</f>
        <v>Федеральный проект "Культурная среда"</v>
      </c>
      <c r="B370" s="114"/>
      <c r="C370" s="109"/>
      <c r="D370" s="111" t="s">
        <v>1570</v>
      </c>
      <c r="E370" s="109"/>
      <c r="F370" s="111"/>
      <c r="G370" s="286">
        <v>31462009</v>
      </c>
      <c r="H370" s="275">
        <f t="shared" si="83"/>
        <v>-334765</v>
      </c>
      <c r="I370" s="286">
        <f t="shared" si="83"/>
        <v>31127244</v>
      </c>
    </row>
    <row r="371" spans="1:9" s="106" customFormat="1" ht="47.25" x14ac:dyDescent="0.25">
      <c r="A371" s="779" t="str">
        <f>IF(B371&gt;0,VLOOKUP(B371,КВСР!A69:B1234,2),IF(C371&gt;0,VLOOKUP(C371,КФСР!A69:B1581,2),IF(D371&gt;0,VLOOKUP(D371,Программа!A$1:B$5124,2),IF(F371&gt;0,VLOOKUP(F371,КВР!A$1:B$5001,2),IF(E371&gt;0,VLOOKUP(E371,Направление!A$1:B$4812,2))))))</f>
        <v>Расходы на капитальный ремонт учреждений культурно-досугового типа в сельской местности</v>
      </c>
      <c r="B371" s="114"/>
      <c r="C371" s="109"/>
      <c r="D371" s="111"/>
      <c r="E371" s="109">
        <v>55133</v>
      </c>
      <c r="F371" s="111"/>
      <c r="G371" s="286">
        <v>31462009</v>
      </c>
      <c r="H371" s="275">
        <f t="shared" si="83"/>
        <v>-334765</v>
      </c>
      <c r="I371" s="286">
        <f t="shared" si="83"/>
        <v>31127244</v>
      </c>
    </row>
    <row r="372" spans="1:9" s="106" customFormat="1" ht="63" x14ac:dyDescent="0.25">
      <c r="A372" s="779" t="str">
        <f>IF(B372&gt;0,VLOOKUP(B372,КВСР!A70:B1235,2),IF(C372&gt;0,VLOOKUP(C372,КФСР!A70:B1582,2),IF(D372&gt;0,VLOOKUP(D372,Программа!A$1:B$5124,2),IF(F372&gt;0,VLOOKUP(F372,КВР!A$1:B$5001,2),IF(E372&gt;0,VLOOKUP(E372,Направление!A$1:B$4812,2))))))</f>
        <v xml:space="preserve">Закупка товаров, работ и услуг для обеспечения государственных (муниципальных) нужд
</v>
      </c>
      <c r="B372" s="114"/>
      <c r="C372" s="109"/>
      <c r="D372" s="111"/>
      <c r="E372" s="109"/>
      <c r="F372" s="111">
        <v>200</v>
      </c>
      <c r="G372" s="286">
        <v>31462009</v>
      </c>
      <c r="H372" s="275">
        <v>-334765</v>
      </c>
      <c r="I372" s="117">
        <f>G372+H372</f>
        <v>31127244</v>
      </c>
    </row>
    <row r="373" spans="1:9" s="106" customFormat="1" hidden="1" x14ac:dyDescent="0.25">
      <c r="A373" s="779" t="str">
        <f>IF(B373&gt;0,VLOOKUP(B373,КВСР!A62:B1227,2),IF(C373&gt;0,VLOOKUP(C373,КФСР!A62:B1574,2),IF(D373&gt;0,VLOOKUP(D373,Программа!A$1:B$5124,2),IF(F373&gt;0,VLOOKUP(F373,КВР!A$1:B$5001,2),IF(E373&gt;0,VLOOKUP(E373,Направление!A$1:B$4812,2))))))</f>
        <v>Охрана семьи и детства</v>
      </c>
      <c r="B373" s="114"/>
      <c r="C373" s="109">
        <v>1004</v>
      </c>
      <c r="D373" s="111"/>
      <c r="E373" s="109"/>
      <c r="F373" s="111"/>
      <c r="G373" s="286">
        <v>0</v>
      </c>
      <c r="H373" s="275">
        <f t="shared" ref="H373:I374" si="85">H374</f>
        <v>0</v>
      </c>
      <c r="I373" s="117">
        <f t="shared" si="28"/>
        <v>0</v>
      </c>
    </row>
    <row r="374" spans="1:9" s="106" customFormat="1" hidden="1" x14ac:dyDescent="0.25">
      <c r="A374" s="779" t="str">
        <f>IF(B374&gt;0,VLOOKUP(B374,КВСР!A63:B1228,2),IF(C374&gt;0,VLOOKUP(C374,КФСР!A63:B1575,2),IF(D374&gt;0,VLOOKUP(D374,Программа!A$1:B$5124,2),IF(F374&gt;0,VLOOKUP(F374,КВР!A$1:B$5001,2),IF(E374&gt;0,VLOOKUP(E374,Направление!A$1:B$4812,2))))))</f>
        <v>Непрограммные расходы бюджета</v>
      </c>
      <c r="B374" s="114"/>
      <c r="C374" s="109"/>
      <c r="D374" s="111" t="s">
        <v>311</v>
      </c>
      <c r="E374" s="109"/>
      <c r="F374" s="111"/>
      <c r="G374" s="286">
        <v>0</v>
      </c>
      <c r="H374" s="886">
        <f t="shared" si="85"/>
        <v>0</v>
      </c>
      <c r="I374" s="286">
        <f t="shared" si="85"/>
        <v>0</v>
      </c>
    </row>
    <row r="375" spans="1:9" s="106" customFormat="1" hidden="1" x14ac:dyDescent="0.25">
      <c r="A375" s="779" t="str">
        <f>IF(B375&gt;0,VLOOKUP(B375,КВСР!A66:B1231,2),IF(C375&gt;0,VLOOKUP(C375,КФСР!A66:B1578,2),IF(D375&gt;0,VLOOKUP(D375,Программа!A$1:B$5124,2),IF(F375&gt;0,VLOOKUP(F375,КВР!A$1:B$5001,2),IF(E375&gt;0,VLOOKUP(E375,Направление!A$1:B$4812,2))))))</f>
        <v>Содержание центрального аппарата</v>
      </c>
      <c r="B375" s="114"/>
      <c r="C375" s="109"/>
      <c r="D375" s="111"/>
      <c r="E375" s="109">
        <v>12010</v>
      </c>
      <c r="F375" s="111"/>
      <c r="G375" s="286">
        <v>0</v>
      </c>
      <c r="H375" s="275">
        <f t="shared" ref="H375" si="86">H376</f>
        <v>0</v>
      </c>
      <c r="I375" s="117">
        <f t="shared" si="28"/>
        <v>0</v>
      </c>
    </row>
    <row r="376" spans="1:9" s="106" customFormat="1" ht="110.25" hidden="1" x14ac:dyDescent="0.25">
      <c r="A376" s="779" t="str">
        <f>IF(B376&gt;0,VLOOKUP(B376,КВСР!A67:B1232,2),IF(C376&gt;0,VLOOKUP(C376,КФСР!A67:B1579,2),IF(D376&gt;0,VLOOKUP(D376,Программа!A$1:B$5124,2),IF(F376&gt;0,VLOOKUP(F376,КВР!A$1:B$5001,2),IF(E376&gt;0,VLOOKUP(E376,Направление!A$1:B$4812,2))))))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114"/>
      <c r="C376" s="109"/>
      <c r="D376" s="111"/>
      <c r="E376" s="109"/>
      <c r="F376" s="111">
        <v>100</v>
      </c>
      <c r="G376" s="286">
        <v>0</v>
      </c>
      <c r="H376" s="275"/>
      <c r="I376" s="117">
        <f t="shared" si="28"/>
        <v>0</v>
      </c>
    </row>
    <row r="377" spans="1:9" s="106" customFormat="1" x14ac:dyDescent="0.25">
      <c r="A377" s="779" t="str">
        <f>IF(B377&gt;0,VLOOKUP(B377,КВСР!A66:B1231,2),IF(C377&gt;0,VLOOKUP(C377,КФСР!A66:B1578,2),IF(D377&gt;0,VLOOKUP(D377,Программа!A$1:B$5124,2),IF(F377&gt;0,VLOOKUP(F377,КВР!A$1:B$5001,2),IF(E377&gt;0,VLOOKUP(E377,Направление!A$1:B$4812,2))))))</f>
        <v>Массовый спорт</v>
      </c>
      <c r="B377" s="114"/>
      <c r="C377" s="109">
        <v>1102</v>
      </c>
      <c r="D377" s="110"/>
      <c r="E377" s="109"/>
      <c r="F377" s="111"/>
      <c r="G377" s="286">
        <v>16150000</v>
      </c>
      <c r="H377" s="275">
        <f t="shared" ref="H377:I377" si="87">H378</f>
        <v>-7030000</v>
      </c>
      <c r="I377" s="286">
        <f t="shared" si="87"/>
        <v>9120000</v>
      </c>
    </row>
    <row r="378" spans="1:9" s="106" customFormat="1" ht="63" x14ac:dyDescent="0.25">
      <c r="A378" s="779" t="str">
        <f>IF(B378&gt;0,VLOOKUP(B378,КВСР!A63:B1228,2),IF(C378&gt;0,VLOOKUP(C378,КФСР!A63:B1575,2),IF(D378&gt;0,VLOOKUP(D378,Программа!A$1:B$5124,2),IF(F378&gt;0,VLOOKUP(F378,КВР!A$1:B$5001,2),IF(E378&gt;0,VLOOKUP(E378,Направление!A$1:B$4812,2))))))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78" s="114"/>
      <c r="C378" s="109"/>
      <c r="D378" s="110" t="s">
        <v>367</v>
      </c>
      <c r="E378" s="109"/>
      <c r="F378" s="111"/>
      <c r="G378" s="286">
        <v>16150000</v>
      </c>
      <c r="H378" s="275">
        <f>H379</f>
        <v>-7030000</v>
      </c>
      <c r="I378" s="286">
        <f>I379</f>
        <v>9120000</v>
      </c>
    </row>
    <row r="379" spans="1:9" s="106" customFormat="1" ht="47.25" x14ac:dyDescent="0.25">
      <c r="A379" s="779" t="str">
        <f>IF(B379&gt;0,VLOOKUP(B379,КВСР!A64:B1229,2),IF(C379&gt;0,VLOOKUP(C379,КФСР!A64:B1576,2),IF(D379&gt;0,VLOOKUP(D379,Программа!A$1:B$5124,2),IF(F379&gt;0,VLOOKUP(F379,КВР!A$1:B$5001,2),IF(E379&gt;0,VLOOKUP(E379,Направление!A$1:B$4812,2))))))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379" s="114"/>
      <c r="C379" s="109"/>
      <c r="D379" s="110" t="s">
        <v>386</v>
      </c>
      <c r="E379" s="109"/>
      <c r="F379" s="111"/>
      <c r="G379" s="286">
        <v>16150000</v>
      </c>
      <c r="H379" s="275">
        <f>H380</f>
        <v>-7030000</v>
      </c>
      <c r="I379" s="286">
        <f>I380</f>
        <v>9120000</v>
      </c>
    </row>
    <row r="380" spans="1:9" s="106" customFormat="1" ht="47.25" x14ac:dyDescent="0.25">
      <c r="A380" s="779" t="str">
        <f>IF(B380&gt;0,VLOOKUP(B380,КВСР!A65:B1230,2),IF(C380&gt;0,VLOOKUP(C380,КФСР!A65:B1577,2),IF(D380&gt;0,VLOOKUP(D380,Программа!A$1:B$5124,2),IF(F380&gt;0,VLOOKUP(F380,КВР!A$1:B$5001,2),IF(E380&gt;0,VLOOKUP(E380,Направление!A$1:B$4812,2))))))</f>
        <v>Строительство и реконструкция спортивных сооружений и укрепление материальной базы</v>
      </c>
      <c r="B380" s="114"/>
      <c r="C380" s="109"/>
      <c r="D380" s="110" t="s">
        <v>387</v>
      </c>
      <c r="E380" s="109"/>
      <c r="F380" s="111"/>
      <c r="G380" s="286">
        <v>16150000</v>
      </c>
      <c r="H380" s="275">
        <f>H381+H385+H387+H389</f>
        <v>-7030000</v>
      </c>
      <c r="I380" s="286">
        <f>I381+I385+I387+I389</f>
        <v>9120000</v>
      </c>
    </row>
    <row r="381" spans="1:9" s="106" customFormat="1" ht="47.25" x14ac:dyDescent="0.25">
      <c r="A381" s="779" t="str">
        <f>IF(B381&gt;0,VLOOKUP(B381,КВСР!A65:B1230,2),IF(C381&gt;0,VLOOKUP(C381,КФСР!A65:B1577,2),IF(D381&gt;0,VLOOKUP(D381,Программа!A$1:B$5124,2),IF(F381&gt;0,VLOOKUP(F381,КВР!A$1:B$5001,2),IF(E381&gt;0,VLOOKUP(E381,Направление!A$1:B$4812,2))))))</f>
        <v>Мероприятия по строительству, реконструкции и ремонту спортивных объектов</v>
      </c>
      <c r="B381" s="114"/>
      <c r="C381" s="109"/>
      <c r="D381" s="111"/>
      <c r="E381" s="109">
        <v>14100</v>
      </c>
      <c r="F381" s="111"/>
      <c r="G381" s="286">
        <v>16150000</v>
      </c>
      <c r="H381" s="275">
        <f>H383+H384+H382</f>
        <v>-7030000</v>
      </c>
      <c r="I381" s="275">
        <f>I383+I384+I382</f>
        <v>9120000</v>
      </c>
    </row>
    <row r="382" spans="1:9" s="106" customFormat="1" ht="63" x14ac:dyDescent="0.25">
      <c r="A382" s="779" t="str">
        <f>IF(B382&gt;0,VLOOKUP(B382,КВСР!A66:B1231,2),IF(C382&gt;0,VLOOKUP(C382,КФСР!A66:B1578,2),IF(D382&gt;0,VLOOKUP(D382,Программа!A$1:B$5124,2),IF(F382&gt;0,VLOOKUP(F382,КВР!A$1:B$5001,2),IF(E382&gt;0,VLOOKUP(E382,Направление!A$1:B$4812,2))))))</f>
        <v xml:space="preserve">Закупка товаров, работ и услуг для обеспечения государственных (муниципальных) нужд
</v>
      </c>
      <c r="B382" s="114"/>
      <c r="C382" s="109"/>
      <c r="D382" s="111"/>
      <c r="E382" s="109"/>
      <c r="F382" s="111">
        <v>200</v>
      </c>
      <c r="G382" s="286">
        <v>0</v>
      </c>
      <c r="H382" s="275">
        <v>120000</v>
      </c>
      <c r="I382" s="275">
        <f>G382+H382</f>
        <v>120000</v>
      </c>
    </row>
    <row r="383" spans="1:9" s="106" customFormat="1" ht="47.25" x14ac:dyDescent="0.25">
      <c r="A383" s="779" t="str">
        <f>IF(B383&gt;0,VLOOKUP(B383,КВСР!A65:B1230,2),IF(C383&gt;0,VLOOKUP(C383,КФСР!A65:B1577,2),IF(D383&gt;0,VLOOKUP(D383,Программа!A$1:B$5124,2),IF(F383&gt;0,VLOOKUP(F383,КВР!A$1:B$5001,2),IF(E383&gt;0,VLOOKUP(E383,Направление!A$1:B$4812,2))))))</f>
        <v>Капитальные вложения в объекты государственной (муниципальной) собственности</v>
      </c>
      <c r="B383" s="114"/>
      <c r="C383" s="109"/>
      <c r="D383" s="111"/>
      <c r="E383" s="109"/>
      <c r="F383" s="111">
        <v>400</v>
      </c>
      <c r="G383" s="286">
        <v>16150000</v>
      </c>
      <c r="H383" s="275">
        <f>-7150000</f>
        <v>-7150000</v>
      </c>
      <c r="I383" s="117">
        <f t="shared" si="28"/>
        <v>9000000</v>
      </c>
    </row>
    <row r="384" spans="1:9" s="106" customFormat="1" ht="47.25" hidden="1" x14ac:dyDescent="0.25">
      <c r="A384" s="779" t="str">
        <f>IF(B384&gt;0,VLOOKUP(B384,КВСР!A66:B1231,2),IF(C384&gt;0,VLOOKUP(C384,КФСР!A66:B1578,2),IF(D384&gt;0,VLOOKUP(D384,Программа!A$1:B$5124,2),IF(F384&gt;0,VLOOKUP(F384,КВР!A$1:B$5001,2),IF(E384&gt;0,VLOOKUP(E384,Направление!A$1:B$4812,2))))))</f>
        <v>Предоставление субсидий бюджетным, автономным учреждениям и иным некоммерческим организациям</v>
      </c>
      <c r="B384" s="114"/>
      <c r="C384" s="109"/>
      <c r="D384" s="111"/>
      <c r="E384" s="109"/>
      <c r="F384" s="111">
        <v>600</v>
      </c>
      <c r="G384" s="286">
        <v>0</v>
      </c>
      <c r="H384" s="275"/>
      <c r="I384" s="117">
        <f t="shared" si="28"/>
        <v>0</v>
      </c>
    </row>
    <row r="385" spans="1:9" s="106" customFormat="1" ht="47.25" hidden="1" x14ac:dyDescent="0.25">
      <c r="A385" s="779" t="str">
        <f>IF(B385&gt;0,VLOOKUP(B385,КВСР!A66:B1231,2),IF(C385&gt;0,VLOOKUP(C385,КФСР!A66:B1578,2),IF(D385&gt;0,VLOOKUP(D385,Программа!A$1:B$5124,2),IF(F385&gt;0,VLOOKUP(F385,КВР!A$1:B$5001,2),IF(E385&gt;0,VLOOKUP(E385,Направление!A$1:B$4812,2))))))</f>
        <v>Расходы на реализацию мероприятий инициативного бюджетирования на территории Ярославской области</v>
      </c>
      <c r="B385" s="114"/>
      <c r="C385" s="109"/>
      <c r="D385" s="111"/>
      <c r="E385" s="109">
        <v>15350</v>
      </c>
      <c r="F385" s="111"/>
      <c r="G385" s="286">
        <v>0</v>
      </c>
      <c r="H385" s="275">
        <f t="shared" ref="H385:I385" si="88">H386</f>
        <v>0</v>
      </c>
      <c r="I385" s="286">
        <f t="shared" si="88"/>
        <v>0</v>
      </c>
    </row>
    <row r="386" spans="1:9" s="106" customFormat="1" ht="63" hidden="1" x14ac:dyDescent="0.25">
      <c r="A386" s="779" t="str">
        <f>IF(B386&gt;0,VLOOKUP(B386,КВСР!A67:B1232,2),IF(C386&gt;0,VLOOKUP(C386,КФСР!A67:B1579,2),IF(D386&gt;0,VLOOKUP(D386,Программа!A$1:B$5124,2),IF(F386&gt;0,VLOOKUP(F386,КВР!A$1:B$5001,2),IF(E386&gt;0,VLOOKUP(E386,Направление!A$1:B$4812,2))))))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11"/>
      <c r="E386" s="109"/>
      <c r="F386" s="111">
        <v>200</v>
      </c>
      <c r="G386" s="286">
        <v>0</v>
      </c>
      <c r="H386" s="275"/>
      <c r="I386" s="117">
        <f>G386+H386</f>
        <v>0</v>
      </c>
    </row>
    <row r="387" spans="1:9" s="106" customFormat="1" ht="47.25" hidden="1" x14ac:dyDescent="0.25">
      <c r="A387" s="779" t="str">
        <f>IF(B387&gt;0,VLOOKUP(B387,КВСР!A68:B1233,2),IF(C387&gt;0,VLOOKUP(C387,КФСР!A68:B1580,2),IF(D387&gt;0,VLOOKUP(D387,Программа!A$1:B$5124,2),IF(F387&gt;0,VLOOKUP(F387,КВР!A$1:B$5001,2),IF(E387&gt;0,VLOOKUP(E387,Направление!A$1:B$4812,2))))))</f>
        <v>Расходы на реализацию мероприятий инициативного бюджетирования на территории Ярославской области</v>
      </c>
      <c r="B387" s="114"/>
      <c r="C387" s="109"/>
      <c r="D387" s="111"/>
      <c r="E387" s="109">
        <v>75350</v>
      </c>
      <c r="F387" s="111"/>
      <c r="G387" s="286">
        <v>0</v>
      </c>
      <c r="H387" s="275">
        <f t="shared" ref="H387:I387" si="89">H388</f>
        <v>0</v>
      </c>
      <c r="I387" s="286">
        <f t="shared" si="89"/>
        <v>0</v>
      </c>
    </row>
    <row r="388" spans="1:9" s="106" customFormat="1" ht="63" hidden="1" x14ac:dyDescent="0.25">
      <c r="A388" s="779" t="str">
        <f>IF(B388&gt;0,VLOOKUP(B388,КВСР!A69:B1234,2),IF(C388&gt;0,VLOOKUP(C388,КФСР!A69:B1581,2),IF(D388&gt;0,VLOOKUP(D388,Программа!A$1:B$5124,2),IF(F388&gt;0,VLOOKUP(F388,КВР!A$1:B$5001,2),IF(E388&gt;0,VLOOKUP(E388,Направление!A$1:B$4812,2))))))</f>
        <v xml:space="preserve">Закупка товаров, работ и услуг для обеспечения государственных (муниципальных) нужд
</v>
      </c>
      <c r="B388" s="114"/>
      <c r="C388" s="109"/>
      <c r="D388" s="111"/>
      <c r="E388" s="109"/>
      <c r="F388" s="111">
        <v>200</v>
      </c>
      <c r="G388" s="286">
        <v>0</v>
      </c>
      <c r="H388" s="275"/>
      <c r="I388" s="117">
        <f t="shared" ref="I388" si="90">G388+H388</f>
        <v>0</v>
      </c>
    </row>
    <row r="389" spans="1:9" s="106" customFormat="1" ht="78.75" hidden="1" x14ac:dyDescent="0.25">
      <c r="A389" s="779" t="str">
        <f>IF(B389&gt;0,VLOOKUP(B389,КВСР!A70:B1235,2),IF(C389&gt;0,VLOOKUP(C389,КФСР!A70:B1582,2),IF(D389&gt;0,VLOOKUP(D389,Программа!A$1:B$5124,2),IF(F389&gt;0,VLOOKUP(F389,КВР!A$1:B$5001,2),IF(E389&gt;0,VLOOKUP(E389,Направление!A$1:B$4812,2))))))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9" s="114"/>
      <c r="C389" s="109"/>
      <c r="D389" s="111"/>
      <c r="E389" s="109">
        <v>75870</v>
      </c>
      <c r="F389" s="111"/>
      <c r="G389" s="286">
        <v>0</v>
      </c>
      <c r="H389" s="275">
        <f t="shared" ref="H389:I389" si="91">H390</f>
        <v>0</v>
      </c>
      <c r="I389" s="286">
        <f t="shared" si="91"/>
        <v>0</v>
      </c>
    </row>
    <row r="390" spans="1:9" s="106" customFormat="1" ht="63" hidden="1" x14ac:dyDescent="0.25">
      <c r="A390" s="779" t="str">
        <f>IF(B390&gt;0,VLOOKUP(B390,КВСР!A71:B1236,2),IF(C390&gt;0,VLOOKUP(C390,КФСР!A71:B1583,2),IF(D390&gt;0,VLOOKUP(D390,Программа!A$1:B$5124,2),IF(F390&gt;0,VLOOKUP(F390,КВР!A$1:B$5001,2),IF(E390&gt;0,VLOOKUP(E390,Направление!A$1:B$4812,2))))))</f>
        <v xml:space="preserve">Закупка товаров, работ и услуг для обеспечения государственных (муниципальных) нужд
</v>
      </c>
      <c r="B390" s="114"/>
      <c r="C390" s="109"/>
      <c r="D390" s="111"/>
      <c r="E390" s="109"/>
      <c r="F390" s="111">
        <v>200</v>
      </c>
      <c r="G390" s="286">
        <v>0</v>
      </c>
      <c r="H390" s="275"/>
      <c r="I390" s="117">
        <f>G390+H390</f>
        <v>0</v>
      </c>
    </row>
    <row r="391" spans="1:9" s="106" customFormat="1" x14ac:dyDescent="0.25">
      <c r="A391" s="779" t="str">
        <f>IF(B391&gt;0,VLOOKUP(B391,КВСР!A66:B1231,2),IF(C391&gt;0,VLOOKUP(C391,КФСР!A66:B1578,2),IF(D391&gt;0,VLOOKUP(D391,Программа!A$1:B$5124,2),IF(F391&gt;0,VLOOKUP(F391,КВР!A$1:B$5001,2),IF(E391&gt;0,VLOOKUP(E391,Направление!A$1:B$4812,2))))))</f>
        <v>Периодическая печать и издательства</v>
      </c>
      <c r="B391" s="114"/>
      <c r="C391" s="109">
        <v>1202</v>
      </c>
      <c r="D391" s="111"/>
      <c r="E391" s="109"/>
      <c r="F391" s="111"/>
      <c r="G391" s="286">
        <v>5792500</v>
      </c>
      <c r="H391" s="286">
        <f>H392+H400+H396</f>
        <v>210000</v>
      </c>
      <c r="I391" s="286">
        <f>I392+I400+I396</f>
        <v>6002500</v>
      </c>
    </row>
    <row r="392" spans="1:9" s="106" customFormat="1" ht="94.5" x14ac:dyDescent="0.25">
      <c r="A392" s="779" t="str">
        <f>IF(B392&gt;0,VLOOKUP(B392,КВСР!A67:B1232,2),IF(C392&gt;0,VLOOKUP(C392,КФСР!A67:B1579,2),IF(D392&gt;0,VLOOKUP(D392,Программа!A$1:B$5124,2),IF(F392&gt;0,VLOOKUP(F392,КВР!A$1:B$5001,2),IF(E392&gt;0,VLOOKUP(E392,Направление!A$1:B$4812,2))))))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92" s="114"/>
      <c r="C392" s="109"/>
      <c r="D392" s="111" t="s">
        <v>322</v>
      </c>
      <c r="E392" s="109"/>
      <c r="F392" s="111"/>
      <c r="G392" s="286">
        <v>60000</v>
      </c>
      <c r="H392" s="286">
        <f t="shared" ref="H392:I394" si="92">H393</f>
        <v>0</v>
      </c>
      <c r="I392" s="286">
        <f t="shared" si="92"/>
        <v>60000</v>
      </c>
    </row>
    <row r="393" spans="1:9" s="106" customFormat="1" ht="94.5" x14ac:dyDescent="0.25">
      <c r="A393" s="779" t="str">
        <f>IF(B393&gt;0,VLOOKUP(B393,КВСР!A68:B1233,2),IF(C393&gt;0,VLOOKUP(C393,КФСР!A68:B1580,2),IF(D393&gt;0,VLOOKUP(D393,Программа!A$1:B$5124,2),IF(F393&gt;0,VLOOKUP(F393,КВР!A$1:B$5001,2),IF(E393&gt;0,VLOOKUP(E393,Направление!A$1:B$4812,2))))))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93" s="114"/>
      <c r="C393" s="109"/>
      <c r="D393" s="111" t="s">
        <v>1518</v>
      </c>
      <c r="E393" s="109"/>
      <c r="F393" s="111"/>
      <c r="G393" s="286">
        <v>60000</v>
      </c>
      <c r="H393" s="286">
        <f t="shared" si="92"/>
        <v>0</v>
      </c>
      <c r="I393" s="286">
        <f t="shared" si="92"/>
        <v>60000</v>
      </c>
    </row>
    <row r="394" spans="1:9" s="106" customFormat="1" ht="31.5" x14ac:dyDescent="0.25">
      <c r="A394" s="779" t="str">
        <f>IF(B394&gt;0,VLOOKUP(B394,КВСР!A69:B1234,2),IF(C394&gt;0,VLOOKUP(C394,КФСР!A69:B1581,2),IF(D394&gt;0,VLOOKUP(D394,Программа!A$1:B$5124,2),IF(F394&gt;0,VLOOKUP(F394,КВР!A$1:B$5001,2),IF(E394&gt;0,VLOOKUP(E394,Направление!A$1:B$4812,2))))))</f>
        <v>Внедрение проектной деятельности и бережливых технологий</v>
      </c>
      <c r="B394" s="114"/>
      <c r="C394" s="109"/>
      <c r="D394" s="111"/>
      <c r="E394" s="109">
        <v>12300</v>
      </c>
      <c r="F394" s="111"/>
      <c r="G394" s="286">
        <v>60000</v>
      </c>
      <c r="H394" s="286">
        <f t="shared" si="92"/>
        <v>0</v>
      </c>
      <c r="I394" s="286">
        <f t="shared" si="92"/>
        <v>60000</v>
      </c>
    </row>
    <row r="395" spans="1:9" s="106" customFormat="1" ht="47.25" x14ac:dyDescent="0.25">
      <c r="A395" s="779" t="str">
        <f>IF(B395&gt;0,VLOOKUP(B395,КВСР!A70:B1235,2),IF(C395&gt;0,VLOOKUP(C395,КФСР!A70:B1582,2),IF(D395&gt;0,VLOOKUP(D395,Программа!A$1:B$5124,2),IF(F395&gt;0,VLOOKUP(F395,КВР!A$1:B$5001,2),IF(E395&gt;0,VLOOKUP(E395,Направление!A$1:B$4812,2))))))</f>
        <v>Предоставление субсидий бюджетным, автономным учреждениям и иным некоммерческим организациям</v>
      </c>
      <c r="B395" s="114"/>
      <c r="C395" s="109"/>
      <c r="D395" s="111"/>
      <c r="E395" s="109"/>
      <c r="F395" s="111">
        <v>600</v>
      </c>
      <c r="G395" s="286">
        <v>60000</v>
      </c>
      <c r="H395" s="330"/>
      <c r="I395" s="286">
        <f>G395+H395</f>
        <v>60000</v>
      </c>
    </row>
    <row r="396" spans="1:9" s="106" customFormat="1" ht="63" x14ac:dyDescent="0.25">
      <c r="A396" s="779" t="str">
        <f>IF(B396&gt;0,VLOOKUP(B396,КВСР!A71:B1236,2),IF(C396&gt;0,VLOOKUP(C396,КФСР!A71:B1583,2),IF(D396&gt;0,VLOOKUP(D396,Программа!A$1:B$5124,2),IF(F396&gt;0,VLOOKUP(F396,КВР!A$1:B$5001,2),IF(E396&gt;0,VLOOKUP(E396,Направление!A$1:B$4812,2))))))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96" s="114"/>
      <c r="C396" s="109"/>
      <c r="D396" s="111" t="s">
        <v>426</v>
      </c>
      <c r="E396" s="109"/>
      <c r="F396" s="111"/>
      <c r="G396" s="286">
        <v>15500</v>
      </c>
      <c r="H396" s="286">
        <f t="shared" ref="H396:I398" si="93">H397</f>
        <v>0</v>
      </c>
      <c r="I396" s="286">
        <f t="shared" si="93"/>
        <v>15500</v>
      </c>
    </row>
    <row r="397" spans="1:9" s="106" customFormat="1" ht="31.5" x14ac:dyDescent="0.25">
      <c r="A397" s="779" t="str">
        <f>IF(B397&gt;0,VLOOKUP(B397,КВСР!A72:B1237,2),IF(C397&gt;0,VLOOKUP(C397,КФСР!A72:B1584,2),IF(D397&gt;0,VLOOKUP(D397,Программа!A$1:B$5124,2),IF(F397&gt;0,VLOOKUP(F397,КВР!A$1:B$5001,2),IF(E397&gt;0,VLOOKUP(E397,Направление!A$1:B$4812,2))))))</f>
        <v>Воспрепятствование проявлениям терроризма и экстремизма</v>
      </c>
      <c r="B397" s="114"/>
      <c r="C397" s="109"/>
      <c r="D397" s="111" t="s">
        <v>1781</v>
      </c>
      <c r="E397" s="109"/>
      <c r="F397" s="111"/>
      <c r="G397" s="286">
        <v>15500</v>
      </c>
      <c r="H397" s="286">
        <f t="shared" si="93"/>
        <v>0</v>
      </c>
      <c r="I397" s="286">
        <f t="shared" si="93"/>
        <v>15500</v>
      </c>
    </row>
    <row r="398" spans="1:9" s="106" customFormat="1" ht="47.25" x14ac:dyDescent="0.25">
      <c r="A398" s="779" t="str">
        <f>IF(B398&gt;0,VLOOKUP(B398,КВСР!A73:B1238,2),IF(C398&gt;0,VLOOKUP(C398,КФСР!A73:B1585,2),IF(D398&gt;0,VLOOKUP(D398,Программа!A$1:B$5124,2),IF(F398&gt;0,VLOOKUP(F398,КВР!A$1:B$5001,2),IF(E398&gt;0,VLOOKUP(E398,Направление!A$1:B$4812,2))))))</f>
        <v>Расходы на профилактику правонарушений и усиления борьбы с преступностью</v>
      </c>
      <c r="B398" s="114"/>
      <c r="C398" s="109"/>
      <c r="D398" s="111"/>
      <c r="E398" s="109">
        <v>12250</v>
      </c>
      <c r="F398" s="111"/>
      <c r="G398" s="286">
        <v>15500</v>
      </c>
      <c r="H398" s="286">
        <f t="shared" si="93"/>
        <v>0</v>
      </c>
      <c r="I398" s="286">
        <f t="shared" si="93"/>
        <v>15500</v>
      </c>
    </row>
    <row r="399" spans="1:9" s="106" customFormat="1" ht="47.25" x14ac:dyDescent="0.25">
      <c r="A399" s="779" t="str">
        <f>IF(B399&gt;0,VLOOKUP(B399,КВСР!A74:B1239,2),IF(C399&gt;0,VLOOKUP(C399,КФСР!A74:B1586,2),IF(D399&gt;0,VLOOKUP(D399,Программа!A$1:B$5124,2),IF(F399&gt;0,VLOOKUP(F399,КВР!A$1:B$5001,2),IF(E399&gt;0,VLOOKUP(E399,Направление!A$1:B$4812,2))))))</f>
        <v>Предоставление субсидий бюджетным, автономным учреждениям и иным некоммерческим организациям</v>
      </c>
      <c r="B399" s="114"/>
      <c r="C399" s="109"/>
      <c r="D399" s="111"/>
      <c r="E399" s="109"/>
      <c r="F399" s="111">
        <v>600</v>
      </c>
      <c r="G399" s="286">
        <v>15500</v>
      </c>
      <c r="H399" s="330"/>
      <c r="I399" s="286">
        <f t="shared" ref="I399" si="94">G399+H399</f>
        <v>15500</v>
      </c>
    </row>
    <row r="400" spans="1:9" s="106" customFormat="1" x14ac:dyDescent="0.25">
      <c r="A400" s="779" t="str">
        <f>IF(B400&gt;0,VLOOKUP(B400,КВСР!A67:B1232,2),IF(C400&gt;0,VLOOKUP(C400,КФСР!A67:B1579,2),IF(D400&gt;0,VLOOKUP(D400,Программа!A$1:B$5124,2),IF(F400&gt;0,VLOOKUP(F400,КВР!A$1:B$5001,2),IF(E400&gt;0,VLOOKUP(E400,Направление!A$1:B$4812,2))))))</f>
        <v>Непрограммные расходы бюджета</v>
      </c>
      <c r="B400" s="114"/>
      <c r="C400" s="109"/>
      <c r="D400" s="111" t="s">
        <v>311</v>
      </c>
      <c r="E400" s="109"/>
      <c r="F400" s="111"/>
      <c r="G400" s="286">
        <v>5717000</v>
      </c>
      <c r="H400" s="374">
        <f t="shared" ref="H400:I401" si="95">H401</f>
        <v>210000</v>
      </c>
      <c r="I400" s="286">
        <f t="shared" si="95"/>
        <v>5927000</v>
      </c>
    </row>
    <row r="401" spans="1:9" s="106" customFormat="1" x14ac:dyDescent="0.25">
      <c r="A401" s="779" t="str">
        <f>IF(B401&gt;0,VLOOKUP(B401,КВСР!A68:B1233,2),IF(C401&gt;0,VLOOKUP(C401,КФСР!A68:B1580,2),IF(D401&gt;0,VLOOKUP(D401,Программа!A$1:B$5124,2),IF(F401&gt;0,VLOOKUP(F401,КВР!A$1:B$5001,2),IF(E401&gt;0,VLOOKUP(E401,Направление!A$1:B$4812,2))))))</f>
        <v xml:space="preserve">Поддержка периодических изданий </v>
      </c>
      <c r="B401" s="114"/>
      <c r="C401" s="109"/>
      <c r="D401" s="111"/>
      <c r="E401" s="109">
        <v>12750</v>
      </c>
      <c r="F401" s="111"/>
      <c r="G401" s="286">
        <v>5717000</v>
      </c>
      <c r="H401" s="275">
        <f t="shared" si="95"/>
        <v>210000</v>
      </c>
      <c r="I401" s="286">
        <f t="shared" si="95"/>
        <v>5927000</v>
      </c>
    </row>
    <row r="402" spans="1:9" s="106" customFormat="1" ht="47.25" x14ac:dyDescent="0.25">
      <c r="A402" s="779" t="str">
        <f>IF(B402&gt;0,VLOOKUP(B402,КВСР!A69:B1234,2),IF(C402&gt;0,VLOOKUP(C402,КФСР!A69:B1581,2),IF(D402&gt;0,VLOOKUP(D402,Программа!A$1:B$5124,2),IF(F402&gt;0,VLOOKUP(F402,КВР!A$1:B$5001,2),IF(E402&gt;0,VLOOKUP(E402,Направление!A$1:B$4812,2))))))</f>
        <v>Предоставление субсидий бюджетным, автономным учреждениям и иным некоммерческим организациям</v>
      </c>
      <c r="B402" s="114"/>
      <c r="C402" s="109"/>
      <c r="D402" s="111"/>
      <c r="E402" s="109"/>
      <c r="F402" s="111">
        <v>600</v>
      </c>
      <c r="G402" s="286">
        <v>5717000</v>
      </c>
      <c r="H402" s="275">
        <v>210000</v>
      </c>
      <c r="I402" s="117">
        <f>G402+H402</f>
        <v>5927000</v>
      </c>
    </row>
    <row r="403" spans="1:9" s="119" customFormat="1" ht="31.5" x14ac:dyDescent="0.25">
      <c r="A403" s="778" t="str">
        <f>IF(B403&gt;0,VLOOKUP(B403,КВСР!A76:B1241,2),IF(C403&gt;0,VLOOKUP(C403,КФСР!A76:B1588,2),IF(D403&gt;0,VLOOKUP(D403,Программа!A$1:B$5124,2),IF(F403&gt;0,VLOOKUP(F403,КВР!A$1:B$5001,2),IF(E403&gt;0,VLOOKUP(E403,Направление!A$1:B$4812,2))))))</f>
        <v>Департамент муниципального имущества Администрации ТМР</v>
      </c>
      <c r="B403" s="108">
        <v>952</v>
      </c>
      <c r="C403" s="109"/>
      <c r="D403" s="110"/>
      <c r="E403" s="109"/>
      <c r="F403" s="111"/>
      <c r="G403" s="329">
        <v>23898147</v>
      </c>
      <c r="H403" s="329">
        <f>H404+H445+H451+H459</f>
        <v>-5827134</v>
      </c>
      <c r="I403" s="329">
        <f>I404+I445+I451+I459</f>
        <v>18071013</v>
      </c>
    </row>
    <row r="404" spans="1:9" s="119" customFormat="1" x14ac:dyDescent="0.25">
      <c r="A404" s="779" t="str">
        <f>IF(B404&gt;0,VLOOKUP(B404,КВСР!A77:B1242,2),IF(C404&gt;0,VLOOKUP(C404,КФСР!A77:B1589,2),IF(D404&gt;0,VLOOKUP(D404,Программа!A$1:B$5124,2),IF(F404&gt;0,VLOOKUP(F404,КВР!A$1:B$5001,2),IF(E404&gt;0,VLOOKUP(E404,Направление!A$1:B$4812,2))))))</f>
        <v>Другие общегосударственные вопросы</v>
      </c>
      <c r="B404" s="114"/>
      <c r="C404" s="109">
        <v>113</v>
      </c>
      <c r="D404" s="110"/>
      <c r="E404" s="109"/>
      <c r="F404" s="111"/>
      <c r="G404" s="330">
        <v>22488147</v>
      </c>
      <c r="H404" s="330">
        <f>H425+H418+H411+H405</f>
        <v>-5977134</v>
      </c>
      <c r="I404" s="330">
        <f>I425+I418+I411+I405</f>
        <v>16511013</v>
      </c>
    </row>
    <row r="405" spans="1:9" s="119" customFormat="1" ht="47.25" x14ac:dyDescent="0.25">
      <c r="A405" s="779" t="str">
        <f>IF(B405&gt;0,VLOOKUP(B405,КВСР!A78:B1243,2),IF(C405&gt;0,VLOOKUP(C405,КФСР!A78:B1590,2),IF(D405&gt;0,VLOOKUP(D405,Программа!A$1:B$5124,2),IF(F405&gt;0,VLOOKUP(F405,КВР!A$1:B$5001,2),IF(E405&gt;0,VLOOKUP(E405,Направление!A$1:B$4812,2))))))</f>
        <v xml:space="preserve">Муниципальная программа "Управление земельно-имущественным комплексом Тутаевского муниципального района" </v>
      </c>
      <c r="B405" s="114"/>
      <c r="C405" s="109"/>
      <c r="D405" s="110" t="s">
        <v>529</v>
      </c>
      <c r="E405" s="109"/>
      <c r="F405" s="111"/>
      <c r="G405" s="268">
        <v>8139000</v>
      </c>
      <c r="H405" s="268">
        <f t="shared" ref="H405:H407" si="96">H406</f>
        <v>-5876477</v>
      </c>
      <c r="I405" s="117">
        <f t="shared" si="28"/>
        <v>2262523</v>
      </c>
    </row>
    <row r="406" spans="1:9" s="119" customFormat="1" ht="31.5" x14ac:dyDescent="0.25">
      <c r="A406" s="779" t="str">
        <f>IF(B406&gt;0,VLOOKUP(B406,КВСР!A79:B1244,2),IF(C406&gt;0,VLOOKUP(C406,КФСР!A79:B1591,2),IF(D406&gt;0,VLOOKUP(D406,Программа!A$1:B$5124,2),IF(F406&gt;0,VLOOKUP(F406,КВР!A$1:B$5001,2),IF(E406&gt;0,VLOOKUP(E406,Направление!A$1:B$4812,2))))))</f>
        <v>Повышение качества управления имуществом и земельными ресурсами</v>
      </c>
      <c r="B406" s="114"/>
      <c r="C406" s="109"/>
      <c r="D406" s="110" t="s">
        <v>530</v>
      </c>
      <c r="E406" s="109"/>
      <c r="F406" s="111"/>
      <c r="G406" s="268">
        <v>8139000</v>
      </c>
      <c r="H406" s="268">
        <f>H407+H409</f>
        <v>-5876477</v>
      </c>
      <c r="I406" s="117">
        <f t="shared" si="28"/>
        <v>2262523</v>
      </c>
    </row>
    <row r="407" spans="1:9" s="119" customFormat="1" ht="31.5" x14ac:dyDescent="0.25">
      <c r="A407" s="779" t="str">
        <f>IF(B407&gt;0,VLOOKUP(B407,КВСР!A80:B1245,2),IF(C407&gt;0,VLOOKUP(C407,КФСР!A80:B1592,2),IF(D407&gt;0,VLOOKUP(D407,Программа!A$1:B$5124,2),IF(F407&gt;0,VLOOKUP(F407,КВР!A$1:B$5001,2),IF(E407&gt;0,VLOOKUP(E407,Направление!A$1:B$4812,2))))))</f>
        <v>Комплекс кадастровых работ на объектах газораспределения</v>
      </c>
      <c r="B407" s="114"/>
      <c r="C407" s="109"/>
      <c r="D407" s="110"/>
      <c r="E407" s="109">
        <v>70620</v>
      </c>
      <c r="F407" s="111"/>
      <c r="G407" s="268">
        <v>7555640</v>
      </c>
      <c r="H407" s="268">
        <f t="shared" si="96"/>
        <v>-5427417</v>
      </c>
      <c r="I407" s="117">
        <f t="shared" si="28"/>
        <v>2128223</v>
      </c>
    </row>
    <row r="408" spans="1:9" s="119" customFormat="1" ht="63" x14ac:dyDescent="0.25">
      <c r="A408" s="779" t="str">
        <f>IF(B408&gt;0,VLOOKUP(B408,КВСР!A81:B1246,2),IF(C408&gt;0,VLOOKUP(C408,КФСР!A81:B1593,2),IF(D408&gt;0,VLOOKUP(D408,Программа!A$1:B$5124,2),IF(F408&gt;0,VLOOKUP(F408,КВР!A$1:B$5001,2),IF(E408&gt;0,VLOOKUP(E408,Направление!A$1:B$4812,2))))))</f>
        <v xml:space="preserve">Закупка товаров, работ и услуг для обеспечения государственных (муниципальных) нужд
</v>
      </c>
      <c r="B408" s="114"/>
      <c r="C408" s="109"/>
      <c r="D408" s="110"/>
      <c r="E408" s="109"/>
      <c r="F408" s="111">
        <v>200</v>
      </c>
      <c r="G408" s="268">
        <v>7555640</v>
      </c>
      <c r="H408" s="330">
        <f>-6010777+449060+134400-100</f>
        <v>-5427417</v>
      </c>
      <c r="I408" s="117">
        <f t="shared" si="28"/>
        <v>2128223</v>
      </c>
    </row>
    <row r="409" spans="1:9" s="119" customFormat="1" ht="31.5" x14ac:dyDescent="0.25">
      <c r="A409" s="779" t="str">
        <f>IF(B409&gt;0,VLOOKUP(B409,КВСР!A82:B1247,2),IF(C409&gt;0,VLOOKUP(C409,КФСР!A82:B1594,2),IF(D409&gt;0,VLOOKUP(D409,Программа!A$1:B$5124,2),IF(F409&gt;0,VLOOKUP(F409,КВР!A$1:B$5001,2),IF(E409&gt;0,VLOOKUP(E409,Направление!A$1:B$4812,2))))))</f>
        <v>Комплекс кадастровых работ на объектах газораспределения</v>
      </c>
      <c r="B409" s="114"/>
      <c r="C409" s="109"/>
      <c r="D409" s="110"/>
      <c r="E409" s="109">
        <v>70626</v>
      </c>
      <c r="F409" s="111"/>
      <c r="G409" s="268">
        <v>583360</v>
      </c>
      <c r="H409" s="268">
        <f t="shared" ref="H409" si="97">H410</f>
        <v>-449060</v>
      </c>
      <c r="I409" s="117">
        <f t="shared" si="28"/>
        <v>134300</v>
      </c>
    </row>
    <row r="410" spans="1:9" s="119" customFormat="1" ht="63" x14ac:dyDescent="0.25">
      <c r="A410" s="779" t="str">
        <f>IF(B410&gt;0,VLOOKUP(B410,КВСР!A83:B1248,2),IF(C410&gt;0,VLOOKUP(C410,КФСР!A83:B1595,2),IF(D410&gt;0,VLOOKUP(D410,Программа!A$1:B$5124,2),IF(F410&gt;0,VLOOKUP(F410,КВР!A$1:B$5001,2),IF(E410&gt;0,VLOOKUP(E410,Направление!A$1:B$4812,2))))))</f>
        <v xml:space="preserve">Закупка товаров, работ и услуг для обеспечения государственных (муниципальных) нужд
</v>
      </c>
      <c r="B410" s="114"/>
      <c r="C410" s="109"/>
      <c r="D410" s="110"/>
      <c r="E410" s="109"/>
      <c r="F410" s="111">
        <v>200</v>
      </c>
      <c r="G410" s="268">
        <v>583360</v>
      </c>
      <c r="H410" s="330">
        <v>-449060</v>
      </c>
      <c r="I410" s="117">
        <f t="shared" si="28"/>
        <v>134300</v>
      </c>
    </row>
    <row r="411" spans="1:9" s="119" customFormat="1" ht="94.5" x14ac:dyDescent="0.25">
      <c r="A411" s="779" t="str">
        <f>IF(B411&gt;0,VLOOKUP(B411,КВСР!A78:B1243,2),IF(C411&gt;0,VLOOKUP(C411,КФСР!A78:B1590,2),IF(D411&gt;0,VLOOKUP(D411,Программа!A$1:B$5124,2),IF(F411&gt;0,VLOOKUP(F411,КВР!A$1:B$5001,2),IF(E411&gt;0,VLOOKUP(E411,Направление!A$1:B$4812,2))))))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11" s="114"/>
      <c r="C411" s="109"/>
      <c r="D411" s="110" t="s">
        <v>322</v>
      </c>
      <c r="E411" s="109"/>
      <c r="F411" s="111"/>
      <c r="G411" s="268">
        <v>100000</v>
      </c>
      <c r="H411" s="330">
        <f>H412+H415</f>
        <v>0</v>
      </c>
      <c r="I411" s="330">
        <f>I412+I415</f>
        <v>100000</v>
      </c>
    </row>
    <row r="412" spans="1:9" s="119" customFormat="1" ht="78.75" hidden="1" x14ac:dyDescent="0.25">
      <c r="A412" s="779" t="str">
        <f>IF(B412&gt;0,VLOOKUP(B412,КВСР!A79:B1244,2),IF(C412&gt;0,VLOOKUP(C412,КФСР!A79:B1591,2),IF(D412&gt;0,VLOOKUP(D412,Программа!A$1:B$5124,2),IF(F412&gt;0,VLOOKUP(F412,КВР!A$1:B$5001,2),IF(E412&gt;0,VLOOKUP(E412,Направление!A$1:B$4812,2))))))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12" s="114"/>
      <c r="C412" s="109"/>
      <c r="D412" s="110" t="s">
        <v>323</v>
      </c>
      <c r="E412" s="109"/>
      <c r="F412" s="111"/>
      <c r="G412" s="268">
        <v>0</v>
      </c>
      <c r="H412" s="330">
        <f t="shared" ref="H412:I413" si="98">H413</f>
        <v>0</v>
      </c>
      <c r="I412" s="330">
        <f t="shared" si="98"/>
        <v>0</v>
      </c>
    </row>
    <row r="413" spans="1:9" s="119" customFormat="1" ht="31.5" hidden="1" x14ac:dyDescent="0.25">
      <c r="A413" s="779" t="str">
        <f>IF(B413&gt;0,VLOOKUP(B413,КВСР!A80:B1245,2),IF(C413&gt;0,VLOOKUP(C413,КФСР!A80:B1592,2),IF(D413&gt;0,VLOOKUP(D413,Программа!A$1:B$5124,2),IF(F413&gt;0,VLOOKUP(F413,КВР!A$1:B$5001,2),IF(E413&gt;0,VLOOKUP(E413,Направление!A$1:B$4812,2))))))</f>
        <v>Расходы на развитие муниципальной службы</v>
      </c>
      <c r="B413" s="114"/>
      <c r="C413" s="109"/>
      <c r="D413" s="110"/>
      <c r="E413" s="109">
        <v>12200</v>
      </c>
      <c r="F413" s="111"/>
      <c r="G413" s="268">
        <v>0</v>
      </c>
      <c r="H413" s="330">
        <f t="shared" si="98"/>
        <v>0</v>
      </c>
      <c r="I413" s="330">
        <f t="shared" si="98"/>
        <v>0</v>
      </c>
    </row>
    <row r="414" spans="1:9" s="119" customFormat="1" ht="63" hidden="1" x14ac:dyDescent="0.25">
      <c r="A414" s="779" t="str">
        <f>IF(B414&gt;0,VLOOKUP(B414,КВСР!A81:B1246,2),IF(C414&gt;0,VLOOKUP(C414,КФСР!A81:B1593,2),IF(D414&gt;0,VLOOKUP(D414,Программа!A$1:B$5124,2),IF(F414&gt;0,VLOOKUP(F414,КВР!A$1:B$5001,2),IF(E414&gt;0,VLOOKUP(E414,Направление!A$1:B$4812,2))))))</f>
        <v xml:space="preserve">Закупка товаров, работ и услуг для обеспечения государственных (муниципальных) нужд
</v>
      </c>
      <c r="B414" s="114"/>
      <c r="C414" s="109"/>
      <c r="D414" s="110"/>
      <c r="E414" s="109"/>
      <c r="F414" s="111">
        <v>200</v>
      </c>
      <c r="G414" s="268">
        <v>0</v>
      </c>
      <c r="H414" s="330"/>
      <c r="I414" s="117">
        <f t="shared" si="28"/>
        <v>0</v>
      </c>
    </row>
    <row r="415" spans="1:9" s="119" customFormat="1" ht="94.5" x14ac:dyDescent="0.25">
      <c r="A415" s="779" t="str">
        <f>IF(B415&gt;0,VLOOKUP(B415,КВСР!A82:B1247,2),IF(C415&gt;0,VLOOKUP(C415,КФСР!A82:B1594,2),IF(D415&gt;0,VLOOKUP(D415,Программа!A$1:B$5124,2),IF(F415&gt;0,VLOOKUP(F415,КВР!A$1:B$5001,2),IF(E415&gt;0,VLOOKUP(E415,Направление!A$1:B$4812,2))))))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15" s="114"/>
      <c r="C415" s="109"/>
      <c r="D415" s="110" t="s">
        <v>1518</v>
      </c>
      <c r="E415" s="109"/>
      <c r="F415" s="111"/>
      <c r="G415" s="268">
        <v>100000</v>
      </c>
      <c r="H415" s="330">
        <f t="shared" ref="H415:I416" si="99">H416</f>
        <v>0</v>
      </c>
      <c r="I415" s="268">
        <f t="shared" si="99"/>
        <v>100000</v>
      </c>
    </row>
    <row r="416" spans="1:9" s="119" customFormat="1" ht="31.5" x14ac:dyDescent="0.25">
      <c r="A416" s="779" t="str">
        <f>IF(B416&gt;0,VLOOKUP(B416,КВСР!A83:B1248,2),IF(C416&gt;0,VLOOKUP(C416,КФСР!A83:B1595,2),IF(D416&gt;0,VLOOKUP(D416,Программа!A$1:B$5124,2),IF(F416&gt;0,VLOOKUP(F416,КВР!A$1:B$5001,2),IF(E416&gt;0,VLOOKUP(E416,Направление!A$1:B$4812,2))))))</f>
        <v>Внедрение проектной деятельности и бережливых технологий</v>
      </c>
      <c r="B416" s="114"/>
      <c r="C416" s="109"/>
      <c r="D416" s="110"/>
      <c r="E416" s="109">
        <v>12300</v>
      </c>
      <c r="F416" s="111"/>
      <c r="G416" s="268">
        <v>100000</v>
      </c>
      <c r="H416" s="330">
        <f t="shared" si="99"/>
        <v>0</v>
      </c>
      <c r="I416" s="268">
        <f t="shared" si="99"/>
        <v>100000</v>
      </c>
    </row>
    <row r="417" spans="1:9" s="119" customFormat="1" ht="110.25" x14ac:dyDescent="0.25">
      <c r="A417" s="779" t="str">
        <f>IF(B417&gt;0,VLOOKUP(B417,КВСР!A84:B1249,2),IF(C417&gt;0,VLOOKUP(C417,КФСР!A84:B1596,2),IF(D417&gt;0,VLOOKUP(D417,Программа!A$1:B$5124,2),IF(F417&gt;0,VLOOKUP(F417,КВР!A$1:B$5001,2),IF(E417&gt;0,VLOOKUP(E417,Направление!A$1:B$4812,2))))))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114"/>
      <c r="C417" s="109"/>
      <c r="D417" s="110"/>
      <c r="E417" s="109"/>
      <c r="F417" s="111">
        <v>100</v>
      </c>
      <c r="G417" s="268">
        <v>100000</v>
      </c>
      <c r="H417" s="330"/>
      <c r="I417" s="117">
        <f>G417+H417</f>
        <v>100000</v>
      </c>
    </row>
    <row r="418" spans="1:9" s="119" customFormat="1" ht="63" x14ac:dyDescent="0.25">
      <c r="A418" s="779" t="str">
        <f>IF(B418&gt;0,VLOOKUP(B418,КВСР!A78:B1243,2),IF(C418&gt;0,VLOOKUP(C418,КФСР!A78:B1590,2),IF(D418&gt;0,VLOOKUP(D418,Программа!A$1:B$5124,2),IF(F418&gt;0,VLOOKUP(F418,КВР!A$1:B$5001,2),IF(E418&gt;0,VLOOKUP(E418,Направление!A$1:B$4812,2))))))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418" s="114"/>
      <c r="C418" s="109"/>
      <c r="D418" s="110" t="s">
        <v>326</v>
      </c>
      <c r="E418" s="109"/>
      <c r="F418" s="111"/>
      <c r="G418" s="268">
        <v>150000</v>
      </c>
      <c r="H418" s="330">
        <f>H419+H422</f>
        <v>0</v>
      </c>
      <c r="I418" s="330">
        <f>I419+I422</f>
        <v>150000</v>
      </c>
    </row>
    <row r="419" spans="1:9" s="119" customFormat="1" ht="31.5" x14ac:dyDescent="0.25">
      <c r="A419" s="779" t="str">
        <f>IF(B419&gt;0,VLOOKUP(B419,КВСР!A79:B1244,2),IF(C419&gt;0,VLOOKUP(C419,КФСР!A79:B1591,2),IF(D419&gt;0,VLOOKUP(D419,Программа!A$1:B$5124,2),IF(F419&gt;0,VLOOKUP(F419,КВР!A$1:B$5001,2),IF(E419&gt;0,VLOOKUP(E419,Направление!A$1:B$4812,2))))))</f>
        <v>Бесперебойное функционирование информационных систем</v>
      </c>
      <c r="B419" s="114"/>
      <c r="C419" s="109"/>
      <c r="D419" s="110" t="s">
        <v>360</v>
      </c>
      <c r="E419" s="109"/>
      <c r="F419" s="111"/>
      <c r="G419" s="268">
        <v>150000</v>
      </c>
      <c r="H419" s="330">
        <f>H420</f>
        <v>0</v>
      </c>
      <c r="I419" s="330">
        <f>I420</f>
        <v>150000</v>
      </c>
    </row>
    <row r="420" spans="1:9" s="119" customFormat="1" ht="31.5" x14ac:dyDescent="0.25">
      <c r="A420" s="779" t="str">
        <f>IF(B420&gt;0,VLOOKUP(B420,КВСР!A80:B1245,2),IF(C420&gt;0,VLOOKUP(C420,КФСР!A80:B1592,2),IF(D420&gt;0,VLOOKUP(D420,Программа!A$1:B$5124,2),IF(F420&gt;0,VLOOKUP(F420,КВР!A$1:B$5001,2),IF(E420&gt;0,VLOOKUP(E420,Направление!A$1:B$4812,2))))))</f>
        <v>Расходы на проведение мероприятий по информатизации</v>
      </c>
      <c r="B420" s="114"/>
      <c r="C420" s="109"/>
      <c r="D420" s="110"/>
      <c r="E420" s="109">
        <v>12210</v>
      </c>
      <c r="F420" s="111"/>
      <c r="G420" s="268">
        <v>150000</v>
      </c>
      <c r="H420" s="330">
        <f>H421</f>
        <v>0</v>
      </c>
      <c r="I420" s="330">
        <f>I421</f>
        <v>150000</v>
      </c>
    </row>
    <row r="421" spans="1:9" s="119" customFormat="1" ht="63" x14ac:dyDescent="0.25">
      <c r="A421" s="779" t="str">
        <f>IF(B421&gt;0,VLOOKUP(B421,КВСР!A81:B1246,2),IF(C421&gt;0,VLOOKUP(C421,КФСР!A81:B1593,2),IF(D421&gt;0,VLOOKUP(D421,Программа!A$1:B$5124,2),IF(F421&gt;0,VLOOKUP(F421,КВР!A$1:B$5001,2),IF(E421&gt;0,VLOOKUP(E421,Направление!A$1:B$4812,2))))))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0"/>
      <c r="E421" s="109"/>
      <c r="F421" s="111">
        <v>200</v>
      </c>
      <c r="G421" s="268">
        <v>150000</v>
      </c>
      <c r="H421" s="330"/>
      <c r="I421" s="117">
        <f t="shared" si="28"/>
        <v>150000</v>
      </c>
    </row>
    <row r="422" spans="1:9" s="119" customFormat="1" ht="63" hidden="1" x14ac:dyDescent="0.25">
      <c r="A422" s="779" t="str">
        <f>IF(B422&gt;0,VLOOKUP(B422,КВСР!A82:B1247,2),IF(C422&gt;0,VLOOKUP(C422,КФСР!A82:B1594,2),IF(D422&gt;0,VLOOKUP(D422,Программа!A$1:B$5124,2),IF(F422&gt;0,VLOOKUP(F422,КВР!A$1:B$5001,2),IF(E422&gt;0,VLOOKUP(E422,Направление!A$1:B$4812,2))))))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22" s="114"/>
      <c r="C422" s="109"/>
      <c r="D422" s="110" t="s">
        <v>328</v>
      </c>
      <c r="E422" s="109"/>
      <c r="F422" s="111"/>
      <c r="G422" s="268">
        <v>0</v>
      </c>
      <c r="H422" s="330">
        <f>H423</f>
        <v>0</v>
      </c>
      <c r="I422" s="117">
        <f t="shared" si="28"/>
        <v>0</v>
      </c>
    </row>
    <row r="423" spans="1:9" s="119" customFormat="1" ht="31.5" hidden="1" x14ac:dyDescent="0.25">
      <c r="A423" s="779" t="str">
        <f>IF(B423&gt;0,VLOOKUP(B423,КВСР!A83:B1248,2),IF(C423&gt;0,VLOOKUP(C423,КФСР!A83:B1595,2),IF(D423&gt;0,VLOOKUP(D423,Программа!A$1:B$5124,2),IF(F423&gt;0,VLOOKUP(F423,КВР!A$1:B$5001,2),IF(E423&gt;0,VLOOKUP(E423,Направление!A$1:B$4812,2))))))</f>
        <v>Расходы на проведение мероприятий по информатизации</v>
      </c>
      <c r="B423" s="114"/>
      <c r="C423" s="109"/>
      <c r="D423" s="110"/>
      <c r="E423" s="109">
        <v>12210</v>
      </c>
      <c r="F423" s="111"/>
      <c r="G423" s="268">
        <v>0</v>
      </c>
      <c r="H423" s="330">
        <f>H424</f>
        <v>0</v>
      </c>
      <c r="I423" s="117">
        <f t="shared" si="28"/>
        <v>0</v>
      </c>
    </row>
    <row r="424" spans="1:9" s="119" customFormat="1" ht="63" hidden="1" x14ac:dyDescent="0.25">
      <c r="A424" s="779" t="str">
        <f>IF(B424&gt;0,VLOOKUP(B424,КВСР!A83:B1248,2),IF(C424&gt;0,VLOOKUP(C424,КФСР!A83:B1595,2),IF(D424&gt;0,VLOOKUP(D424,Программа!A$1:B$5124,2),IF(F424&gt;0,VLOOKUP(F424,КВР!A$1:B$5001,2),IF(E424&gt;0,VLOOKUP(E424,Направление!A$1:B$4812,2))))))</f>
        <v xml:space="preserve">Закупка товаров, работ и услуг для обеспечения государственных (муниципальных) нужд
</v>
      </c>
      <c r="B424" s="114"/>
      <c r="C424" s="109"/>
      <c r="D424" s="110"/>
      <c r="E424" s="109"/>
      <c r="F424" s="111">
        <v>200</v>
      </c>
      <c r="G424" s="268">
        <v>0</v>
      </c>
      <c r="H424" s="330"/>
      <c r="I424" s="117">
        <f t="shared" si="28"/>
        <v>0</v>
      </c>
    </row>
    <row r="425" spans="1:9" s="119" customFormat="1" x14ac:dyDescent="0.25">
      <c r="A425" s="779" t="str">
        <f>IF(B425&gt;0,VLOOKUP(B425,КВСР!A78:B1243,2),IF(C425&gt;0,VLOOKUP(C425,КФСР!A78:B1590,2),IF(D425&gt;0,VLOOKUP(D425,Программа!A$1:B$5124,2),IF(F425&gt;0,VLOOKUP(F425,КВР!A$1:B$5001,2),IF(E425&gt;0,VLOOKUP(E425,Направление!A$1:B$4812,2))))))</f>
        <v>Непрограммные расходы бюджета</v>
      </c>
      <c r="B425" s="114"/>
      <c r="C425" s="109"/>
      <c r="D425" s="110" t="s">
        <v>311</v>
      </c>
      <c r="E425" s="109"/>
      <c r="F425" s="111"/>
      <c r="G425" s="374">
        <v>14099147</v>
      </c>
      <c r="H425" s="374">
        <f>H426+H431+H433+H435+H1510+H438+H440+H442</f>
        <v>-100657</v>
      </c>
      <c r="I425" s="330">
        <f>I426+I431+I433+I435+I1510+I438+I440+I442</f>
        <v>13998490</v>
      </c>
    </row>
    <row r="426" spans="1:9" s="119" customFormat="1" x14ac:dyDescent="0.25">
      <c r="A426" s="779" t="str">
        <f>IF(B426&gt;0,VLOOKUP(B426,КВСР!A79:B1244,2),IF(C426&gt;0,VLOOKUP(C426,КФСР!A79:B1591,2),IF(D426&gt;0,VLOOKUP(D426,Программа!A$1:B$5124,2),IF(F426&gt;0,VLOOKUP(F426,КВР!A$1:B$5001,2),IF(E426&gt;0,VLOOKUP(E426,Направление!A$1:B$4812,2))))))</f>
        <v>Содержание центрального аппарата</v>
      </c>
      <c r="B426" s="114"/>
      <c r="C426" s="109"/>
      <c r="D426" s="110"/>
      <c r="E426" s="109">
        <v>12010</v>
      </c>
      <c r="F426" s="111"/>
      <c r="G426" s="268">
        <v>9092947</v>
      </c>
      <c r="H426" s="330">
        <f>H427+H428+H430+H429</f>
        <v>-18300</v>
      </c>
      <c r="I426" s="330">
        <f>I427+I428+I430+I429</f>
        <v>9074647</v>
      </c>
    </row>
    <row r="427" spans="1:9" s="119" customFormat="1" ht="110.25" x14ac:dyDescent="0.25">
      <c r="A427" s="779" t="str">
        <f>IF(B427&gt;0,VLOOKUP(B427,КВСР!A80:B1245,2),IF(C427&gt;0,VLOOKUP(C427,КФСР!A80:B1592,2),IF(D427&gt;0,VLOOKUP(D427,Программа!A$1:B$5124,2),IF(F427&gt;0,VLOOKUP(F427,КВР!A$1:B$5001,2),IF(E427&gt;0,VLOOKUP(E427,Направление!A$1:B$4812,2))))))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7" s="114"/>
      <c r="C427" s="109"/>
      <c r="D427" s="111"/>
      <c r="E427" s="109"/>
      <c r="F427" s="111">
        <v>100</v>
      </c>
      <c r="G427" s="286">
        <v>8726247</v>
      </c>
      <c r="H427" s="275"/>
      <c r="I427" s="117">
        <f t="shared" si="28"/>
        <v>8726247</v>
      </c>
    </row>
    <row r="428" spans="1:9" s="119" customFormat="1" ht="63" x14ac:dyDescent="0.25">
      <c r="A428" s="779" t="str">
        <f>IF(B428&gt;0,VLOOKUP(B428,КВСР!A81:B1246,2),IF(C428&gt;0,VLOOKUP(C428,КФСР!A81:B1593,2),IF(D428&gt;0,VLOOKUP(D428,Программа!A$1:B$5124,2),IF(F428&gt;0,VLOOKUP(F428,КВР!A$1:B$5001,2),IF(E428&gt;0,VLOOKUP(E428,Направление!A$1:B$4812,2))))))</f>
        <v xml:space="preserve">Закупка товаров, работ и услуг для обеспечения государственных (муниципальных) нужд
</v>
      </c>
      <c r="B428" s="114"/>
      <c r="C428" s="109"/>
      <c r="D428" s="111"/>
      <c r="E428" s="109"/>
      <c r="F428" s="111">
        <v>200</v>
      </c>
      <c r="G428" s="286">
        <v>366700</v>
      </c>
      <c r="H428" s="275">
        <v>-8300</v>
      </c>
      <c r="I428" s="117">
        <f t="shared" si="28"/>
        <v>358400</v>
      </c>
    </row>
    <row r="429" spans="1:9" s="119" customFormat="1" ht="31.5" hidden="1" x14ac:dyDescent="0.25">
      <c r="A429" s="779" t="str">
        <f>IF(B429&gt;0,VLOOKUP(B429,КВСР!A82:B1247,2),IF(C429&gt;0,VLOOKUP(C429,КФСР!A82:B1594,2),IF(D429&gt;0,VLOOKUP(D429,Программа!A$1:B$5124,2),IF(F429&gt;0,VLOOKUP(F429,КВР!A$1:B$5001,2),IF(E429&gt;0,VLOOKUP(E429,Направление!A$1:B$4812,2))))))</f>
        <v>Социальное обеспечение и иные выплаты населению</v>
      </c>
      <c r="B429" s="114"/>
      <c r="C429" s="109"/>
      <c r="D429" s="111"/>
      <c r="E429" s="109"/>
      <c r="F429" s="111">
        <v>300</v>
      </c>
      <c r="G429" s="286">
        <v>0</v>
      </c>
      <c r="H429" s="275"/>
      <c r="I429" s="117">
        <f>G429+H429</f>
        <v>0</v>
      </c>
    </row>
    <row r="430" spans="1:9" s="119" customFormat="1" x14ac:dyDescent="0.25">
      <c r="A430" s="779" t="str">
        <f>IF(B430&gt;0,VLOOKUP(B430,КВСР!A83:B1248,2),IF(C430&gt;0,VLOOKUP(C430,КФСР!A83:B1595,2),IF(D430&gt;0,VLOOKUP(D430,Программа!A$1:B$5124,2),IF(F430&gt;0,VLOOKUP(F430,КВР!A$1:B$5001,2),IF(E430&gt;0,VLOOKUP(E430,Направление!A$1:B$4812,2))))))</f>
        <v>Иные бюджетные ассигнования</v>
      </c>
      <c r="B430" s="114"/>
      <c r="C430" s="109"/>
      <c r="D430" s="111"/>
      <c r="E430" s="109"/>
      <c r="F430" s="111">
        <v>800</v>
      </c>
      <c r="G430" s="286">
        <v>0</v>
      </c>
      <c r="H430" s="275">
        <f>-10000</f>
        <v>-10000</v>
      </c>
      <c r="I430" s="117">
        <f t="shared" si="28"/>
        <v>-10000</v>
      </c>
    </row>
    <row r="431" spans="1:9" s="119" customFormat="1" ht="31.5" x14ac:dyDescent="0.25">
      <c r="A431" s="779" t="str">
        <f>IF(B431&gt;0,VLOOKUP(B431,КВСР!A83:B1248,2),IF(C431&gt;0,VLOOKUP(C431,КФСР!A83:B1595,2),IF(D431&gt;0,VLOOKUP(D431,Программа!A$1:B$5124,2),IF(F431&gt;0,VLOOKUP(F431,КВР!A$1:B$5001,2),IF(E431&gt;0,VLOOKUP(E431,Направление!A$1:B$4812,2))))))</f>
        <v>Выполнение других обязательств органов местного самоуправления</v>
      </c>
      <c r="B431" s="114"/>
      <c r="C431" s="109"/>
      <c r="D431" s="110"/>
      <c r="E431" s="109">
        <v>12080</v>
      </c>
      <c r="F431" s="111"/>
      <c r="G431" s="115">
        <v>3857900</v>
      </c>
      <c r="H431" s="275">
        <f>H432</f>
        <v>0</v>
      </c>
      <c r="I431" s="275">
        <f>I432</f>
        <v>3857900</v>
      </c>
    </row>
    <row r="432" spans="1:9" s="119" customFormat="1" ht="63" x14ac:dyDescent="0.25">
      <c r="A432" s="779" t="str">
        <f>IF(B432&gt;0,VLOOKUP(B432,КВСР!A84:B1249,2),IF(C432&gt;0,VLOOKUP(C432,КФСР!A84:B1596,2),IF(D432&gt;0,VLOOKUP(D432,Программа!A$1:B$5124,2),IF(F432&gt;0,VLOOKUP(F432,КВР!A$1:B$5001,2),IF(E432&gt;0,VLOOKUP(E432,Направление!A$1:B$4812,2))))))</f>
        <v xml:space="preserve">Закупка товаров, работ и услуг для обеспечения государственных (муниципальных) нужд
</v>
      </c>
      <c r="B432" s="114"/>
      <c r="C432" s="109"/>
      <c r="D432" s="111"/>
      <c r="E432" s="109"/>
      <c r="F432" s="111">
        <v>200</v>
      </c>
      <c r="G432" s="286">
        <v>3857900</v>
      </c>
      <c r="H432" s="275"/>
      <c r="I432" s="117">
        <f t="shared" si="28"/>
        <v>3857900</v>
      </c>
    </row>
    <row r="433" spans="1:9" s="119" customFormat="1" ht="47.25" x14ac:dyDescent="0.25">
      <c r="A433" s="779" t="str">
        <f>IF(B433&gt;0,VLOOKUP(B433,КВСР!A83:B1248,2),IF(C433&gt;0,VLOOKUP(C433,КФСР!A83:B1595,2),IF(D433&gt;0,VLOOKUP(D433,Программа!A$1:B$5124,2),IF(F433&gt;0,VLOOKUP(F433,КВР!A$1:B$5001,2),IF(E433&gt;0,VLOOKUP(E433,Направление!A$1:B$4812,2))))))</f>
        <v>Оценка недвижимости, признание прав и регулирование отношений по муниципальной собственности</v>
      </c>
      <c r="B433" s="114"/>
      <c r="C433" s="109"/>
      <c r="D433" s="110"/>
      <c r="E433" s="109">
        <v>12090</v>
      </c>
      <c r="F433" s="111"/>
      <c r="G433" s="115">
        <v>570000</v>
      </c>
      <c r="H433" s="275">
        <f>H434</f>
        <v>0</v>
      </c>
      <c r="I433" s="275">
        <f>I434</f>
        <v>570000</v>
      </c>
    </row>
    <row r="434" spans="1:9" s="119" customFormat="1" ht="63" x14ac:dyDescent="0.25">
      <c r="A434" s="779" t="str">
        <f>IF(B434&gt;0,VLOOKUP(B434,КВСР!A84:B1249,2),IF(C434&gt;0,VLOOKUP(C434,КФСР!A84:B1596,2),IF(D434&gt;0,VLOOKUP(D434,Программа!A$1:B$5124,2),IF(F434&gt;0,VLOOKUP(F434,КВР!A$1:B$5001,2),IF(E434&gt;0,VLOOKUP(E434,Направление!A$1:B$4812,2))))))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1"/>
      <c r="E434" s="109"/>
      <c r="F434" s="111">
        <v>200</v>
      </c>
      <c r="G434" s="286">
        <v>570000</v>
      </c>
      <c r="H434" s="275"/>
      <c r="I434" s="117">
        <f t="shared" si="28"/>
        <v>570000</v>
      </c>
    </row>
    <row r="435" spans="1:9" s="119" customFormat="1" ht="47.25" x14ac:dyDescent="0.25">
      <c r="A435" s="779" t="str">
        <f>IF(B435&gt;0,VLOOKUP(B435,КВСР!A90:B1255,2),IF(C435&gt;0,VLOOKUP(C435,КФСР!A90:B1602,2),IF(D435&gt;0,VLOOKUP(D435,Программа!A$1:B$5124,2),IF(F435&gt;0,VLOOKUP(F435,КВР!A$1:B$5001,2),IF(E435&gt;0,VLOOKUP(E435,Направление!A$1:B$4812,2))))))</f>
        <v>Исполнение судебных актов, актов других органов и должностных лиц, иных документов</v>
      </c>
      <c r="B435" s="114"/>
      <c r="C435" s="109"/>
      <c r="D435" s="111"/>
      <c r="E435" s="109">
        <v>12130</v>
      </c>
      <c r="F435" s="111"/>
      <c r="G435" s="275">
        <v>28300</v>
      </c>
      <c r="H435" s="275">
        <f>+H436+H437</f>
        <v>18300</v>
      </c>
      <c r="I435" s="275">
        <f>+I436+I437</f>
        <v>46600</v>
      </c>
    </row>
    <row r="436" spans="1:9" s="119" customFormat="1" ht="63" hidden="1" x14ac:dyDescent="0.25">
      <c r="A436" s="779" t="str">
        <f>IF(B436&gt;0,VLOOKUP(B436,КВСР!A92:B1257,2),IF(C436&gt;0,VLOOKUP(C436,КФСР!A92:B1604,2),IF(D436&gt;0,VLOOKUP(D436,Программа!A$1:B$5124,2),IF(F436&gt;0,VLOOKUP(F436,КВР!A$1:B$5001,2),IF(E436&gt;0,VLOOKUP(E436,Направление!A$1:B$4812,2))))))</f>
        <v xml:space="preserve">Закупка товаров, работ и услуг для обеспечения государственных (муниципальных) нужд
</v>
      </c>
      <c r="B436" s="114"/>
      <c r="C436" s="109"/>
      <c r="D436" s="111"/>
      <c r="E436" s="109"/>
      <c r="F436" s="111">
        <v>200</v>
      </c>
      <c r="G436" s="286">
        <v>0</v>
      </c>
      <c r="H436" s="275"/>
      <c r="I436" s="117">
        <f t="shared" ref="I436:I565" si="100">SUM(G436:H436)</f>
        <v>0</v>
      </c>
    </row>
    <row r="437" spans="1:9" s="119" customFormat="1" x14ac:dyDescent="0.25">
      <c r="A437" s="779" t="str">
        <f>IF(B437&gt;0,VLOOKUP(B437,КВСР!A93:B1258,2),IF(C437&gt;0,VLOOKUP(C437,КФСР!A93:B1605,2),IF(D437&gt;0,VLOOKUP(D437,Программа!A$1:B$5124,2),IF(F437&gt;0,VLOOKUP(F437,КВР!A$1:B$5001,2),IF(E437&gt;0,VLOOKUP(E437,Направление!A$1:B$4812,2))))))</f>
        <v>Иные бюджетные ассигнования</v>
      </c>
      <c r="B437" s="114"/>
      <c r="C437" s="109"/>
      <c r="D437" s="111"/>
      <c r="E437" s="109"/>
      <c r="F437" s="111">
        <v>800</v>
      </c>
      <c r="G437" s="286">
        <v>28300</v>
      </c>
      <c r="H437" s="275">
        <v>18300</v>
      </c>
      <c r="I437" s="117">
        <f t="shared" si="100"/>
        <v>46600</v>
      </c>
    </row>
    <row r="438" spans="1:9" s="119" customFormat="1" ht="94.5" x14ac:dyDescent="0.25">
      <c r="A438" s="779" t="str">
        <f>IF(B438&gt;0,VLOOKUP(B438,КВСР!A93:B1258,2),IF(C438&gt;0,VLOOKUP(C438,КФСР!A93:B1605,2),IF(D438&gt;0,VLOOKUP(D438,Программа!A$1:B$5124,2),IF(F438&gt;0,VLOOKUP(F438,КВР!A$1:B$5001,2),IF(E438&gt;0,VLOOKUP(E438,Направление!A$1:B$4812,2))))))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38" s="114"/>
      <c r="C438" s="109"/>
      <c r="D438" s="110"/>
      <c r="E438" s="109">
        <v>29026</v>
      </c>
      <c r="F438" s="111"/>
      <c r="G438" s="115">
        <v>250000</v>
      </c>
      <c r="H438" s="275">
        <f>H439</f>
        <v>-70000</v>
      </c>
      <c r="I438" s="275">
        <f>I439</f>
        <v>180000</v>
      </c>
    </row>
    <row r="439" spans="1:9" s="119" customFormat="1" ht="63" x14ac:dyDescent="0.25">
      <c r="A439" s="779" t="str">
        <f>IF(B439&gt;0,VLOOKUP(B439,КВСР!A94:B1259,2),IF(C439&gt;0,VLOOKUP(C439,КФСР!A94:B1606,2),IF(D439&gt;0,VLOOKUP(D439,Программа!A$1:B$5124,2),IF(F439&gt;0,VLOOKUP(F439,КВР!A$1:B$5001,2),IF(E439&gt;0,VLOOKUP(E439,Направление!A$1:B$4812,2))))))</f>
        <v xml:space="preserve">Закупка товаров, работ и услуг для обеспечения государственных (муниципальных) нужд
</v>
      </c>
      <c r="B439" s="114"/>
      <c r="C439" s="109"/>
      <c r="D439" s="111"/>
      <c r="E439" s="109"/>
      <c r="F439" s="111">
        <v>200</v>
      </c>
      <c r="G439" s="286">
        <v>250000</v>
      </c>
      <c r="H439" s="330">
        <v>-70000</v>
      </c>
      <c r="I439" s="117">
        <f t="shared" si="100"/>
        <v>180000</v>
      </c>
    </row>
    <row r="440" spans="1:9" s="119" customFormat="1" ht="63" x14ac:dyDescent="0.25">
      <c r="A440" s="779" t="str">
        <f>IF(B440&gt;0,VLOOKUP(B440,КВСР!A95:B1260,2),IF(C440&gt;0,VLOOKUP(C440,КФСР!A95:B1607,2),IF(D440&gt;0,VLOOKUP(D440,Программа!A$1:B$5124,2),IF(F440&gt;0,VLOOKUP(F440,КВР!A$1:B$5001,2),IF(E440&gt;0,VLOOKUP(E440,Направление!A$1:B$4812,2))))))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40" s="114"/>
      <c r="C440" s="109"/>
      <c r="D440" s="111"/>
      <c r="E440" s="109">
        <v>29556</v>
      </c>
      <c r="F440" s="111"/>
      <c r="G440" s="286">
        <v>300000</v>
      </c>
      <c r="H440" s="275">
        <f t="shared" ref="H440:I440" si="101">H441</f>
        <v>-80000</v>
      </c>
      <c r="I440" s="286">
        <f t="shared" si="101"/>
        <v>220000</v>
      </c>
    </row>
    <row r="441" spans="1:9" s="119" customFormat="1" ht="63" x14ac:dyDescent="0.25">
      <c r="A441" s="779" t="str">
        <f>IF(B441&gt;0,VLOOKUP(B441,КВСР!A96:B1261,2),IF(C441&gt;0,VLOOKUP(C441,КФСР!A96:B1608,2),IF(D441&gt;0,VLOOKUP(D441,Программа!A$1:B$5124,2),IF(F441&gt;0,VLOOKUP(F441,КВР!A$1:B$5001,2),IF(E441&gt;0,VLOOKUP(E441,Направление!A$1:B$4812,2))))))</f>
        <v xml:space="preserve">Закупка товаров, работ и услуг для обеспечения государственных (муниципальных) нужд
</v>
      </c>
      <c r="B441" s="114"/>
      <c r="C441" s="109"/>
      <c r="D441" s="111"/>
      <c r="E441" s="109"/>
      <c r="F441" s="111">
        <v>200</v>
      </c>
      <c r="G441" s="286">
        <v>300000</v>
      </c>
      <c r="H441" s="275">
        <v>-80000</v>
      </c>
      <c r="I441" s="117">
        <f>G441+H441</f>
        <v>220000</v>
      </c>
    </row>
    <row r="442" spans="1:9" s="119" customFormat="1" ht="31.5" x14ac:dyDescent="0.25">
      <c r="A442" s="779" t="str">
        <f>IF(B442&gt;0,VLOOKUP(B442,КВСР!A97:B1262,2),IF(C442&gt;0,VLOOKUP(C442,КФСР!A97:B1609,2),IF(D442&gt;0,VLOOKUP(D442,Программа!A$1:B$5124,2),IF(F442&gt;0,VLOOKUP(F442,КВР!A$1:B$5001,2),IF(E442&gt;0,VLOOKUP(E442,Направление!A$1:B$4812,2))))))</f>
        <v>Выполнение иных обязательств органов местного самоуправления</v>
      </c>
      <c r="B442" s="114"/>
      <c r="C442" s="109"/>
      <c r="D442" s="111"/>
      <c r="E442" s="109">
        <v>29806</v>
      </c>
      <c r="F442" s="111"/>
      <c r="G442" s="286">
        <v>0</v>
      </c>
      <c r="H442" s="286">
        <f>H443+H444</f>
        <v>49343</v>
      </c>
      <c r="I442" s="286">
        <f>I443+I444</f>
        <v>49343</v>
      </c>
    </row>
    <row r="443" spans="1:9" s="119" customFormat="1" ht="63" hidden="1" x14ac:dyDescent="0.25">
      <c r="A443" s="779" t="str">
        <f>IF(B443&gt;0,VLOOKUP(B443,КВСР!A98:B1263,2),IF(C443&gt;0,VLOOKUP(C443,КФСР!A98:B1610,2),IF(D443&gt;0,VLOOKUP(D443,Программа!A$1:B$5124,2),IF(F443&gt;0,VLOOKUP(F443,КВР!A$1:B$5001,2),IF(E443&gt;0,VLOOKUP(E443,Направление!A$1:B$4812,2))))))</f>
        <v xml:space="preserve">Закупка товаров, работ и услуг для обеспечения государственных (муниципальных) нужд
</v>
      </c>
      <c r="B443" s="114"/>
      <c r="C443" s="109"/>
      <c r="D443" s="111"/>
      <c r="E443" s="109"/>
      <c r="F443" s="111">
        <v>200</v>
      </c>
      <c r="G443" s="286">
        <v>0</v>
      </c>
      <c r="H443" s="275"/>
      <c r="I443" s="117">
        <f t="shared" ref="I443:I444" si="102">G443+H443</f>
        <v>0</v>
      </c>
    </row>
    <row r="444" spans="1:9" s="119" customFormat="1" x14ac:dyDescent="0.25">
      <c r="A444" s="779" t="str">
        <f>IF(B444&gt;0,VLOOKUP(B444,КВСР!A99:B1264,2),IF(C444&gt;0,VLOOKUP(C444,КФСР!A99:B1611,2),IF(D444&gt;0,VLOOKUP(D444,Программа!A$1:B$5124,2),IF(F444&gt;0,VLOOKUP(F444,КВР!A$1:B$5001,2),IF(E444&gt;0,VLOOKUP(E444,Направление!A$1:B$4812,2))))))</f>
        <v>Иные бюджетные ассигнования</v>
      </c>
      <c r="B444" s="114"/>
      <c r="C444" s="109"/>
      <c r="D444" s="111"/>
      <c r="E444" s="109"/>
      <c r="F444" s="111">
        <v>800</v>
      </c>
      <c r="G444" s="286">
        <v>0</v>
      </c>
      <c r="H444" s="275">
        <v>49343</v>
      </c>
      <c r="I444" s="117">
        <f t="shared" si="102"/>
        <v>49343</v>
      </c>
    </row>
    <row r="445" spans="1:9" s="119" customFormat="1" ht="31.5" x14ac:dyDescent="0.25">
      <c r="A445" s="779" t="str">
        <f>IF(B445&gt;0,VLOOKUP(B445,КВСР!A92:B1257,2),IF(C445&gt;0,VLOOKUP(C445,КФСР!A92:B1604,2),IF(D445&gt;0,VLOOKUP(D445,Программа!A$1:B$5124,2),IF(F445&gt;0,VLOOKUP(F445,КВР!A$1:B$5001,2),IF(E445&gt;0,VLOOKUP(E445,Направление!A$1:B$4812,2))))))</f>
        <v>Другие вопросы в области национальной экономики</v>
      </c>
      <c r="B445" s="114"/>
      <c r="C445" s="109">
        <v>412</v>
      </c>
      <c r="D445" s="110"/>
      <c r="E445" s="109"/>
      <c r="F445" s="111"/>
      <c r="G445" s="115">
        <v>655000</v>
      </c>
      <c r="H445" s="275">
        <f t="shared" ref="H445:I447" si="103">H446</f>
        <v>150000</v>
      </c>
      <c r="I445" s="275">
        <f t="shared" si="103"/>
        <v>805000</v>
      </c>
    </row>
    <row r="446" spans="1:9" s="119" customFormat="1" x14ac:dyDescent="0.25">
      <c r="A446" s="779" t="str">
        <f>IF(B446&gt;0,VLOOKUP(B446,КВСР!A93:B1258,2),IF(C446&gt;0,VLOOKUP(C446,КФСР!A93:B1605,2),IF(D446&gt;0,VLOOKUP(D446,Программа!A$1:B$5124,2),IF(F446&gt;0,VLOOKUP(F446,КВР!A$1:B$5001,2),IF(E446&gt;0,VLOOKUP(E446,Направление!A$1:B$4812,2))))))</f>
        <v>Непрограммные расходы бюджета</v>
      </c>
      <c r="B446" s="114"/>
      <c r="C446" s="109"/>
      <c r="D446" s="110" t="s">
        <v>311</v>
      </c>
      <c r="E446" s="109"/>
      <c r="F446" s="111"/>
      <c r="G446" s="115">
        <v>655000</v>
      </c>
      <c r="H446" s="374">
        <f>H447+H449</f>
        <v>150000</v>
      </c>
      <c r="I446" s="275">
        <f>I447+I449</f>
        <v>805000</v>
      </c>
    </row>
    <row r="447" spans="1:9" s="119" customFormat="1" ht="31.5" x14ac:dyDescent="0.25">
      <c r="A447" s="779" t="str">
        <f>IF(B447&gt;0,VLOOKUP(B447,КВСР!A94:B1259,2),IF(C447&gt;0,VLOOKUP(C447,КФСР!A94:B1606,2),IF(D447&gt;0,VLOOKUP(D447,Программа!A$1:B$5124,2),IF(F447&gt;0,VLOOKUP(F447,КВР!A$1:B$5001,2),IF(E447&gt;0,VLOOKUP(E447,Направление!A$1:B$4812,2))))))</f>
        <v>Мероприятия по землеустройству и землепользованию</v>
      </c>
      <c r="B447" s="114"/>
      <c r="C447" s="109"/>
      <c r="D447" s="110"/>
      <c r="E447" s="109">
        <v>10510</v>
      </c>
      <c r="F447" s="111"/>
      <c r="G447" s="115">
        <v>230000</v>
      </c>
      <c r="H447" s="275">
        <f t="shared" si="103"/>
        <v>0</v>
      </c>
      <c r="I447" s="275">
        <f t="shared" si="103"/>
        <v>230000</v>
      </c>
    </row>
    <row r="448" spans="1:9" s="119" customFormat="1" ht="63" x14ac:dyDescent="0.25">
      <c r="A448" s="779" t="str">
        <f>IF(B448&gt;0,VLOOKUP(B448,КВСР!A95:B1260,2),IF(C448&gt;0,VLOOKUP(C448,КФСР!A95:B1607,2),IF(D448&gt;0,VLOOKUP(D448,Программа!A$1:B$5124,2),IF(F448&gt;0,VLOOKUP(F448,КВР!A$1:B$5001,2),IF(E448&gt;0,VLOOKUP(E448,Направление!A$1:B$4812,2))))))</f>
        <v xml:space="preserve">Закупка товаров, работ и услуг для обеспечения государственных (муниципальных) нужд
</v>
      </c>
      <c r="B448" s="114"/>
      <c r="C448" s="109"/>
      <c r="D448" s="111"/>
      <c r="E448" s="109"/>
      <c r="F448" s="111">
        <v>200</v>
      </c>
      <c r="G448" s="286">
        <v>230000</v>
      </c>
      <c r="H448" s="275"/>
      <c r="I448" s="117">
        <f t="shared" si="100"/>
        <v>230000</v>
      </c>
    </row>
    <row r="449" spans="1:9" s="119" customFormat="1" ht="63" x14ac:dyDescent="0.25">
      <c r="A449" s="779" t="str">
        <f>IF(B449&gt;0,VLOOKUP(B449,КВСР!A96:B1261,2),IF(C449&gt;0,VLOOKUP(C449,КФСР!A96:B1608,2),IF(D449&gt;0,VLOOKUP(D449,Программа!A$1:B$5124,2),IF(F449&gt;0,VLOOKUP(F449,КВР!A$1:B$5001,2),IF(E449&gt;0,VLOOKUP(E449,Направление!A$1:B$4812,2))))))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49" s="114"/>
      <c r="C449" s="109"/>
      <c r="D449" s="111"/>
      <c r="E449" s="109">
        <v>29276</v>
      </c>
      <c r="F449" s="111"/>
      <c r="G449" s="274">
        <v>425000</v>
      </c>
      <c r="H449" s="275">
        <f>H450</f>
        <v>150000</v>
      </c>
      <c r="I449" s="275">
        <f>I450</f>
        <v>575000</v>
      </c>
    </row>
    <row r="450" spans="1:9" s="119" customFormat="1" ht="63" x14ac:dyDescent="0.25">
      <c r="A450" s="779" t="str">
        <f>IF(B450&gt;0,VLOOKUP(B450,КВСР!A97:B1262,2),IF(C450&gt;0,VLOOKUP(C450,КФСР!A97:B1609,2),IF(D450&gt;0,VLOOKUP(D450,Программа!A$1:B$5124,2),IF(F450&gt;0,VLOOKUP(F450,КВР!A$1:B$5001,2),IF(E450&gt;0,VLOOKUP(E450,Направление!A$1:B$4812,2))))))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1"/>
      <c r="E450" s="109"/>
      <c r="F450" s="111">
        <v>200</v>
      </c>
      <c r="G450" s="286">
        <v>425000</v>
      </c>
      <c r="H450" s="275">
        <v>150000</v>
      </c>
      <c r="I450" s="117">
        <f>SUM(G450:H450)</f>
        <v>575000</v>
      </c>
    </row>
    <row r="451" spans="1:9" s="119" customFormat="1" x14ac:dyDescent="0.25">
      <c r="A451" s="779" t="str">
        <f>IF(B451&gt;0,VLOOKUP(B451,КВСР!A100:B1265,2),IF(C451&gt;0,VLOOKUP(C451,КФСР!A100:B1612,2),IF(D451&gt;0,VLOOKUP(D451,Программа!A$1:B$5124,2),IF(F451&gt;0,VLOOKUP(F451,КВР!A$1:B$5001,2),IF(E451&gt;0,VLOOKUP(E451,Направление!A$1:B$4812,2))))))</f>
        <v>Жилищное хозяйство</v>
      </c>
      <c r="B451" s="114"/>
      <c r="C451" s="109">
        <v>501</v>
      </c>
      <c r="D451" s="111"/>
      <c r="E451" s="109"/>
      <c r="F451" s="111"/>
      <c r="G451" s="118">
        <v>755000</v>
      </c>
      <c r="H451" s="275">
        <f t="shared" ref="H451:I453" si="104">H452</f>
        <v>0</v>
      </c>
      <c r="I451" s="275">
        <f t="shared" si="104"/>
        <v>755000</v>
      </c>
    </row>
    <row r="452" spans="1:9" s="119" customFormat="1" x14ac:dyDescent="0.25">
      <c r="A452" s="779" t="str">
        <f>IF(B452&gt;0,VLOOKUP(B452,КВСР!A101:B1266,2),IF(C452&gt;0,VLOOKUP(C452,КФСР!A101:B1613,2),IF(D452&gt;0,VLOOKUP(D452,Программа!A$1:B$5124,2),IF(F452&gt;0,VLOOKUP(F452,КВР!A$1:B$5001,2),IF(E452&gt;0,VLOOKUP(E452,Направление!A$1:B$4812,2))))))</f>
        <v>Непрограммные расходы бюджета</v>
      </c>
      <c r="B452" s="114"/>
      <c r="C452" s="109"/>
      <c r="D452" s="111" t="s">
        <v>311</v>
      </c>
      <c r="E452" s="109"/>
      <c r="F452" s="111"/>
      <c r="G452" s="118">
        <v>755000</v>
      </c>
      <c r="H452" s="374">
        <f>H453+H457+H455</f>
        <v>0</v>
      </c>
      <c r="I452" s="275">
        <f>I453+I457+I455</f>
        <v>755000</v>
      </c>
    </row>
    <row r="453" spans="1:9" s="119" customFormat="1" ht="47.25" x14ac:dyDescent="0.25">
      <c r="A453" s="779" t="str">
        <f>IF(B453&gt;0,VLOOKUP(B453,КВСР!A102:B1267,2),IF(C453&gt;0,VLOOKUP(C453,КФСР!A102:B1614,2),IF(D453&gt;0,VLOOKUP(D453,Программа!A$1:B$5124,2),IF(F453&gt;0,VLOOKUP(F453,КВР!A$1:B$5001,2),IF(E453&gt;0,VLOOKUP(E453,Направление!A$1:B$4812,2))))))</f>
        <v>Взносы на  капитальный ремонт  жилых помещений муниципального жилищного фонда</v>
      </c>
      <c r="B453" s="114"/>
      <c r="C453" s="109"/>
      <c r="D453" s="111"/>
      <c r="E453" s="109">
        <v>10370</v>
      </c>
      <c r="F453" s="111"/>
      <c r="G453" s="118">
        <v>350000</v>
      </c>
      <c r="H453" s="275">
        <f t="shared" si="104"/>
        <v>0</v>
      </c>
      <c r="I453" s="275">
        <f t="shared" si="104"/>
        <v>350000</v>
      </c>
    </row>
    <row r="454" spans="1:9" s="119" customFormat="1" ht="63" x14ac:dyDescent="0.25">
      <c r="A454" s="779" t="str">
        <f>IF(B454&gt;0,VLOOKUP(B454,КВСР!A103:B1268,2),IF(C454&gt;0,VLOOKUP(C454,КФСР!A103:B1615,2),IF(D454&gt;0,VLOOKUP(D454,Программа!A$1:B$5124,2),IF(F454&gt;0,VLOOKUP(F454,КВР!A$1:B$5001,2),IF(E454&gt;0,VLOOKUP(E454,Направление!A$1:B$4812,2))))))</f>
        <v xml:space="preserve">Закупка товаров, работ и услуг для обеспечения государственных (муниципальных) нужд
</v>
      </c>
      <c r="B454" s="114"/>
      <c r="C454" s="109"/>
      <c r="D454" s="111"/>
      <c r="E454" s="109"/>
      <c r="F454" s="111">
        <v>200</v>
      </c>
      <c r="G454" s="286">
        <v>350000</v>
      </c>
      <c r="H454" s="275"/>
      <c r="I454" s="117">
        <f t="shared" si="100"/>
        <v>350000</v>
      </c>
    </row>
    <row r="455" spans="1:9" s="119" customFormat="1" ht="47.25" x14ac:dyDescent="0.25">
      <c r="A455" s="779" t="str">
        <f>IF(B455&gt;0,VLOOKUP(B455,КВСР!A104:B1269,2),IF(C455&gt;0,VLOOKUP(C455,КФСР!A104:B1616,2),IF(D455&gt;0,VLOOKUP(D455,Программа!A$1:B$5124,2),IF(F455&gt;0,VLOOKUP(F455,КВР!A$1:B$5001,2),IF(E455&gt;0,VLOOKUP(E455,Направление!A$1:B$4812,2))))))</f>
        <v xml:space="preserve">Обеспечение мероприятий по начислению и сбору платы за найм муниципального жилищного фонда </v>
      </c>
      <c r="B455" s="114"/>
      <c r="C455" s="109"/>
      <c r="D455" s="111"/>
      <c r="E455" s="109">
        <v>29436</v>
      </c>
      <c r="F455" s="111"/>
      <c r="G455" s="274">
        <v>325000</v>
      </c>
      <c r="H455" s="275">
        <f>H456</f>
        <v>0</v>
      </c>
      <c r="I455" s="275">
        <f>I456</f>
        <v>325000</v>
      </c>
    </row>
    <row r="456" spans="1:9" s="119" customFormat="1" ht="63" x14ac:dyDescent="0.25">
      <c r="A456" s="779" t="str">
        <f>IF(B456&gt;0,VLOOKUP(B456,КВСР!A105:B1270,2),IF(C456&gt;0,VLOOKUP(C456,КФСР!A105:B1617,2),IF(D456&gt;0,VLOOKUP(D456,Программа!A$1:B$5124,2),IF(F456&gt;0,VLOOKUP(F456,КВР!A$1:B$5001,2),IF(E456&gt;0,VLOOKUP(E456,Направление!A$1:B$4812,2))))))</f>
        <v xml:space="preserve">Закупка товаров, работ и услуг для обеспечения государственных (муниципальных) нужд
</v>
      </c>
      <c r="B456" s="114"/>
      <c r="C456" s="109"/>
      <c r="D456" s="111"/>
      <c r="E456" s="109"/>
      <c r="F456" s="111">
        <v>200</v>
      </c>
      <c r="G456" s="286">
        <v>325000</v>
      </c>
      <c r="H456" s="275"/>
      <c r="I456" s="117">
        <f t="shared" ref="I456" si="105">SUM(G456:H456)</f>
        <v>325000</v>
      </c>
    </row>
    <row r="457" spans="1:9" s="119" customFormat="1" ht="63" x14ac:dyDescent="0.25">
      <c r="A457" s="779" t="str">
        <f>IF(B457&gt;0,VLOOKUP(B457,КВСР!A104:B1269,2),IF(C457&gt;0,VLOOKUP(C457,КФСР!A104:B1616,2),IF(D457&gt;0,VLOOKUP(D457,Программа!A$1:B$5124,2),IF(F457&gt;0,VLOOKUP(F457,КВР!A$1:B$5001,2),IF(E457&gt;0,VLOOKUP(E457,Направление!A$1:B$4812,2))))))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57" s="114"/>
      <c r="C457" s="109"/>
      <c r="D457" s="111"/>
      <c r="E457" s="109">
        <v>29446</v>
      </c>
      <c r="F457" s="111"/>
      <c r="G457" s="274">
        <v>80000</v>
      </c>
      <c r="H457" s="275">
        <f>H458</f>
        <v>0</v>
      </c>
      <c r="I457" s="275">
        <f>I458</f>
        <v>80000</v>
      </c>
    </row>
    <row r="458" spans="1:9" s="119" customFormat="1" ht="63" x14ac:dyDescent="0.25">
      <c r="A458" s="779" t="str">
        <f>IF(B458&gt;0,VLOOKUP(B458,КВСР!A105:B1270,2),IF(C458&gt;0,VLOOKUP(C458,КФСР!A105:B1617,2),IF(D458&gt;0,VLOOKUP(D458,Программа!A$1:B$5124,2),IF(F458&gt;0,VLOOKUP(F458,КВР!A$1:B$5001,2),IF(E458&gt;0,VLOOKUP(E458,Направление!A$1:B$4812,2))))))</f>
        <v xml:space="preserve">Закупка товаров, работ и услуг для обеспечения государственных (муниципальных) нужд
</v>
      </c>
      <c r="B458" s="114"/>
      <c r="C458" s="109"/>
      <c r="D458" s="111"/>
      <c r="E458" s="109"/>
      <c r="F458" s="111">
        <v>200</v>
      </c>
      <c r="G458" s="286">
        <v>80000</v>
      </c>
      <c r="H458" s="275"/>
      <c r="I458" s="117">
        <f t="shared" si="100"/>
        <v>80000</v>
      </c>
    </row>
    <row r="459" spans="1:9" s="119" customFormat="1" hidden="1" x14ac:dyDescent="0.25">
      <c r="A459" s="779" t="str">
        <f>IF(B459&gt;0,VLOOKUP(B459,КВСР!A106:B1271,2),IF(C459&gt;0,VLOOKUP(C459,КФСР!A106:B1618,2),IF(D459&gt;0,VLOOKUP(D459,Программа!A$1:B$5124,2),IF(F459&gt;0,VLOOKUP(F459,КВР!A$1:B$5001,2),IF(E459&gt;0,VLOOKUP(E459,Направление!A$1:B$4812,2))))))</f>
        <v>Охрана семьи и детства</v>
      </c>
      <c r="B459" s="114"/>
      <c r="C459" s="109">
        <v>1004</v>
      </c>
      <c r="D459" s="111"/>
      <c r="E459" s="109"/>
      <c r="F459" s="111"/>
      <c r="G459" s="286">
        <v>0</v>
      </c>
      <c r="H459" s="275">
        <f t="shared" ref="H459:I461" si="106">H460</f>
        <v>0</v>
      </c>
      <c r="I459" s="286">
        <f t="shared" si="106"/>
        <v>0</v>
      </c>
    </row>
    <row r="460" spans="1:9" s="119" customFormat="1" hidden="1" x14ac:dyDescent="0.25">
      <c r="A460" s="779" t="str">
        <f>IF(B460&gt;0,VLOOKUP(B460,КВСР!A107:B1272,2),IF(C460&gt;0,VLOOKUP(C460,КФСР!A107:B1619,2),IF(D460&gt;0,VLOOKUP(D460,Программа!A$1:B$5124,2),IF(F460&gt;0,VLOOKUP(F460,КВР!A$1:B$5001,2),IF(E460&gt;0,VLOOKUP(E460,Направление!A$1:B$4812,2))))))</f>
        <v>Непрограммные расходы бюджета</v>
      </c>
      <c r="B460" s="114"/>
      <c r="C460" s="109"/>
      <c r="D460" s="111" t="s">
        <v>311</v>
      </c>
      <c r="E460" s="109"/>
      <c r="F460" s="111"/>
      <c r="G460" s="286">
        <v>0</v>
      </c>
      <c r="H460" s="886">
        <f t="shared" si="106"/>
        <v>0</v>
      </c>
      <c r="I460" s="286">
        <f t="shared" si="106"/>
        <v>0</v>
      </c>
    </row>
    <row r="461" spans="1:9" s="119" customFormat="1" hidden="1" x14ac:dyDescent="0.25">
      <c r="A461" s="779" t="str">
        <f>IF(B461&gt;0,VLOOKUP(B461,КВСР!A108:B1273,2),IF(C461&gt;0,VLOOKUP(C461,КФСР!A108:B1620,2),IF(D461&gt;0,VLOOKUP(D461,Программа!A$1:B$5124,2),IF(F461&gt;0,VLOOKUP(F461,КВР!A$1:B$5001,2),IF(E461&gt;0,VLOOKUP(E461,Направление!A$1:B$4812,2))))))</f>
        <v>Содержание центрального аппарата</v>
      </c>
      <c r="B461" s="114"/>
      <c r="C461" s="109"/>
      <c r="D461" s="111"/>
      <c r="E461" s="109">
        <v>12010</v>
      </c>
      <c r="F461" s="111"/>
      <c r="G461" s="286">
        <v>0</v>
      </c>
      <c r="H461" s="275">
        <f t="shared" si="106"/>
        <v>0</v>
      </c>
      <c r="I461" s="286">
        <f t="shared" si="106"/>
        <v>0</v>
      </c>
    </row>
    <row r="462" spans="1:9" s="119" customFormat="1" ht="110.25" hidden="1" x14ac:dyDescent="0.25">
      <c r="A462" s="779" t="str">
        <f>IF(B462&gt;0,VLOOKUP(B462,КВСР!A109:B1274,2),IF(C462&gt;0,VLOOKUP(C462,КФСР!A109:B1621,2),IF(D462&gt;0,VLOOKUP(D462,Программа!A$1:B$5124,2),IF(F462&gt;0,VLOOKUP(F462,КВР!A$1:B$5001,2),IF(E462&gt;0,VLOOKUP(E462,Направление!A$1:B$4812,2))))))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114"/>
      <c r="C462" s="109"/>
      <c r="D462" s="111"/>
      <c r="E462" s="109"/>
      <c r="F462" s="111">
        <v>100</v>
      </c>
      <c r="G462" s="286">
        <v>0</v>
      </c>
      <c r="H462" s="275"/>
      <c r="I462" s="117">
        <f>G462+H462</f>
        <v>0</v>
      </c>
    </row>
    <row r="463" spans="1:9" ht="31.5" x14ac:dyDescent="0.25">
      <c r="A463" s="778" t="str">
        <f>IF(B463&gt;0,VLOOKUP(B463,КВСР!A106:B1271,2),IF(C463&gt;0,VLOOKUP(C463,КФСР!A106:B1618,2),IF(D463&gt;0,VLOOKUP(D463,Программа!A$1:B$5124,2),IF(F463&gt;0,VLOOKUP(F463,КВР!A$1:B$5001,2),IF(E463&gt;0,VLOOKUP(E463,Направление!A$1:B$4812,2))))))</f>
        <v>Департамент образования Администрации ТМР</v>
      </c>
      <c r="B463" s="108">
        <v>953</v>
      </c>
      <c r="C463" s="109"/>
      <c r="D463" s="110"/>
      <c r="E463" s="109"/>
      <c r="F463" s="111"/>
      <c r="G463" s="329">
        <v>1223467196</v>
      </c>
      <c r="H463" s="329">
        <f>H470+H513+H566+H596+H622+H715+H748+H709+H590+H464</f>
        <v>4932122</v>
      </c>
      <c r="I463" s="329">
        <f>I470+I513+I566+I596+I622+I715+I748+I709+I590+I464</f>
        <v>1228399318</v>
      </c>
    </row>
    <row r="464" spans="1:9" x14ac:dyDescent="0.25">
      <c r="A464" s="779" t="str">
        <f>IF(B464&gt;0,VLOOKUP(B464,КВСР!A105:B1270,2),IF(C464&gt;0,VLOOKUP(C464,КФСР!A105:B1617,2),IF(D464&gt;0,VLOOKUP(D464,Программа!A$1:B$5124,2),IF(F464&gt;0,VLOOKUP(F464,КВР!A$1:B$5001,2),IF(E464&gt;0,VLOOKUP(E464,Направление!A$1:B$4812,2))))))</f>
        <v xml:space="preserve"> Общеэкономические вопросы</v>
      </c>
      <c r="B464" s="108"/>
      <c r="C464" s="109">
        <v>401</v>
      </c>
      <c r="D464" s="110"/>
      <c r="E464" s="109"/>
      <c r="F464" s="111"/>
      <c r="G464" s="684">
        <v>325527</v>
      </c>
      <c r="H464" s="684">
        <f t="shared" ref="H464:I468" si="107">H465</f>
        <v>32552</v>
      </c>
      <c r="I464" s="684">
        <f t="shared" si="107"/>
        <v>358079</v>
      </c>
    </row>
    <row r="465" spans="1:9" ht="63" x14ac:dyDescent="0.25">
      <c r="A465" s="779" t="str">
        <f>IF(B465&gt;0,VLOOKUP(B465,КВСР!A106:B1271,2),IF(C465&gt;0,VLOOKUP(C465,КФСР!A106:B1618,2),IF(D465&gt;0,VLOOKUP(D465,Программа!A$1:B$5124,2),IF(F465&gt;0,VLOOKUP(F465,КВР!A$1:B$5001,2),IF(E465&gt;0,VLOOKUP(E465,Направление!A$1:B$4812,2))))))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465" s="108"/>
      <c r="C465" s="109"/>
      <c r="D465" s="110" t="s">
        <v>396</v>
      </c>
      <c r="E465" s="109"/>
      <c r="F465" s="111"/>
      <c r="G465" s="684">
        <v>325527</v>
      </c>
      <c r="H465" s="684">
        <f t="shared" si="107"/>
        <v>32552</v>
      </c>
      <c r="I465" s="684">
        <f t="shared" si="107"/>
        <v>358079</v>
      </c>
    </row>
    <row r="466" spans="1:9" ht="31.5" x14ac:dyDescent="0.25">
      <c r="A466" s="779" t="str">
        <f>IF(B466&gt;0,VLOOKUP(B466,КВСР!A107:B1272,2),IF(C466&gt;0,VLOOKUP(C466,КФСР!A107:B1619,2),IF(D466&gt;0,VLOOKUP(D466,Программа!A$1:B$5124,2),IF(F466&gt;0,VLOOKUP(F466,КВР!A$1:B$5001,2),IF(E466&gt;0,VLOOKUP(E466,Направление!A$1:B$4812,2))))))</f>
        <v>Ведомственная целевая программа «Молодежь»</v>
      </c>
      <c r="B466" s="108"/>
      <c r="C466" s="109"/>
      <c r="D466" s="110" t="s">
        <v>499</v>
      </c>
      <c r="E466" s="109"/>
      <c r="F466" s="111"/>
      <c r="G466" s="684">
        <v>325527</v>
      </c>
      <c r="H466" s="684">
        <f t="shared" si="107"/>
        <v>32552</v>
      </c>
      <c r="I466" s="684">
        <f t="shared" si="107"/>
        <v>358079</v>
      </c>
    </row>
    <row r="467" spans="1:9" ht="47.25" x14ac:dyDescent="0.25">
      <c r="A467" s="779" t="str">
        <f>IF(B467&gt;0,VLOOKUP(B467,КВСР!A108:B1273,2),IF(C467&gt;0,VLOOKUP(C467,КФСР!A108:B1620,2),IF(D467&gt;0,VLOOKUP(D467,Программа!A$1:B$5124,2),IF(F467&gt;0,VLOOKUP(F467,КВР!A$1:B$5001,2),IF(E467&gt;0,VLOOKUP(E467,Направление!A$1:B$4812,2))))))</f>
        <v>Обеспечение качества и доступности услуг(работ) в сфере молодежной политики</v>
      </c>
      <c r="B467" s="108"/>
      <c r="C467" s="109"/>
      <c r="D467" s="110" t="s">
        <v>1091</v>
      </c>
      <c r="E467" s="109"/>
      <c r="F467" s="111"/>
      <c r="G467" s="684">
        <v>325527</v>
      </c>
      <c r="H467" s="684">
        <f t="shared" si="107"/>
        <v>32552</v>
      </c>
      <c r="I467" s="684">
        <f t="shared" si="107"/>
        <v>358079</v>
      </c>
    </row>
    <row r="468" spans="1:9" ht="47.25" x14ac:dyDescent="0.25">
      <c r="A468" s="779" t="str">
        <f>IF(B468&gt;0,VLOOKUP(B468,КВСР!A109:B1274,2),IF(C468&gt;0,VLOOKUP(C468,КФСР!A109:B1621,2),IF(D468&gt;0,VLOOKUP(D468,Программа!A$1:B$5124,2),IF(F468&gt;0,VLOOKUP(F468,КВР!A$1:B$5001,2),IF(E468&gt;0,VLOOKUP(E468,Направление!A$1:B$4812,2))))))</f>
        <v>Расходы на обеспечение трудоустройства несовершеннолетних граждан на временные рабочие места</v>
      </c>
      <c r="B468" s="108"/>
      <c r="C468" s="109"/>
      <c r="D468" s="110"/>
      <c r="E468" s="109">
        <v>76950</v>
      </c>
      <c r="F468" s="111"/>
      <c r="G468" s="684">
        <v>325527</v>
      </c>
      <c r="H468" s="684">
        <f t="shared" si="107"/>
        <v>32552</v>
      </c>
      <c r="I468" s="684">
        <f t="shared" si="107"/>
        <v>358079</v>
      </c>
    </row>
    <row r="469" spans="1:9" ht="47.25" x14ac:dyDescent="0.25">
      <c r="A469" s="779" t="str">
        <f>IF(B469&gt;0,VLOOKUP(B469,КВСР!A110:B1275,2),IF(C469&gt;0,VLOOKUP(C469,КФСР!A110:B1622,2),IF(D469&gt;0,VLOOKUP(D469,Программа!A$1:B$5124,2),IF(F469&gt;0,VLOOKUP(F469,КВР!A$1:B$5001,2),IF(E469&gt;0,VLOOKUP(E469,Направление!A$1:B$4812,2))))))</f>
        <v>Предоставление субсидий бюджетным, автономным учреждениям и иным некоммерческим организациям</v>
      </c>
      <c r="B469" s="108"/>
      <c r="C469" s="109"/>
      <c r="D469" s="110"/>
      <c r="E469" s="109"/>
      <c r="F469" s="111">
        <v>600</v>
      </c>
      <c r="G469" s="684">
        <v>325527</v>
      </c>
      <c r="H469" s="428">
        <v>32552</v>
      </c>
      <c r="I469" s="684">
        <f>G469+H469</f>
        <v>358079</v>
      </c>
    </row>
    <row r="470" spans="1:9" x14ac:dyDescent="0.25">
      <c r="A470" s="779" t="str">
        <f>IF(B470&gt;0,VLOOKUP(B470,КВСР!A111:B1276,2),IF(C470&gt;0,VLOOKUP(C470,КФСР!A111:B1623,2),IF(D470&gt;0,VLOOKUP(D470,Программа!A$1:B$5124,2),IF(F470&gt;0,VLOOKUP(F470,КВР!A$1:B$5001,2),IF(E470&gt;0,VLOOKUP(E470,Направление!A$1:B$4812,2))))))</f>
        <v>Дошкольное образование</v>
      </c>
      <c r="B470" s="114"/>
      <c r="C470" s="109">
        <v>701</v>
      </c>
      <c r="D470" s="110"/>
      <c r="E470" s="109"/>
      <c r="F470" s="111"/>
      <c r="G470" s="117">
        <v>451440188</v>
      </c>
      <c r="H470" s="330">
        <f>H471+H510+H501</f>
        <v>-664799.69999999995</v>
      </c>
      <c r="I470" s="330">
        <f>I471+I510+I501</f>
        <v>450775388.30000001</v>
      </c>
    </row>
    <row r="471" spans="1:9" ht="63" x14ac:dyDescent="0.25">
      <c r="A471" s="779" t="str">
        <f>IF(B471&gt;0,VLOOKUP(B471,КВСР!A112:B1277,2),IF(C471&gt;0,VLOOKUP(C471,КФСР!A112:B1624,2),IF(D471&gt;0,VLOOKUP(D471,Программа!A$1:B$5124,2),IF(F471&gt;0,VLOOKUP(F471,КВР!A$1:B$5001,2),IF(E471&gt;0,VLOOKUP(E471,Направление!A$1:B$4812,2))))))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71" s="114"/>
      <c r="C471" s="109"/>
      <c r="D471" s="110" t="s">
        <v>367</v>
      </c>
      <c r="E471" s="109"/>
      <c r="F471" s="111"/>
      <c r="G471" s="117">
        <v>451440188</v>
      </c>
      <c r="H471" s="330">
        <f>H473</f>
        <v>-664799.69999999995</v>
      </c>
      <c r="I471" s="330">
        <f>I473</f>
        <v>450775388.30000001</v>
      </c>
    </row>
    <row r="472" spans="1:9" ht="63" x14ac:dyDescent="0.25">
      <c r="A472" s="779" t="str">
        <f>IF(B472&gt;0,VLOOKUP(B472,КВСР!A113:B1278,2),IF(C472&gt;0,VLOOKUP(C472,КФСР!A113:B1625,2),IF(D472&gt;0,VLOOKUP(D472,Программа!A$1:B$5124,2),IF(F472&gt;0,VLOOKUP(F472,КВР!A$1:B$5001,2),IF(E472&gt;0,VLOOKUP(E472,Направление!A$1:B$4812,2))))))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472" s="114"/>
      <c r="C472" s="109"/>
      <c r="D472" s="110" t="s">
        <v>369</v>
      </c>
      <c r="E472" s="109"/>
      <c r="F472" s="111"/>
      <c r="G472" s="117">
        <v>451440188</v>
      </c>
      <c r="H472" s="330">
        <f>H473</f>
        <v>-664799.69999999995</v>
      </c>
      <c r="I472" s="330">
        <f>I473</f>
        <v>450775388.30000001</v>
      </c>
    </row>
    <row r="473" spans="1:9" ht="47.25" x14ac:dyDescent="0.25">
      <c r="A473" s="779" t="str">
        <f>IF(B473&gt;0,VLOOKUP(B473,КВСР!A114:B1279,2),IF(C473&gt;0,VLOOKUP(C473,КФСР!A114:B1626,2),IF(D473&gt;0,VLOOKUP(D473,Программа!A$1:B$5124,2),IF(F473&gt;0,VLOOKUP(F473,КВР!A$1:B$5001,2),IF(E473&gt;0,VLOOKUP(E473,Направление!A$1:B$4812,2))))))</f>
        <v>Обеспечение качества и доступности образовательных услуг в сфере дошкольного образования</v>
      </c>
      <c r="B473" s="114"/>
      <c r="C473" s="109"/>
      <c r="D473" s="110" t="s">
        <v>370</v>
      </c>
      <c r="E473" s="109"/>
      <c r="F473" s="111"/>
      <c r="G473" s="330">
        <v>451440188</v>
      </c>
      <c r="H473" s="330">
        <f>H474+H483+H490+H478+H485+H480+H495+H493+H498+H487</f>
        <v>-664799.69999999995</v>
      </c>
      <c r="I473" s="330">
        <f>I474+I483+I490+I478+I485+I480+I495+I493+I498+I487</f>
        <v>450775388.30000001</v>
      </c>
    </row>
    <row r="474" spans="1:9" ht="31.5" x14ac:dyDescent="0.25">
      <c r="A474" s="779" t="str">
        <f>IF(B474&gt;0,VLOOKUP(B474,КВСР!A114:B1279,2),IF(C474&gt;0,VLOOKUP(C474,КФСР!A114:B1626,2),IF(D474&gt;0,VLOOKUP(D474,Программа!A$1:B$5124,2),IF(F474&gt;0,VLOOKUP(F474,КВР!A$1:B$5001,2),IF(E474&gt;0,VLOOKUP(E474,Направление!A$1:B$4812,2))))))</f>
        <v>Обеспечение деятельности дошкольных учреждений</v>
      </c>
      <c r="B474" s="114"/>
      <c r="C474" s="109"/>
      <c r="D474" s="110"/>
      <c r="E474" s="109">
        <v>13010</v>
      </c>
      <c r="F474" s="111"/>
      <c r="G474" s="275">
        <v>164358204</v>
      </c>
      <c r="H474" s="275">
        <f t="shared" ref="H474:I474" si="108">H475+H476+H477</f>
        <v>-664799.69999999995</v>
      </c>
      <c r="I474" s="275">
        <f t="shared" si="108"/>
        <v>163693404.30000001</v>
      </c>
    </row>
    <row r="475" spans="1:9" ht="110.25" x14ac:dyDescent="0.25">
      <c r="A475" s="779" t="str">
        <f>IF(B475&gt;0,VLOOKUP(B475,КВСР!A115:B1280,2),IF(C475&gt;0,VLOOKUP(C475,КФСР!A115:B1627,2),IF(D475&gt;0,VLOOKUP(D475,Программа!A$1:B$5124,2),IF(F475&gt;0,VLOOKUP(F475,КВР!A$1:B$5001,2),IF(E475&gt;0,VLOOKUP(E475,Направление!A$1:B$4812,2))))))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5" s="114"/>
      <c r="C475" s="109"/>
      <c r="D475" s="111"/>
      <c r="E475" s="109"/>
      <c r="F475" s="111">
        <v>100</v>
      </c>
      <c r="G475" s="286">
        <v>66582157</v>
      </c>
      <c r="H475" s="275">
        <f>-364119-109963.59</f>
        <v>-474082.58999999997</v>
      </c>
      <c r="I475" s="117">
        <f>SUM(G475:H475)</f>
        <v>66108074.409999996</v>
      </c>
    </row>
    <row r="476" spans="1:9" ht="63" x14ac:dyDescent="0.25">
      <c r="A476" s="779" t="str">
        <f>IF(B476&gt;0,VLOOKUP(B476,КВСР!A116:B1281,2),IF(C476&gt;0,VLOOKUP(C476,КФСР!A116:B1628,2),IF(D476&gt;0,VLOOKUP(D476,Программа!A$1:B$5124,2),IF(F476&gt;0,VLOOKUP(F476,КВР!A$1:B$5001,2),IF(E476&gt;0,VLOOKUP(E476,Направление!A$1:B$4812,2))))))</f>
        <v xml:space="preserve">Закупка товаров, работ и услуг для обеспечения государственных (муниципальных) нужд
</v>
      </c>
      <c r="B476" s="114"/>
      <c r="C476" s="109"/>
      <c r="D476" s="111"/>
      <c r="E476" s="109"/>
      <c r="F476" s="111">
        <v>200</v>
      </c>
      <c r="G476" s="286">
        <v>91946872</v>
      </c>
      <c r="H476" s="286">
        <f>324769.59-641294.74+245596.42</f>
        <v>-70928.729999999952</v>
      </c>
      <c r="I476" s="117">
        <f t="shared" ref="I476:I477" si="109">SUM(G476:H476)</f>
        <v>91875943.269999996</v>
      </c>
    </row>
    <row r="477" spans="1:9" x14ac:dyDescent="0.25">
      <c r="A477" s="779" t="str">
        <f>IF(B477&gt;0,VLOOKUP(B477,КВСР!A117:B1282,2),IF(C477&gt;0,VLOOKUP(C477,КФСР!A117:B1629,2),IF(D477&gt;0,VLOOKUP(D477,Программа!A$1:B$5124,2),IF(F477&gt;0,VLOOKUP(F477,КВР!A$1:B$5001,2),IF(E477&gt;0,VLOOKUP(E477,Направление!A$1:B$4812,2))))))</f>
        <v>Иные бюджетные ассигнования</v>
      </c>
      <c r="B477" s="114"/>
      <c r="C477" s="109"/>
      <c r="D477" s="111"/>
      <c r="E477" s="109"/>
      <c r="F477" s="111">
        <v>800</v>
      </c>
      <c r="G477" s="286">
        <v>5829175</v>
      </c>
      <c r="H477" s="275">
        <f>-134293.74+12500+2005.36</f>
        <v>-119788.37999999999</v>
      </c>
      <c r="I477" s="117">
        <f t="shared" si="109"/>
        <v>5709386.6200000001</v>
      </c>
    </row>
    <row r="478" spans="1:9" ht="31.5" x14ac:dyDescent="0.25">
      <c r="A478" s="779" t="str">
        <f>IF(B478&gt;0,VLOOKUP(B478,КВСР!A116:B1281,2),IF(C478&gt;0,VLOOKUP(C478,КФСР!A116:B1628,2),IF(D478&gt;0,VLOOKUP(D478,Программа!A$1:B$5124,2),IF(F478&gt;0,VLOOKUP(F478,КВР!A$1:B$5001,2),IF(E478&gt;0,VLOOKUP(E478,Направление!A$1:B$4812,2))))))</f>
        <v>Обеспечение деятельности общеобразовательных учреждений</v>
      </c>
      <c r="B478" s="114"/>
      <c r="C478" s="109"/>
      <c r="D478" s="111"/>
      <c r="E478" s="109">
        <v>13110</v>
      </c>
      <c r="F478" s="111"/>
      <c r="G478" s="274">
        <v>14277350</v>
      </c>
      <c r="H478" s="275">
        <f t="shared" ref="H478:I478" si="110">H479</f>
        <v>0</v>
      </c>
      <c r="I478" s="275">
        <f t="shared" si="110"/>
        <v>14277350</v>
      </c>
    </row>
    <row r="479" spans="1:9" ht="47.25" x14ac:dyDescent="0.25">
      <c r="A479" s="779" t="str">
        <f>IF(B479&gt;0,VLOOKUP(B479,КВСР!A117:B1282,2),IF(C479&gt;0,VLOOKUP(C479,КФСР!A117:B1629,2),IF(D479&gt;0,VLOOKUP(D479,Программа!A$1:B$5124,2),IF(F479&gt;0,VLOOKUP(F479,КВР!A$1:B$5001,2),IF(E479&gt;0,VLOOKUP(E479,Направление!A$1:B$4812,2))))))</f>
        <v>Предоставление субсидий бюджетным, автономным учреждениям и иным некоммерческим организациям</v>
      </c>
      <c r="B479" s="114"/>
      <c r="C479" s="109"/>
      <c r="D479" s="111"/>
      <c r="E479" s="109"/>
      <c r="F479" s="111">
        <v>600</v>
      </c>
      <c r="G479" s="286">
        <v>14277350</v>
      </c>
      <c r="H479" s="275"/>
      <c r="I479" s="117">
        <f t="shared" si="100"/>
        <v>14277350</v>
      </c>
    </row>
    <row r="480" spans="1:9" ht="47.25" x14ac:dyDescent="0.25">
      <c r="A480" s="779" t="str">
        <f>IF(B480&gt;0,VLOOKUP(B480,КВСР!A118:B1283,2),IF(C480&gt;0,VLOOKUP(C480,КФСР!A118:B1630,2),IF(D480&gt;0,VLOOKUP(D480,Программа!A$1:B$5124,2),IF(F480&gt;0,VLOOKUP(F480,КВР!A$1:B$5001,2),IF(E480&gt;0,VLOOKUP(E480,Направление!A$1:B$4812,2))))))</f>
        <v>Расходы на реализацию мероприятий инициативного бюджетирования на территории Ярославской области</v>
      </c>
      <c r="B480" s="114"/>
      <c r="C480" s="109"/>
      <c r="D480" s="111"/>
      <c r="E480" s="109">
        <v>15350</v>
      </c>
      <c r="F480" s="111"/>
      <c r="G480" s="286">
        <v>299596</v>
      </c>
      <c r="H480" s="275">
        <f>H481+H482</f>
        <v>0</v>
      </c>
      <c r="I480" s="275">
        <f>I481+I482</f>
        <v>299596</v>
      </c>
    </row>
    <row r="481" spans="1:9" ht="63" x14ac:dyDescent="0.25">
      <c r="A481" s="779" t="str">
        <f>IF(B481&gt;0,VLOOKUP(B481,КВСР!A119:B1284,2),IF(C481&gt;0,VLOOKUP(C481,КФСР!A119:B1631,2),IF(D481&gt;0,VLOOKUP(D481,Программа!A$1:B$5124,2),IF(F481&gt;0,VLOOKUP(F481,КВР!A$1:B$5001,2),IF(E481&gt;0,VLOOKUP(E481,Направление!A$1:B$4812,2))))))</f>
        <v xml:space="preserve">Закупка товаров, работ и услуг для обеспечения государственных (муниципальных) нужд
</v>
      </c>
      <c r="B481" s="114"/>
      <c r="C481" s="109"/>
      <c r="D481" s="111"/>
      <c r="E481" s="109"/>
      <c r="F481" s="111">
        <v>200</v>
      </c>
      <c r="G481" s="286">
        <v>289069</v>
      </c>
      <c r="H481" s="275"/>
      <c r="I481" s="117">
        <f>G481+H481</f>
        <v>289069</v>
      </c>
    </row>
    <row r="482" spans="1:9" ht="47.25" x14ac:dyDescent="0.25">
      <c r="A482" s="779" t="str">
        <f>IF(B482&gt;0,VLOOKUP(B482,КВСР!A120:B1285,2),IF(C482&gt;0,VLOOKUP(C482,КФСР!A120:B1632,2),IF(D482&gt;0,VLOOKUP(D482,Программа!A$1:B$5124,2),IF(F482&gt;0,VLOOKUP(F482,КВР!A$1:B$5001,2),IF(E482&gt;0,VLOOKUP(E482,Направление!A$1:B$4812,2))))))</f>
        <v>Предоставление субсидий бюджетным, автономным учреждениям и иным некоммерческим организациям</v>
      </c>
      <c r="B482" s="114"/>
      <c r="C482" s="109"/>
      <c r="D482" s="111"/>
      <c r="E482" s="109"/>
      <c r="F482" s="111">
        <v>600</v>
      </c>
      <c r="G482" s="286">
        <v>10527</v>
      </c>
      <c r="H482" s="275"/>
      <c r="I482" s="117">
        <f>G482+H482</f>
        <v>10527</v>
      </c>
    </row>
    <row r="483" spans="1:9" ht="63" x14ac:dyDescent="0.25">
      <c r="A483" s="779" t="str">
        <f>IF(B483&gt;0,VLOOKUP(B483,КВСР!A118:B1283,2),IF(C483&gt;0,VLOOKUP(C483,КФСР!A118:B1630,2),IF(D483&gt;0,VLOOKUP(D483,Программа!A$1:B$5124,2),IF(F483&gt;0,VLOOKUP(F483,КВР!A$1:B$5001,2),IF(E483&gt;0,VLOOKUP(E483,Направление!A$1:B$4812,2))))))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483" s="114"/>
      <c r="C483" s="109"/>
      <c r="D483" s="110"/>
      <c r="E483" s="109">
        <v>15890</v>
      </c>
      <c r="F483" s="111"/>
      <c r="G483" s="115">
        <v>1847020</v>
      </c>
      <c r="H483" s="275">
        <f>+H484</f>
        <v>0</v>
      </c>
      <c r="I483" s="117">
        <f t="shared" si="100"/>
        <v>1847020</v>
      </c>
    </row>
    <row r="484" spans="1:9" ht="110.25" x14ac:dyDescent="0.25">
      <c r="A484" s="779" t="str">
        <f>IF(B484&gt;0,VLOOKUP(B484,КВСР!A119:B1284,2),IF(C484&gt;0,VLOOKUP(C484,КФСР!A119:B1631,2),IF(D484&gt;0,VLOOKUP(D484,Программа!A$1:B$5124,2),IF(F484&gt;0,VLOOKUP(F484,КВР!A$1:B$5001,2),IF(E484&gt;0,VLOOKUP(E484,Направление!A$1:B$4812,2))))))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14"/>
      <c r="C484" s="109"/>
      <c r="D484" s="110"/>
      <c r="E484" s="109"/>
      <c r="F484" s="111">
        <v>100</v>
      </c>
      <c r="G484" s="115">
        <v>1847020</v>
      </c>
      <c r="H484" s="286"/>
      <c r="I484" s="117">
        <f t="shared" si="100"/>
        <v>1847020</v>
      </c>
    </row>
    <row r="485" spans="1:9" ht="47.25" x14ac:dyDescent="0.25">
      <c r="A485" s="779" t="str">
        <f>IF(B485&gt;0,VLOOKUP(B485,КВСР!A120:B1285,2),IF(C485&gt;0,VLOOKUP(C485,КФСР!A120:B1632,2),IF(D485&gt;0,VLOOKUP(D485,Программа!A$1:B$5124,2),IF(F485&gt;0,VLOOKUP(F485,КВР!A$1:B$5001,2),IF(E485&gt;0,VLOOKUP(E485,Направление!A$1:B$4812,2))))))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485" s="114"/>
      <c r="C485" s="109"/>
      <c r="D485" s="111"/>
      <c r="E485" s="109">
        <v>70520</v>
      </c>
      <c r="F485" s="111"/>
      <c r="G485" s="274">
        <v>21024922</v>
      </c>
      <c r="H485" s="275">
        <f t="shared" ref="H485:I485" si="111">H486</f>
        <v>0</v>
      </c>
      <c r="I485" s="274">
        <f t="shared" si="111"/>
        <v>21024922</v>
      </c>
    </row>
    <row r="486" spans="1:9" ht="47.25" x14ac:dyDescent="0.25">
      <c r="A486" s="779" t="str">
        <f>IF(B486&gt;0,VLOOKUP(B486,КВСР!A121:B1286,2),IF(C486&gt;0,VLOOKUP(C486,КФСР!A121:B1633,2),IF(D486&gt;0,VLOOKUP(D486,Программа!A$1:B$5124,2),IF(F486&gt;0,VLOOKUP(F486,КВР!A$1:B$5001,2),IF(E486&gt;0,VLOOKUP(E486,Направление!A$1:B$4812,2))))))</f>
        <v>Предоставление субсидий бюджетным, автономным учреждениям и иным некоммерческим организациям</v>
      </c>
      <c r="B486" s="114"/>
      <c r="C486" s="109"/>
      <c r="D486" s="111"/>
      <c r="E486" s="109"/>
      <c r="F486" s="111">
        <v>600</v>
      </c>
      <c r="G486" s="286">
        <v>21024922</v>
      </c>
      <c r="H486" s="275"/>
      <c r="I486" s="117">
        <f>G486+H486</f>
        <v>21024922</v>
      </c>
    </row>
    <row r="487" spans="1:9" ht="110.25" x14ac:dyDescent="0.25">
      <c r="A487" s="779" t="str">
        <f>IF(B487&gt;0,VLOOKUP(B487,КВСР!A122:B1287,2),IF(C487&gt;0,VLOOKUP(C487,КФСР!A122:B1634,2),IF(D487&gt;0,VLOOKUP(D487,Программа!A$1:B$5124,2),IF(F487&gt;0,VLOOKUP(F487,КВР!A$1:B$5001,2),IF(E487&gt;0,VLOOKUP(E487,Направление!A$1:B$4812,2))))))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87" s="114"/>
      <c r="C487" s="109"/>
      <c r="D487" s="111"/>
      <c r="E487" s="109">
        <v>71100</v>
      </c>
      <c r="F487" s="111"/>
      <c r="G487" s="286">
        <v>7805960</v>
      </c>
      <c r="H487" s="286">
        <f t="shared" ref="H487:I487" si="112">H488+H489</f>
        <v>0</v>
      </c>
      <c r="I487" s="286">
        <f t="shared" si="112"/>
        <v>7805960</v>
      </c>
    </row>
    <row r="488" spans="1:9" ht="66.75" customHeight="1" x14ac:dyDescent="0.25">
      <c r="A488" s="779" t="str">
        <f>IF(B488&gt;0,VLOOKUP(B488,КВСР!A123:B1288,2),IF(C488&gt;0,VLOOKUP(C488,КФСР!A123:B1635,2),IF(D488&gt;0,VLOOKUP(D488,Программа!A$1:B$5124,2),IF(F488&gt;0,VLOOKUP(F488,КВР!A$1:B$5001,2),IF(E488&gt;0,VLOOKUP(E488,Направление!A$1:B$4812,2))))))</f>
        <v xml:space="preserve">Закупка товаров, работ и услуг для обеспечения государственных (муниципальных) нужд
</v>
      </c>
      <c r="B488" s="114"/>
      <c r="C488" s="109"/>
      <c r="D488" s="111"/>
      <c r="E488" s="109"/>
      <c r="F488" s="111">
        <v>200</v>
      </c>
      <c r="G488" s="286">
        <v>7427495</v>
      </c>
      <c r="H488" s="275"/>
      <c r="I488" s="117">
        <f>G488+H488</f>
        <v>7427495</v>
      </c>
    </row>
    <row r="489" spans="1:9" ht="47.25" x14ac:dyDescent="0.25">
      <c r="A489" s="779" t="str">
        <f>IF(B489&gt;0,VLOOKUP(B489,КВСР!A124:B1289,2),IF(C489&gt;0,VLOOKUP(C489,КФСР!A124:B1636,2),IF(D489&gt;0,VLOOKUP(D489,Программа!A$1:B$5124,2),IF(F489&gt;0,VLOOKUP(F489,КВР!A$1:B$5001,2),IF(E489&gt;0,VLOOKUP(E489,Направление!A$1:B$4812,2))))))</f>
        <v>Предоставление субсидий бюджетным, автономным учреждениям и иным некоммерческим организациям</v>
      </c>
      <c r="B489" s="114"/>
      <c r="C489" s="109"/>
      <c r="D489" s="111"/>
      <c r="E489" s="109"/>
      <c r="F489" s="111">
        <v>600</v>
      </c>
      <c r="G489" s="286">
        <v>378465</v>
      </c>
      <c r="H489" s="275"/>
      <c r="I489" s="117">
        <f>G489+H489</f>
        <v>378465</v>
      </c>
    </row>
    <row r="490" spans="1:9" ht="63" x14ac:dyDescent="0.25">
      <c r="A490" s="779" t="str">
        <f>IF(B490&gt;0,VLOOKUP(B490,КВСР!A120:B1285,2),IF(C490&gt;0,VLOOKUP(C490,КФСР!A120:B1632,2),IF(D490&gt;0,VLOOKUP(D490,Программа!A$1:B$5124,2),IF(F490&gt;0,VLOOKUP(F490,КВР!A$1:B$5001,2),IF(E490&gt;0,VLOOKUP(E490,Направление!A$1:B$4812,2))))))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90" s="114"/>
      <c r="C490" s="109"/>
      <c r="D490" s="110"/>
      <c r="E490" s="109">
        <v>73110</v>
      </c>
      <c r="F490" s="111"/>
      <c r="G490" s="115">
        <v>236312534</v>
      </c>
      <c r="H490" s="275">
        <f>H491+H492</f>
        <v>0</v>
      </c>
      <c r="I490" s="275">
        <f>I491+I492</f>
        <v>236312534</v>
      </c>
    </row>
    <row r="491" spans="1:9" ht="110.25" x14ac:dyDescent="0.25">
      <c r="A491" s="779" t="str">
        <f>IF(B491&gt;0,VLOOKUP(B491,КВСР!A121:B1286,2),IF(C491&gt;0,VLOOKUP(C491,КФСР!A121:B1633,2),IF(D491&gt;0,VLOOKUP(D491,Программа!A$1:B$5124,2),IF(F491&gt;0,VLOOKUP(F491,КВР!A$1:B$5001,2),IF(E491&gt;0,VLOOKUP(E491,Направление!A$1:B$4812,2))))))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114"/>
      <c r="C491" s="109"/>
      <c r="D491" s="111"/>
      <c r="E491" s="109"/>
      <c r="F491" s="111">
        <v>100</v>
      </c>
      <c r="G491" s="286">
        <v>228152620</v>
      </c>
      <c r="H491" s="275">
        <f>-100000+8700-8700</f>
        <v>-100000</v>
      </c>
      <c r="I491" s="117">
        <f t="shared" si="100"/>
        <v>228052620</v>
      </c>
    </row>
    <row r="492" spans="1:9" ht="63" x14ac:dyDescent="0.25">
      <c r="A492" s="779" t="str">
        <f>IF(B492&gt;0,VLOOKUP(B492,КВСР!A122:B1287,2),IF(C492&gt;0,VLOOKUP(C492,КФСР!A122:B1634,2),IF(D492&gt;0,VLOOKUP(D492,Программа!A$1:B$5124,2),IF(F492&gt;0,VLOOKUP(F492,КВР!A$1:B$5001,2),IF(E492&gt;0,VLOOKUP(E492,Направление!A$1:B$4812,2))))))</f>
        <v xml:space="preserve">Закупка товаров, работ и услуг для обеспечения государственных (муниципальных) нужд
</v>
      </c>
      <c r="B492" s="114"/>
      <c r="C492" s="109"/>
      <c r="D492" s="111"/>
      <c r="E492" s="109"/>
      <c r="F492" s="111">
        <v>200</v>
      </c>
      <c r="G492" s="286">
        <v>8159914</v>
      </c>
      <c r="H492" s="275">
        <v>100000</v>
      </c>
      <c r="I492" s="117">
        <f t="shared" si="100"/>
        <v>8259914</v>
      </c>
    </row>
    <row r="493" spans="1:9" hidden="1" x14ac:dyDescent="0.25">
      <c r="A493" s="779" t="str">
        <f>IF(B493&gt;0,VLOOKUP(B493,КВСР!A123:B1288,2),IF(C493&gt;0,VLOOKUP(C493,КФСР!A123:B1635,2),IF(D493&gt;0,VLOOKUP(D493,Программа!A$1:B$5124,2),IF(F493&gt;0,VLOOKUP(F493,КВР!A$1:B$5001,2),IF(E493&gt;0,VLOOKUP(E493,Направление!A$1:B$4812,2))))))</f>
        <v xml:space="preserve">Иная дотация </v>
      </c>
      <c r="B493" s="114"/>
      <c r="C493" s="109"/>
      <c r="D493" s="111"/>
      <c r="E493" s="109">
        <v>73260</v>
      </c>
      <c r="F493" s="111"/>
      <c r="G493" s="286">
        <v>0</v>
      </c>
      <c r="H493" s="275">
        <f t="shared" ref="H493:I493" si="113">H494</f>
        <v>0</v>
      </c>
      <c r="I493" s="286">
        <f t="shared" si="113"/>
        <v>0</v>
      </c>
    </row>
    <row r="494" spans="1:9" ht="63" hidden="1" x14ac:dyDescent="0.25">
      <c r="A494" s="779" t="str">
        <f>IF(B494&gt;0,VLOOKUP(B494,КВСР!A124:B1289,2),IF(C494&gt;0,VLOOKUP(C494,КФСР!A124:B1636,2),IF(D494&gt;0,VLOOKUP(D494,Программа!A$1:B$5124,2),IF(F494&gt;0,VLOOKUP(F494,КВР!A$1:B$5001,2),IF(E494&gt;0,VLOOKUP(E494,Направление!A$1:B$4812,2))))))</f>
        <v xml:space="preserve">Закупка товаров, работ и услуг для обеспечения государственных (муниципальных) нужд
</v>
      </c>
      <c r="B494" s="114"/>
      <c r="C494" s="109"/>
      <c r="D494" s="111"/>
      <c r="E494" s="109"/>
      <c r="F494" s="111">
        <v>200</v>
      </c>
      <c r="G494" s="286">
        <v>0</v>
      </c>
      <c r="H494" s="275"/>
      <c r="I494" s="117">
        <f>G494+H494</f>
        <v>0</v>
      </c>
    </row>
    <row r="495" spans="1:9" ht="47.25" x14ac:dyDescent="0.25">
      <c r="A495" s="779" t="str">
        <f>IF(B495&gt;0,VLOOKUP(B495,КВСР!A123:B1288,2),IF(C495&gt;0,VLOOKUP(C495,КФСР!A123:B1635,2),IF(D495&gt;0,VLOOKUP(D495,Программа!A$1:B$5124,2),IF(F495&gt;0,VLOOKUP(F495,КВР!A$1:B$5001,2),IF(E495&gt;0,VLOOKUP(E495,Направление!A$1:B$4812,2))))))</f>
        <v>Расходы на реализацию мероприятий инициативного бюджетирования на территории Ярославской области</v>
      </c>
      <c r="B495" s="114"/>
      <c r="C495" s="109"/>
      <c r="D495" s="111"/>
      <c r="E495" s="109">
        <v>75350</v>
      </c>
      <c r="F495" s="111"/>
      <c r="G495" s="286">
        <v>4667602</v>
      </c>
      <c r="H495" s="275">
        <f>H496+H497</f>
        <v>0</v>
      </c>
      <c r="I495" s="275">
        <f>I496+I497</f>
        <v>4667602</v>
      </c>
    </row>
    <row r="496" spans="1:9" ht="63" x14ac:dyDescent="0.25">
      <c r="A496" s="779" t="str">
        <f>IF(B496&gt;0,VLOOKUP(B496,КВСР!A124:B1289,2),IF(C496&gt;0,VLOOKUP(C496,КФСР!A124:B1636,2),IF(D496&gt;0,VLOOKUP(D496,Программа!A$1:B$5124,2),IF(F496&gt;0,VLOOKUP(F496,КВР!A$1:B$5001,2),IF(E496&gt;0,VLOOKUP(E496,Направление!A$1:B$4812,2))))))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1"/>
      <c r="E496" s="109"/>
      <c r="F496" s="111">
        <v>200</v>
      </c>
      <c r="G496" s="286">
        <v>4467602</v>
      </c>
      <c r="H496" s="275"/>
      <c r="I496" s="117">
        <f>G496+H496</f>
        <v>4467602</v>
      </c>
    </row>
    <row r="497" spans="1:9" ht="47.25" x14ac:dyDescent="0.25">
      <c r="A497" s="779" t="str">
        <f>IF(B497&gt;0,VLOOKUP(B497,КВСР!A125:B1290,2),IF(C497&gt;0,VLOOKUP(C497,КФСР!A125:B1637,2),IF(D497&gt;0,VLOOKUP(D497,Программа!A$1:B$5124,2),IF(F497&gt;0,VLOOKUP(F497,КВР!A$1:B$5001,2),IF(E497&gt;0,VLOOKUP(E497,Направление!A$1:B$4812,2))))))</f>
        <v>Предоставление субсидий бюджетным, автономным учреждениям и иным некоммерческим организациям</v>
      </c>
      <c r="B497" s="114"/>
      <c r="C497" s="109"/>
      <c r="D497" s="111"/>
      <c r="E497" s="109"/>
      <c r="F497" s="111">
        <v>600</v>
      </c>
      <c r="G497" s="286">
        <v>200000</v>
      </c>
      <c r="H497" s="275"/>
      <c r="I497" s="117">
        <f>G497+H497</f>
        <v>200000</v>
      </c>
    </row>
    <row r="498" spans="1:9" ht="63" x14ac:dyDescent="0.25">
      <c r="A498" s="779" t="str">
        <f>IF(B498&gt;0,VLOOKUP(B498,КВСР!A125:B1290,2),IF(C498&gt;0,VLOOKUP(C498,КФСР!A125:B1637,2),IF(D498&gt;0,VLOOKUP(D498,Программа!A$1:B$5124,2),IF(F498&gt;0,VLOOKUP(F498,КВР!A$1:B$5001,2),IF(E498&gt;0,VLOOKUP(E498,Направление!A$1:B$4812,2))))))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498" s="114"/>
      <c r="C498" s="109"/>
      <c r="D498" s="111"/>
      <c r="E498" s="109">
        <v>75890</v>
      </c>
      <c r="F498" s="111"/>
      <c r="G498" s="286">
        <v>847000</v>
      </c>
      <c r="H498" s="286">
        <f>H499</f>
        <v>0</v>
      </c>
      <c r="I498" s="286">
        <f t="shared" ref="I498" si="114">I499+I500</f>
        <v>847000</v>
      </c>
    </row>
    <row r="499" spans="1:9" ht="110.25" x14ac:dyDescent="0.25">
      <c r="A499" s="779" t="str">
        <f>IF(B499&gt;0,VLOOKUP(B499,КВСР!A126:B1291,2),IF(C499&gt;0,VLOOKUP(C499,КФСР!A126:B1638,2),IF(D499&gt;0,VLOOKUP(D499,Программа!A$1:B$5124,2),IF(F499&gt;0,VLOOKUP(F499,КВР!A$1:B$5001,2),IF(E499&gt;0,VLOOKUP(E499,Направление!A$1:B$4812,2))))))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9" s="114"/>
      <c r="C499" s="109"/>
      <c r="D499" s="111"/>
      <c r="E499" s="109"/>
      <c r="F499" s="111">
        <v>100</v>
      </c>
      <c r="G499" s="286">
        <v>847000</v>
      </c>
      <c r="H499" s="275"/>
      <c r="I499" s="117">
        <f>G499+H499</f>
        <v>847000</v>
      </c>
    </row>
    <row r="500" spans="1:9" ht="47.25" hidden="1" x14ac:dyDescent="0.25">
      <c r="A500" s="779" t="str">
        <f>IF(B500&gt;0,VLOOKUP(B500,КВСР!A127:B1292,2),IF(C500&gt;0,VLOOKUP(C500,КФСР!A127:B1639,2),IF(D500&gt;0,VLOOKUP(D500,Программа!A$1:B$5124,2),IF(F500&gt;0,VLOOKUP(F500,КВР!A$1:B$5001,2),IF(E500&gt;0,VLOOKUP(E500,Направление!A$1:B$4812,2))))))</f>
        <v>Предоставление субсидий бюджетным, автономным учреждениям и иным некоммерческим организациям</v>
      </c>
      <c r="B500" s="114"/>
      <c r="C500" s="109"/>
      <c r="D500" s="111"/>
      <c r="E500" s="109"/>
      <c r="F500" s="111">
        <v>600</v>
      </c>
      <c r="G500" s="286">
        <v>0</v>
      </c>
      <c r="H500" s="275"/>
      <c r="I500" s="117">
        <f>G500+H500</f>
        <v>0</v>
      </c>
    </row>
    <row r="501" spans="1:9" ht="47.25" hidden="1" x14ac:dyDescent="0.25">
      <c r="A501" s="779" t="str">
        <f>IF(B501&gt;0,VLOOKUP(B501,КВСР!A122:B1287,2),IF(C501&gt;0,VLOOKUP(C501,КФСР!A122:B1634,2),IF(D501&gt;0,VLOOKUP(D501,Программа!A$1:B$5124,2),IF(F501&gt;0,VLOOKUP(F501,КВР!A$1:B$5001,2),IF(E501&gt;0,VLOOKUP(E501,Направление!A$1:B$4812,2))))))</f>
        <v>Муниципальная программа "Социальная поддержка населения Тутаевского муниципального района"</v>
      </c>
      <c r="B501" s="114"/>
      <c r="C501" s="109"/>
      <c r="D501" s="110" t="s">
        <v>376</v>
      </c>
      <c r="E501" s="109"/>
      <c r="F501" s="111"/>
      <c r="G501" s="115">
        <v>0</v>
      </c>
      <c r="H501" s="275">
        <f>H502</f>
        <v>0</v>
      </c>
      <c r="I501" s="117">
        <f t="shared" si="100"/>
        <v>0</v>
      </c>
    </row>
    <row r="502" spans="1:9" ht="47.25" hidden="1" x14ac:dyDescent="0.25">
      <c r="A502" s="779" t="str">
        <f>IF(B502&gt;0,VLOOKUP(B502,КВСР!A123:B1288,2),IF(C502&gt;0,VLOOKUP(C502,КФСР!A123:B1635,2),IF(D502&gt;0,VLOOKUP(D502,Программа!A$1:B$5124,2),IF(F502&gt;0,VLOOKUP(F502,КВР!A$1:B$5001,2),IF(E502&gt;0,VLOOKUP(E502,Направление!A$1:B$4812,2))))))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502" s="114"/>
      <c r="C502" s="109"/>
      <c r="D502" s="110" t="s">
        <v>378</v>
      </c>
      <c r="E502" s="109"/>
      <c r="F502" s="111"/>
      <c r="G502" s="115">
        <v>0</v>
      </c>
      <c r="H502" s="275">
        <f>H503+H507</f>
        <v>0</v>
      </c>
      <c r="I502" s="117">
        <f t="shared" si="100"/>
        <v>0</v>
      </c>
    </row>
    <row r="503" spans="1:9" ht="63" hidden="1" x14ac:dyDescent="0.25">
      <c r="A503" s="779" t="str">
        <f>IF(B503&gt;0,VLOOKUP(B503,КВСР!A124:B1289,2),IF(C503&gt;0,VLOOKUP(C503,КФСР!A124:B1636,2),IF(D503&gt;0,VLOOKUP(D503,Программа!A$1:B$5124,2),IF(F503&gt;0,VLOOKUP(F503,КВР!A$1:B$5001,2),IF(E503&gt;0,VLOOKUP(E503,Направление!A$1:B$4812,2))))))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3" s="114"/>
      <c r="C503" s="109"/>
      <c r="D503" s="110" t="s">
        <v>379</v>
      </c>
      <c r="E503" s="109"/>
      <c r="F503" s="111"/>
      <c r="G503" s="115">
        <v>0</v>
      </c>
      <c r="H503" s="275">
        <f>H504</f>
        <v>0</v>
      </c>
      <c r="I503" s="117">
        <f t="shared" si="100"/>
        <v>0</v>
      </c>
    </row>
    <row r="504" spans="1:9" ht="31.5" hidden="1" x14ac:dyDescent="0.25">
      <c r="A504" s="779" t="str">
        <f>IF(B504&gt;0,VLOOKUP(B504,КВСР!A125:B1290,2),IF(C504&gt;0,VLOOKUP(C504,КФСР!A125:B1637,2),IF(D504&gt;0,VLOOKUP(D504,Программа!A$1:B$5124,2),IF(F504&gt;0,VLOOKUP(F504,КВР!A$1:B$5001,2),IF(E504&gt;0,VLOOKUP(E504,Направление!A$1:B$4812,2))))))</f>
        <v>Расходы на реализацию мероприятий по улучшению условий и охраны труда</v>
      </c>
      <c r="B504" s="114"/>
      <c r="C504" s="109"/>
      <c r="D504" s="110"/>
      <c r="E504" s="109">
        <v>16150</v>
      </c>
      <c r="F504" s="111"/>
      <c r="G504" s="115">
        <v>0</v>
      </c>
      <c r="H504" s="275">
        <f>H505+H506</f>
        <v>0</v>
      </c>
      <c r="I504" s="117">
        <f t="shared" si="100"/>
        <v>0</v>
      </c>
    </row>
    <row r="505" spans="1:9" ht="63" hidden="1" x14ac:dyDescent="0.25">
      <c r="A505" s="779" t="str">
        <f>IF(B505&gt;0,VLOOKUP(B505,КВСР!A126:B1291,2),IF(C505&gt;0,VLOOKUP(C505,КФСР!A126:B1638,2),IF(D505&gt;0,VLOOKUP(D505,Программа!A$1:B$5124,2),IF(F505&gt;0,VLOOKUP(F505,КВР!A$1:B$5001,2),IF(E505&gt;0,VLOOKUP(E505,Направление!A$1:B$4812,2))))))</f>
        <v xml:space="preserve">Закупка товаров, работ и услуг для обеспечения государственных (муниципальных) нужд
</v>
      </c>
      <c r="B505" s="114"/>
      <c r="C505" s="109"/>
      <c r="D505" s="110"/>
      <c r="E505" s="109"/>
      <c r="F505" s="111">
        <v>200</v>
      </c>
      <c r="G505" s="286">
        <v>0</v>
      </c>
      <c r="H505" s="275"/>
      <c r="I505" s="117">
        <f t="shared" si="100"/>
        <v>0</v>
      </c>
    </row>
    <row r="506" spans="1:9" ht="47.25" hidden="1" x14ac:dyDescent="0.25">
      <c r="A506" s="779" t="str">
        <f>IF(B506&gt;0,VLOOKUP(B506,КВСР!A127:B1292,2),IF(C506&gt;0,VLOOKUP(C506,КФСР!A127:B1639,2),IF(D506&gt;0,VLOOKUP(D506,Программа!A$1:B$5124,2),IF(F506&gt;0,VLOOKUP(F506,КВР!A$1:B$5001,2),IF(E506&gt;0,VLOOKUP(E506,Направление!A$1:B$4812,2))))))</f>
        <v>Предоставление субсидий бюджетным, автономным учреждениям и иным некоммерческим организациям</v>
      </c>
      <c r="B506" s="114"/>
      <c r="C506" s="109"/>
      <c r="D506" s="110"/>
      <c r="E506" s="109"/>
      <c r="F506" s="111">
        <v>600</v>
      </c>
      <c r="G506" s="286">
        <v>0</v>
      </c>
      <c r="H506" s="275"/>
      <c r="I506" s="117">
        <f t="shared" si="100"/>
        <v>0</v>
      </c>
    </row>
    <row r="507" spans="1:9" ht="47.25" hidden="1" x14ac:dyDescent="0.25">
      <c r="A507" s="779" t="str">
        <f>IF(B507&gt;0,VLOOKUP(B507,КВСР!A127:B1292,2),IF(C507&gt;0,VLOOKUP(C507,КФСР!A127:B1639,2),IF(D507&gt;0,VLOOKUP(D507,Программа!A$1:B$5124,2),IF(F507&gt;0,VLOOKUP(F507,КВР!A$1:B$5001,2),IF(E507&gt;0,VLOOKUP(E507,Направление!A$1:B$4812,2))))))</f>
        <v>Обучение по охране труда работников организаций Тутаевского муниципального района</v>
      </c>
      <c r="B507" s="114"/>
      <c r="C507" s="109"/>
      <c r="D507" s="110" t="s">
        <v>1036</v>
      </c>
      <c r="E507" s="109"/>
      <c r="F507" s="111"/>
      <c r="G507" s="286">
        <v>0</v>
      </c>
      <c r="H507" s="275">
        <f>H508</f>
        <v>0</v>
      </c>
      <c r="I507" s="117">
        <f t="shared" si="100"/>
        <v>0</v>
      </c>
    </row>
    <row r="508" spans="1:9" ht="31.5" hidden="1" x14ac:dyDescent="0.25">
      <c r="A508" s="779" t="str">
        <f>IF(B508&gt;0,VLOOKUP(B508,КВСР!A128:B1293,2),IF(C508&gt;0,VLOOKUP(C508,КФСР!A128:B1640,2),IF(D508&gt;0,VLOOKUP(D508,Программа!A$1:B$5124,2),IF(F508&gt;0,VLOOKUP(F508,КВР!A$1:B$5001,2),IF(E508&gt;0,VLOOKUP(E508,Направление!A$1:B$4812,2))))))</f>
        <v>Расходы на реализацию мероприятий по улучшению условий и охраны труда</v>
      </c>
      <c r="B508" s="114"/>
      <c r="C508" s="109"/>
      <c r="D508" s="110"/>
      <c r="E508" s="109">
        <v>16150</v>
      </c>
      <c r="F508" s="111"/>
      <c r="G508" s="286">
        <v>0</v>
      </c>
      <c r="H508" s="275">
        <f>H509</f>
        <v>0</v>
      </c>
      <c r="I508" s="117">
        <f t="shared" si="100"/>
        <v>0</v>
      </c>
    </row>
    <row r="509" spans="1:9" ht="63" hidden="1" x14ac:dyDescent="0.25">
      <c r="A509" s="779" t="str">
        <f>IF(B509&gt;0,VLOOKUP(B509,КВСР!A129:B1294,2),IF(C509&gt;0,VLOOKUP(C509,КФСР!A129:B1641,2),IF(D509&gt;0,VLOOKUP(D509,Программа!A$1:B$5124,2),IF(F509&gt;0,VLOOKUP(F509,КВР!A$1:B$5001,2),IF(E509&gt;0,VLOOKUP(E509,Направление!A$1:B$4812,2))))))</f>
        <v xml:space="preserve">Закупка товаров, работ и услуг для обеспечения государственных (муниципальных) нужд
</v>
      </c>
      <c r="B509" s="114"/>
      <c r="C509" s="109"/>
      <c r="D509" s="110"/>
      <c r="E509" s="109"/>
      <c r="F509" s="111">
        <v>200</v>
      </c>
      <c r="G509" s="286">
        <v>0</v>
      </c>
      <c r="H509" s="275"/>
      <c r="I509" s="117">
        <f t="shared" si="100"/>
        <v>0</v>
      </c>
    </row>
    <row r="510" spans="1:9" hidden="1" x14ac:dyDescent="0.25">
      <c r="A510" s="779" t="str">
        <f>IF(B510&gt;0,VLOOKUP(B510,КВСР!A125:B1290,2),IF(C510&gt;0,VLOOKUP(C510,КФСР!A125:B1637,2),IF(D510&gt;0,VLOOKUP(D510,Программа!A$1:B$5124,2),IF(F510&gt;0,VLOOKUP(F510,КВР!A$1:B$5001,2),IF(E510&gt;0,VLOOKUP(E510,Направление!A$1:B$4812,2))))))</f>
        <v>Непрограммные расходы бюджета</v>
      </c>
      <c r="B510" s="114"/>
      <c r="C510" s="109"/>
      <c r="D510" s="110" t="s">
        <v>311</v>
      </c>
      <c r="E510" s="109"/>
      <c r="F510" s="111"/>
      <c r="G510" s="117">
        <v>0</v>
      </c>
      <c r="H510" s="886">
        <f>H511</f>
        <v>0</v>
      </c>
      <c r="I510" s="117">
        <f t="shared" si="100"/>
        <v>0</v>
      </c>
    </row>
    <row r="511" spans="1:9" ht="47.25" hidden="1" x14ac:dyDescent="0.25">
      <c r="A511" s="779" t="str">
        <f>IF(B511&gt;0,VLOOKUP(B511,КВСР!A117:B1282,2),IF(C511&gt;0,VLOOKUP(C511,КФСР!A117:B1629,2),IF(D511&gt;0,VLOOKUP(D511,Программа!A$1:B$5124,2),IF(F511&gt;0,VLOOKUP(F511,КВР!A$1:B$5001,2),IF(E511&gt;0,VLOOKUP(E511,Направление!A$1:B$4812,2))))))</f>
        <v>Исполнение судебных актов, актов других органов и должностных лиц, иных документов</v>
      </c>
      <c r="B511" s="114"/>
      <c r="C511" s="109"/>
      <c r="D511" s="110"/>
      <c r="E511" s="109">
        <v>12130</v>
      </c>
      <c r="F511" s="111"/>
      <c r="G511" s="268">
        <v>0</v>
      </c>
      <c r="H511" s="330">
        <f>H512</f>
        <v>0</v>
      </c>
      <c r="I511" s="117">
        <f t="shared" si="100"/>
        <v>0</v>
      </c>
    </row>
    <row r="512" spans="1:9" ht="47.25" hidden="1" x14ac:dyDescent="0.25">
      <c r="A512" s="779" t="str">
        <f>IF(B512&gt;0,VLOOKUP(B512,КВСР!A118:B1283,2),IF(C512&gt;0,VLOOKUP(C512,КФСР!A118:B1630,2),IF(D512&gt;0,VLOOKUP(D512,Программа!A$1:B$5124,2),IF(F512&gt;0,VLOOKUP(F512,КВР!A$1:B$5001,2),IF(E512&gt;0,VLOOKUP(E512,Направление!A$1:B$4812,2))))))</f>
        <v>Предоставление субсидий бюджетным, автономным учреждениям и иным некоммерческим организациям</v>
      </c>
      <c r="B512" s="114"/>
      <c r="C512" s="109"/>
      <c r="D512" s="111"/>
      <c r="E512" s="109"/>
      <c r="F512" s="111">
        <v>600</v>
      </c>
      <c r="G512" s="268">
        <v>0</v>
      </c>
      <c r="H512" s="330"/>
      <c r="I512" s="117">
        <f t="shared" si="100"/>
        <v>0</v>
      </c>
    </row>
    <row r="513" spans="1:9" x14ac:dyDescent="0.25">
      <c r="A513" s="779" t="str">
        <f>IF(B513&gt;0,VLOOKUP(B513,КВСР!A120:B1285,2),IF(C513&gt;0,VLOOKUP(C513,КФСР!A120:B1632,2),IF(D513&gt;0,VLOOKUP(D513,Программа!A$1:B$5124,2),IF(F513&gt;0,VLOOKUP(F513,КВР!A$1:B$5001,2),IF(E513&gt;0,VLOOKUP(E513,Направление!A$1:B$4812,2))))))</f>
        <v>Общее образование</v>
      </c>
      <c r="B513" s="114"/>
      <c r="C513" s="109">
        <v>702</v>
      </c>
      <c r="D513" s="110"/>
      <c r="E513" s="109"/>
      <c r="F513" s="111"/>
      <c r="G513" s="117">
        <v>566004344</v>
      </c>
      <c r="H513" s="330">
        <f>H519+H558+H514</f>
        <v>-183876.6399999999</v>
      </c>
      <c r="I513" s="330">
        <f>I519+I558+I514</f>
        <v>565820467.36000001</v>
      </c>
    </row>
    <row r="514" spans="1:9" ht="63" x14ac:dyDescent="0.25">
      <c r="A514" s="779" t="str">
        <f>IF(B514&gt;0,VLOOKUP(B514,КВСР!A121:B1286,2),IF(C514&gt;0,VLOOKUP(C514,КФСР!A121:B1633,2),IF(D514&gt;0,VLOOKUP(D514,Программа!A$1:B$5124,2),IF(F514&gt;0,VLOOKUP(F514,КВР!A$1:B$5001,2),IF(E514&gt;0,VLOOKUP(E514,Направление!A$1:B$4812,2))))))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514" s="114"/>
      <c r="C514" s="109"/>
      <c r="D514" s="110" t="s">
        <v>396</v>
      </c>
      <c r="E514" s="109"/>
      <c r="F514" s="111"/>
      <c r="G514" s="117">
        <v>15000</v>
      </c>
      <c r="H514" s="117">
        <f t="shared" ref="H514:I517" si="115">H515</f>
        <v>0</v>
      </c>
      <c r="I514" s="117">
        <f t="shared" si="115"/>
        <v>15000</v>
      </c>
    </row>
    <row r="515" spans="1:9" ht="94.5" x14ac:dyDescent="0.25">
      <c r="A515" s="779" t="str">
        <f>IF(B515&gt;0,VLOOKUP(B515,КВСР!A122:B1287,2),IF(C515&gt;0,VLOOKUP(C515,КФСР!A122:B1634,2),IF(D515&gt;0,VLOOKUP(D515,Программа!A$1:B$5124,2),IF(F515&gt;0,VLOOKUP(F515,КВР!A$1:B$5001,2),IF(E515&gt;0,VLOOKUP(E515,Направление!A$1:B$4812,2))))))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5" s="114"/>
      <c r="C515" s="109"/>
      <c r="D515" s="110" t="s">
        <v>398</v>
      </c>
      <c r="E515" s="109"/>
      <c r="F515" s="111"/>
      <c r="G515" s="117">
        <v>15000</v>
      </c>
      <c r="H515" s="117">
        <f t="shared" si="115"/>
        <v>0</v>
      </c>
      <c r="I515" s="117">
        <f t="shared" si="115"/>
        <v>15000</v>
      </c>
    </row>
    <row r="516" spans="1:9" ht="78.75" x14ac:dyDescent="0.25">
      <c r="A516" s="779" t="str">
        <f>IF(B516&gt;0,VLOOKUP(B516,КВСР!A123:B1288,2),IF(C516&gt;0,VLOOKUP(C516,КФСР!A123:B1635,2),IF(D516&gt;0,VLOOKUP(D516,Программа!A$1:B$5124,2),IF(F516&gt;0,VLOOKUP(F516,КВР!A$1:B$5001,2),IF(E516&gt;0,VLOOKUP(E516,Направление!A$1:B$4812,2))))))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16" s="114"/>
      <c r="C516" s="109"/>
      <c r="D516" s="110" t="s">
        <v>400</v>
      </c>
      <c r="E516" s="109"/>
      <c r="F516" s="111"/>
      <c r="G516" s="117">
        <v>15000</v>
      </c>
      <c r="H516" s="117">
        <f t="shared" si="115"/>
        <v>0</v>
      </c>
      <c r="I516" s="117">
        <f t="shared" si="115"/>
        <v>15000</v>
      </c>
    </row>
    <row r="517" spans="1:9" ht="31.5" x14ac:dyDescent="0.25">
      <c r="A517" s="779" t="str">
        <f>IF(B517&gt;0,VLOOKUP(B517,КВСР!A124:B1289,2),IF(C517&gt;0,VLOOKUP(C517,КФСР!A124:B1636,2),IF(D517&gt;0,VLOOKUP(D517,Программа!A$1:B$5124,2),IF(F517&gt;0,VLOOKUP(F517,КВР!A$1:B$5001,2),IF(E517&gt;0,VLOOKUP(E517,Направление!A$1:B$4812,2))))))</f>
        <v>Мероприятия по патриотическому воспитанию граждан</v>
      </c>
      <c r="B517" s="114"/>
      <c r="C517" s="109"/>
      <c r="D517" s="110"/>
      <c r="E517" s="109">
        <v>74880</v>
      </c>
      <c r="F517" s="111"/>
      <c r="G517" s="117">
        <v>15000</v>
      </c>
      <c r="H517" s="117">
        <f t="shared" si="115"/>
        <v>0</v>
      </c>
      <c r="I517" s="117">
        <f t="shared" si="115"/>
        <v>15000</v>
      </c>
    </row>
    <row r="518" spans="1:9" ht="47.25" x14ac:dyDescent="0.25">
      <c r="A518" s="779" t="str">
        <f>IF(B518&gt;0,VLOOKUP(B518,КВСР!A125:B1290,2),IF(C518&gt;0,VLOOKUP(C518,КФСР!A125:B1637,2),IF(D518&gt;0,VLOOKUP(D518,Программа!A$1:B$5124,2),IF(F518&gt;0,VLOOKUP(F518,КВР!A$1:B$5001,2),IF(E518&gt;0,VLOOKUP(E518,Направление!A$1:B$4812,2))))))</f>
        <v>Предоставление субсидий бюджетным, автономным учреждениям и иным некоммерческим организациям</v>
      </c>
      <c r="B518" s="114"/>
      <c r="C518" s="109"/>
      <c r="D518" s="110"/>
      <c r="E518" s="109"/>
      <c r="F518" s="111">
        <v>600</v>
      </c>
      <c r="G518" s="117">
        <v>15000</v>
      </c>
      <c r="H518" s="330"/>
      <c r="I518" s="330">
        <f>G518+H518</f>
        <v>15000</v>
      </c>
    </row>
    <row r="519" spans="1:9" ht="63" x14ac:dyDescent="0.25">
      <c r="A519" s="779" t="str">
        <f>IF(B519&gt;0,VLOOKUP(B519,КВСР!A121:B1286,2),IF(C519&gt;0,VLOOKUP(C519,КФСР!A121:B1633,2),IF(D519&gt;0,VLOOKUP(D519,Программа!A$1:B$5124,2),IF(F519&gt;0,VLOOKUP(F519,КВР!A$1:B$5001,2),IF(E519&gt;0,VLOOKUP(E519,Направление!A$1:B$4812,2))))))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519" s="114"/>
      <c r="C519" s="109"/>
      <c r="D519" s="110" t="s">
        <v>367</v>
      </c>
      <c r="E519" s="109"/>
      <c r="F519" s="111"/>
      <c r="G519" s="117">
        <v>565989344</v>
      </c>
      <c r="H519" s="330">
        <f>H520+H554</f>
        <v>-183876.6399999999</v>
      </c>
      <c r="I519" s="330">
        <f>I520+I554</f>
        <v>565805467.36000001</v>
      </c>
    </row>
    <row r="520" spans="1:9" ht="63" x14ac:dyDescent="0.25">
      <c r="A520" s="779" t="str">
        <f>IF(B520&gt;0,VLOOKUP(B520,КВСР!A122:B1287,2),IF(C520&gt;0,VLOOKUP(C520,КФСР!A122:B1634,2),IF(D520&gt;0,VLOOKUP(D520,Программа!A$1:B$5124,2),IF(F520&gt;0,VLOOKUP(F520,КВР!A$1:B$5001,2),IF(E520&gt;0,VLOOKUP(E520,Направление!A$1:B$4812,2))))))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520" s="114"/>
      <c r="C520" s="109"/>
      <c r="D520" s="110" t="s">
        <v>369</v>
      </c>
      <c r="E520" s="109"/>
      <c r="F520" s="111"/>
      <c r="G520" s="117">
        <v>565989344</v>
      </c>
      <c r="H520" s="330">
        <f>H521+H551+H546</f>
        <v>-183876.6399999999</v>
      </c>
      <c r="I520" s="330">
        <f>I521+I551+I546</f>
        <v>565805467.36000001</v>
      </c>
    </row>
    <row r="521" spans="1:9" ht="47.25" x14ac:dyDescent="0.25">
      <c r="A521" s="779" t="str">
        <f>IF(B521&gt;0,VLOOKUP(B521,КВСР!A123:B1288,2),IF(C521&gt;0,VLOOKUP(C521,КФСР!A123:B1635,2),IF(D521&gt;0,VLOOKUP(D521,Программа!A$1:B$5124,2),IF(F521&gt;0,VLOOKUP(F521,КВР!A$1:B$5001,2),IF(E521&gt;0,VLOOKUP(E521,Направление!A$1:B$4812,2))))))</f>
        <v>Обеспечение качества и доступности образовательных услуг в сфере общего образования</v>
      </c>
      <c r="B521" s="114"/>
      <c r="C521" s="109"/>
      <c r="D521" s="110" t="s">
        <v>409</v>
      </c>
      <c r="E521" s="109"/>
      <c r="F521" s="111"/>
      <c r="G521" s="117">
        <v>563869344</v>
      </c>
      <c r="H521" s="330">
        <f>H524+H526+H530+H534+H536+H542+H544+H528+H538+H540+H522+H532</f>
        <v>-183876.6399999999</v>
      </c>
      <c r="I521" s="330">
        <f>I524+I526+I530+I534+I536+I542+I544+I528+I538+I540+I522+I532</f>
        <v>563685467.36000001</v>
      </c>
    </row>
    <row r="522" spans="1:9" ht="63" x14ac:dyDescent="0.25">
      <c r="A522" s="779" t="str">
        <f>IF(B522&gt;0,VLOOKUP(B522,КВСР!A124:B1289,2),IF(C522&gt;0,VLOOKUP(C522,КФСР!A124:B1636,2),IF(D522&gt;0,VLOOKUP(D522,Программа!A$1:B$5124,2),IF(F522&gt;0,VLOOKUP(F522,КВР!A$1:B$5001,2),IF(E522&gt;0,VLOOKUP(E522,Направление!A$1:B$4812,2))))))</f>
        <v>Расходы на развитие материально-технической базы общеобразовательных организаций для организации питания обучающихся</v>
      </c>
      <c r="B522" s="114"/>
      <c r="C522" s="109"/>
      <c r="D522" s="110"/>
      <c r="E522" s="109">
        <v>10371</v>
      </c>
      <c r="F522" s="111"/>
      <c r="G522" s="117">
        <v>94737</v>
      </c>
      <c r="H522" s="117">
        <f>H523</f>
        <v>0</v>
      </c>
      <c r="I522" s="275">
        <f t="shared" ref="I522" si="116">I523</f>
        <v>94737</v>
      </c>
    </row>
    <row r="523" spans="1:9" ht="47.25" x14ac:dyDescent="0.25">
      <c r="A523" s="779" t="str">
        <f>IF(B523&gt;0,VLOOKUP(B523,КВСР!A125:B1290,2),IF(C523&gt;0,VLOOKUP(C523,КФСР!A125:B1637,2),IF(D523&gt;0,VLOOKUP(D523,Программа!A$1:B$5124,2),IF(F523&gt;0,VLOOKUP(F523,КВР!A$1:B$5001,2),IF(E523&gt;0,VLOOKUP(E523,Направление!A$1:B$4812,2))))))</f>
        <v>Предоставление субсидий бюджетным, автономным учреждениям и иным некоммерческим организациям</v>
      </c>
      <c r="B523" s="114"/>
      <c r="C523" s="109"/>
      <c r="D523" s="110"/>
      <c r="E523" s="109"/>
      <c r="F523" s="111">
        <v>600</v>
      </c>
      <c r="G523" s="117">
        <v>94737</v>
      </c>
      <c r="H523" s="330"/>
      <c r="I523" s="117">
        <f t="shared" si="100"/>
        <v>94737</v>
      </c>
    </row>
    <row r="524" spans="1:9" ht="31.5" x14ac:dyDescent="0.25">
      <c r="A524" s="779" t="str">
        <f>IF(B524&gt;0,VLOOKUP(B524,КВСР!A123:B1288,2),IF(C524&gt;0,VLOOKUP(C524,КФСР!A123:B1635,2),IF(D524&gt;0,VLOOKUP(D524,Программа!A$1:B$5124,2),IF(F524&gt;0,VLOOKUP(F524,КВР!A$1:B$5001,2),IF(E524&gt;0,VLOOKUP(E524,Направление!A$1:B$4812,2))))))</f>
        <v>Обеспечение деятельности общеобразовательных учреждений</v>
      </c>
      <c r="B524" s="114"/>
      <c r="C524" s="109"/>
      <c r="D524" s="110"/>
      <c r="E524" s="109">
        <v>13110</v>
      </c>
      <c r="F524" s="111"/>
      <c r="G524" s="115">
        <v>91287657</v>
      </c>
      <c r="H524" s="275">
        <f>H525</f>
        <v>-904906.6399999999</v>
      </c>
      <c r="I524" s="275">
        <f>I525</f>
        <v>90382750.359999999</v>
      </c>
    </row>
    <row r="525" spans="1:9" ht="47.25" x14ac:dyDescent="0.25">
      <c r="A525" s="779" t="str">
        <f>IF(B525&gt;0,VLOOKUP(B525,КВСР!A124:B1289,2),IF(C525&gt;0,VLOOKUP(C525,КФСР!A124:B1636,2),IF(D525&gt;0,VLOOKUP(D525,Программа!A$1:B$5124,2),IF(F525&gt;0,VLOOKUP(F525,КВР!A$1:B$5001,2),IF(E525&gt;0,VLOOKUP(E525,Направление!A$1:B$4812,2))))))</f>
        <v>Предоставление субсидий бюджетным, автономным учреждениям и иным некоммерческим организациям</v>
      </c>
      <c r="B525" s="114"/>
      <c r="C525" s="109"/>
      <c r="D525" s="111"/>
      <c r="E525" s="109"/>
      <c r="F525" s="111">
        <v>600</v>
      </c>
      <c r="G525" s="286">
        <v>91287657</v>
      </c>
      <c r="H525" s="275">
        <f>182834+140000+474082.59-1701823.23</f>
        <v>-904906.6399999999</v>
      </c>
      <c r="I525" s="117">
        <f t="shared" si="100"/>
        <v>90382750.359999999</v>
      </c>
    </row>
    <row r="526" spans="1:9" ht="47.25" x14ac:dyDescent="0.25">
      <c r="A526" s="779" t="str">
        <f>IF(B526&gt;0,VLOOKUP(B526,КВСР!A125:B1290,2),IF(C526&gt;0,VLOOKUP(C526,КФСР!A125:B1637,2),IF(D526&gt;0,VLOOKUP(D526,Программа!A$1:B$5124,2),IF(F526&gt;0,VLOOKUP(F526,КВР!A$1:B$5001,2),IF(E526&gt;0,VLOOKUP(E526,Направление!A$1:B$4812,2))))))</f>
        <v>Расходы на реализацию мероприятий инициативного бюджетирования на территории Ярославской области</v>
      </c>
      <c r="B526" s="114"/>
      <c r="C526" s="109"/>
      <c r="D526" s="110"/>
      <c r="E526" s="109">
        <v>15350</v>
      </c>
      <c r="F526" s="111"/>
      <c r="G526" s="117">
        <v>295937</v>
      </c>
      <c r="H526" s="330">
        <f>H527</f>
        <v>0</v>
      </c>
      <c r="I526" s="330">
        <f>I527</f>
        <v>295937</v>
      </c>
    </row>
    <row r="527" spans="1:9" ht="47.25" x14ac:dyDescent="0.25">
      <c r="A527" s="779" t="str">
        <f>IF(B527&gt;0,VLOOKUP(B527,КВСР!A126:B1291,2),IF(C527&gt;0,VLOOKUP(C527,КФСР!A126:B1638,2),IF(D527&gt;0,VLOOKUP(D527,Программа!A$1:B$5124,2),IF(F527&gt;0,VLOOKUP(F527,КВР!A$1:B$5001,2),IF(E527&gt;0,VLOOKUP(E527,Направление!A$1:B$4812,2))))))</f>
        <v>Предоставление субсидий бюджетным, автономным учреждениям и иным некоммерческим организациям</v>
      </c>
      <c r="B527" s="120"/>
      <c r="C527" s="121"/>
      <c r="D527" s="122"/>
      <c r="E527" s="121"/>
      <c r="F527" s="122">
        <v>600</v>
      </c>
      <c r="G527" s="268">
        <v>295937</v>
      </c>
      <c r="H527" s="330"/>
      <c r="I527" s="117">
        <f t="shared" si="100"/>
        <v>295937</v>
      </c>
    </row>
    <row r="528" spans="1:9" ht="47.25" hidden="1" x14ac:dyDescent="0.25">
      <c r="A528" s="779" t="str">
        <f>IF(B528&gt;0,VLOOKUP(B528,КВСР!A127:B1292,2),IF(C528&gt;0,VLOOKUP(C528,КФСР!A127:B1639,2),IF(D528&gt;0,VLOOKUP(D528,Программа!A$1:B$5124,2),IF(F528&gt;0,VLOOKUP(F528,КВР!A$1:B$5001,2),IF(E528&gt;0,VLOOKUP(E528,Направление!A$1:B$4812,2))))))</f>
        <v>Расходы на повышение антитеррористической защищенности объектов  образования</v>
      </c>
      <c r="B528" s="120"/>
      <c r="C528" s="121"/>
      <c r="D528" s="122"/>
      <c r="E528" s="121">
        <v>17440</v>
      </c>
      <c r="F528" s="122"/>
      <c r="G528" s="268">
        <v>0</v>
      </c>
      <c r="H528" s="268">
        <f t="shared" ref="H528:I528" si="117">H529</f>
        <v>0</v>
      </c>
      <c r="I528" s="268">
        <f t="shared" si="117"/>
        <v>0</v>
      </c>
    </row>
    <row r="529" spans="1:9" ht="47.25" hidden="1" x14ac:dyDescent="0.25">
      <c r="A529" s="779" t="str">
        <f>IF(B529&gt;0,VLOOKUP(B529,КВСР!A128:B1293,2),IF(C529&gt;0,VLOOKUP(C529,КФСР!A128:B1640,2),IF(D529&gt;0,VLOOKUP(D529,Программа!A$1:B$5124,2),IF(F529&gt;0,VLOOKUP(F529,КВР!A$1:B$5001,2),IF(E529&gt;0,VLOOKUP(E529,Направление!A$1:B$4812,2))))))</f>
        <v>Предоставление субсидий бюджетным, автономным учреждениям и иным некоммерческим организациям</v>
      </c>
      <c r="B529" s="120"/>
      <c r="C529" s="121"/>
      <c r="D529" s="122"/>
      <c r="E529" s="121"/>
      <c r="F529" s="122">
        <v>600</v>
      </c>
      <c r="G529" s="268">
        <v>0</v>
      </c>
      <c r="H529" s="330"/>
      <c r="I529" s="117">
        <f t="shared" si="100"/>
        <v>0</v>
      </c>
    </row>
    <row r="530" spans="1:9" ht="78.75" x14ac:dyDescent="0.25">
      <c r="A530" s="779" t="str">
        <f>IF(B530&gt;0,VLOOKUP(B530,КВСР!A129:B1294,2),IF(C530&gt;0,VLOOKUP(C530,КФСР!A129:B1641,2),IF(D530&gt;0,VLOOKUP(D530,Программа!A$1:B$5124,2),IF(F530&gt;0,VLOOKUP(F530,КВР!A$1:B$5001,2),IF(E530&gt;0,VLOOKUP(E530,Направление!A$1:B$4812,2))))))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30" s="120"/>
      <c r="C530" s="121"/>
      <c r="D530" s="123"/>
      <c r="E530" s="121">
        <v>53031</v>
      </c>
      <c r="F530" s="122"/>
      <c r="G530" s="117">
        <v>23201640</v>
      </c>
      <c r="H530" s="330">
        <f>H531</f>
        <v>721030</v>
      </c>
      <c r="I530" s="330">
        <f>I531</f>
        <v>23922670</v>
      </c>
    </row>
    <row r="531" spans="1:9" ht="47.25" x14ac:dyDescent="0.25">
      <c r="A531" s="779" t="str">
        <f>IF(B531&gt;0,VLOOKUP(B531,КВСР!A130:B1295,2),IF(C531&gt;0,VLOOKUP(C531,КФСР!A130:B1642,2),IF(D531&gt;0,VLOOKUP(D531,Программа!A$1:B$5124,2),IF(F531&gt;0,VLOOKUP(F531,КВР!A$1:B$5001,2),IF(E531&gt;0,VLOOKUP(E531,Направление!A$1:B$4812,2))))))</f>
        <v>Предоставление субсидий бюджетным, автономным учреждениям и иным некоммерческим организациям</v>
      </c>
      <c r="B531" s="120"/>
      <c r="C531" s="121"/>
      <c r="D531" s="122"/>
      <c r="E531" s="121"/>
      <c r="F531" s="111">
        <v>600</v>
      </c>
      <c r="G531" s="286">
        <v>23201640</v>
      </c>
      <c r="H531" s="275">
        <v>721030</v>
      </c>
      <c r="I531" s="117">
        <f t="shared" si="100"/>
        <v>23922670</v>
      </c>
    </row>
    <row r="532" spans="1:9" ht="63" x14ac:dyDescent="0.25">
      <c r="A532" s="779" t="str">
        <f>IF(B532&gt;0,VLOOKUP(B532,КВСР!A131:B1296,2),IF(C532&gt;0,VLOOKUP(C532,КФСР!A131:B1643,2),IF(D532&gt;0,VLOOKUP(D532,Программа!A$1:B$5124,2),IF(F532&gt;0,VLOOKUP(F532,КВР!A$1:B$5001,2),IF(E532&gt;0,VLOOKUP(E532,Направление!A$1:B$4812,2))))))</f>
        <v>Расходы на развитие материально-технической базы общеобразовательных организаций для организации питания обучающихся</v>
      </c>
      <c r="B532" s="120"/>
      <c r="C532" s="121"/>
      <c r="D532" s="122"/>
      <c r="E532" s="121">
        <v>70370</v>
      </c>
      <c r="F532" s="111"/>
      <c r="G532" s="286">
        <v>1800000</v>
      </c>
      <c r="H532" s="286">
        <f t="shared" ref="H532:I532" si="118">H533</f>
        <v>0</v>
      </c>
      <c r="I532" s="286">
        <f t="shared" si="118"/>
        <v>1800000</v>
      </c>
    </row>
    <row r="533" spans="1:9" ht="47.25" x14ac:dyDescent="0.25">
      <c r="A533" s="779" t="str">
        <f>IF(B533&gt;0,VLOOKUP(B533,КВСР!A132:B1297,2),IF(C533&gt;0,VLOOKUP(C533,КФСР!A132:B1644,2),IF(D533&gt;0,VLOOKUP(D533,Программа!A$1:B$5124,2),IF(F533&gt;0,VLOOKUP(F533,КВР!A$1:B$5001,2),IF(E533&gt;0,VLOOKUP(E533,Направление!A$1:B$4812,2))))))</f>
        <v>Предоставление субсидий бюджетным, автономным учреждениям и иным некоммерческим организациям</v>
      </c>
      <c r="B533" s="120"/>
      <c r="C533" s="121"/>
      <c r="D533" s="122"/>
      <c r="E533" s="121"/>
      <c r="F533" s="111">
        <v>600</v>
      </c>
      <c r="G533" s="286">
        <v>1800000</v>
      </c>
      <c r="H533" s="275"/>
      <c r="I533" s="117">
        <f>G533+H533</f>
        <v>1800000</v>
      </c>
    </row>
    <row r="534" spans="1:9" ht="47.25" x14ac:dyDescent="0.25">
      <c r="A534" s="779" t="str">
        <f>IF(B534&gt;0,VLOOKUP(B534,КВСР!A131:B1296,2),IF(C534&gt;0,VLOOKUP(C534,КФСР!A131:B1643,2),IF(D534&gt;0,VLOOKUP(D534,Программа!A$1:B$5124,2),IF(F534&gt;0,VLOOKUP(F534,КВР!A$1:B$5001,2),IF(E534&gt;0,VLOOKUP(E534,Направление!A$1:B$4812,2))))))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534" s="120"/>
      <c r="C534" s="121"/>
      <c r="D534" s="123"/>
      <c r="E534" s="121">
        <v>70520</v>
      </c>
      <c r="F534" s="111"/>
      <c r="G534" s="117">
        <v>387258478</v>
      </c>
      <c r="H534" s="330">
        <f>H535</f>
        <v>0</v>
      </c>
      <c r="I534" s="330">
        <f>I535</f>
        <v>387258478</v>
      </c>
    </row>
    <row r="535" spans="1:9" ht="47.25" x14ac:dyDescent="0.25">
      <c r="A535" s="779" t="str">
        <f>IF(B535&gt;0,VLOOKUP(B535,КВСР!A132:B1297,2),IF(C535&gt;0,VLOOKUP(C535,КФСР!A132:B1644,2),IF(D535&gt;0,VLOOKUP(D535,Программа!A$1:B$5124,2),IF(F535&gt;0,VLOOKUP(F535,КВР!A$1:B$5001,2),IF(E535&gt;0,VLOOKUP(E535,Направление!A$1:B$4812,2))))))</f>
        <v>Предоставление субсидий бюджетным, автономным учреждениям и иным некоммерческим организациям</v>
      </c>
      <c r="B535" s="120"/>
      <c r="C535" s="121"/>
      <c r="D535" s="122"/>
      <c r="E535" s="121"/>
      <c r="F535" s="111">
        <v>600</v>
      </c>
      <c r="G535" s="268">
        <v>387258478</v>
      </c>
      <c r="H535" s="330"/>
      <c r="I535" s="117">
        <f t="shared" si="100"/>
        <v>387258478</v>
      </c>
    </row>
    <row r="536" spans="1:9" ht="63" x14ac:dyDescent="0.25">
      <c r="A536" s="779" t="str">
        <f>IF(B536&gt;0,VLOOKUP(B536,КВСР!A133:B1298,2),IF(C536&gt;0,VLOOKUP(C536,КФСР!A133:B1645,2),IF(D536&gt;0,VLOOKUP(D536,Программа!A$1:B$5124,2),IF(F536&gt;0,VLOOKUP(F536,КВР!A$1:B$5001,2),IF(E536&gt;0,VLOOKUP(E536,Направление!A$1:B$4812,2))))))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36" s="120"/>
      <c r="C536" s="121"/>
      <c r="D536" s="122"/>
      <c r="E536" s="121">
        <v>70530</v>
      </c>
      <c r="F536" s="111"/>
      <c r="G536" s="117">
        <v>24969539</v>
      </c>
      <c r="H536" s="330">
        <f>H537</f>
        <v>0</v>
      </c>
      <c r="I536" s="330">
        <f>I537</f>
        <v>24969539</v>
      </c>
    </row>
    <row r="537" spans="1:9" ht="47.25" x14ac:dyDescent="0.25">
      <c r="A537" s="779" t="str">
        <f>IF(B537&gt;0,VLOOKUP(B537,КВСР!A134:B1299,2),IF(C537&gt;0,VLOOKUP(C537,КФСР!A134:B1646,2),IF(D537&gt;0,VLOOKUP(D537,Программа!A$1:B$5124,2),IF(F537&gt;0,VLOOKUP(F537,КВР!A$1:B$5001,2),IF(E537&gt;0,VLOOKUP(E537,Направление!A$1:B$4812,2))))))</f>
        <v>Предоставление субсидий бюджетным, автономным учреждениям и иным некоммерческим организациям</v>
      </c>
      <c r="B537" s="120"/>
      <c r="C537" s="121"/>
      <c r="D537" s="122"/>
      <c r="E537" s="121"/>
      <c r="F537" s="111">
        <v>600</v>
      </c>
      <c r="G537" s="268">
        <v>24969539</v>
      </c>
      <c r="H537" s="330"/>
      <c r="I537" s="117">
        <f t="shared" si="100"/>
        <v>24969539</v>
      </c>
    </row>
    <row r="538" spans="1:9" hidden="1" x14ac:dyDescent="0.25">
      <c r="A538" s="779" t="str">
        <f>IF(B538&gt;0,VLOOKUP(B538,КВСР!A135:B1300,2),IF(C538&gt;0,VLOOKUP(C538,КФСР!A135:B1647,2),IF(D538&gt;0,VLOOKUP(D538,Программа!A$1:B$5124,2),IF(F538&gt;0,VLOOKUP(F538,КВР!A$1:B$5001,2),IF(E538&gt;0,VLOOKUP(E538,Направление!A$1:B$4812,2))))))</f>
        <v xml:space="preserve">Иная дотация </v>
      </c>
      <c r="B538" s="120"/>
      <c r="C538" s="121"/>
      <c r="D538" s="122"/>
      <c r="E538" s="121">
        <v>73260</v>
      </c>
      <c r="F538" s="111"/>
      <c r="G538" s="268">
        <v>0</v>
      </c>
      <c r="H538" s="268">
        <f t="shared" ref="H538:I538" si="119">H539</f>
        <v>0</v>
      </c>
      <c r="I538" s="268">
        <f t="shared" si="119"/>
        <v>0</v>
      </c>
    </row>
    <row r="539" spans="1:9" ht="47.25" hidden="1" x14ac:dyDescent="0.25">
      <c r="A539" s="779" t="str">
        <f>IF(B539&gt;0,VLOOKUP(B539,КВСР!A136:B1301,2),IF(C539&gt;0,VLOOKUP(C539,КФСР!A136:B1648,2),IF(D539&gt;0,VLOOKUP(D539,Программа!A$1:B$5124,2),IF(F539&gt;0,VLOOKUP(F539,КВР!A$1:B$5001,2),IF(E539&gt;0,VLOOKUP(E539,Направление!A$1:B$4812,2))))))</f>
        <v>Предоставление субсидий бюджетным, автономным учреждениям и иным некоммерческим организациям</v>
      </c>
      <c r="B539" s="120"/>
      <c r="C539" s="121"/>
      <c r="D539" s="122"/>
      <c r="E539" s="121"/>
      <c r="F539" s="111">
        <v>600</v>
      </c>
      <c r="G539" s="268">
        <v>0</v>
      </c>
      <c r="H539" s="330"/>
      <c r="I539" s="117">
        <f t="shared" si="100"/>
        <v>0</v>
      </c>
    </row>
    <row r="540" spans="1:9" ht="47.25" x14ac:dyDescent="0.25">
      <c r="A540" s="779" t="str">
        <f>IF(B540&gt;0,VLOOKUP(B540,КВСР!A137:B1302,2),IF(C540&gt;0,VLOOKUP(C540,КФСР!A137:B1649,2),IF(D540&gt;0,VLOOKUP(D540,Программа!A$1:B$5124,2),IF(F540&gt;0,VLOOKUP(F540,КВР!A$1:B$5001,2),IF(E540&gt;0,VLOOKUP(E540,Направление!A$1:B$4812,2))))))</f>
        <v>Расходы на реализацию мероприятий инициативного бюджетирования на территории Ярославской области</v>
      </c>
      <c r="B540" s="120"/>
      <c r="C540" s="121"/>
      <c r="D540" s="122"/>
      <c r="E540" s="121">
        <v>75350</v>
      </c>
      <c r="F540" s="111"/>
      <c r="G540" s="268">
        <v>5308335</v>
      </c>
      <c r="H540" s="268">
        <f t="shared" ref="H540:I540" si="120">H541</f>
        <v>0</v>
      </c>
      <c r="I540" s="268">
        <f t="shared" si="120"/>
        <v>5308335</v>
      </c>
    </row>
    <row r="541" spans="1:9" ht="47.25" x14ac:dyDescent="0.25">
      <c r="A541" s="779" t="str">
        <f>IF(B541&gt;0,VLOOKUP(B541,КВСР!A138:B1303,2),IF(C541&gt;0,VLOOKUP(C541,КФСР!A138:B1650,2),IF(D541&gt;0,VLOOKUP(D541,Программа!A$1:B$5124,2),IF(F541&gt;0,VLOOKUP(F541,КВР!A$1:B$5001,2),IF(E541&gt;0,VLOOKUP(E541,Направление!A$1:B$4812,2))))))</f>
        <v>Предоставление субсидий бюджетным, автономным учреждениям и иным некоммерческим организациям</v>
      </c>
      <c r="B541" s="120"/>
      <c r="C541" s="121"/>
      <c r="D541" s="122"/>
      <c r="E541" s="121"/>
      <c r="F541" s="111">
        <v>600</v>
      </c>
      <c r="G541" s="268">
        <v>5308335</v>
      </c>
      <c r="H541" s="330"/>
      <c r="I541" s="117">
        <f>G541+H541</f>
        <v>5308335</v>
      </c>
    </row>
    <row r="542" spans="1:9" ht="47.25" hidden="1" x14ac:dyDescent="0.25">
      <c r="A542" s="779" t="str">
        <f>IF(B542&gt;0,VLOOKUP(B542,КВСР!A135:B1300,2),IF(C542&gt;0,VLOOKUP(C542,КФСР!A135:B1647,2),IF(D542&gt;0,VLOOKUP(D542,Программа!A$1:B$5124,2),IF(F542&gt;0,VLOOKUP(F542,КВР!A$1:B$5001,2),IF(E542&gt;0,VLOOKUP(E542,Направление!A$1:B$4812,2))))))</f>
        <v>Расходы на повышение антитеррористической защищенности объектов  образования</v>
      </c>
      <c r="B542" s="120"/>
      <c r="C542" s="121"/>
      <c r="D542" s="122"/>
      <c r="E542" s="121">
        <v>77440</v>
      </c>
      <c r="F542" s="111"/>
      <c r="G542" s="268">
        <v>0</v>
      </c>
      <c r="H542" s="330">
        <f t="shared" ref="H542:I542" si="121">H543</f>
        <v>0</v>
      </c>
      <c r="I542" s="268">
        <f t="shared" si="121"/>
        <v>0</v>
      </c>
    </row>
    <row r="543" spans="1:9" ht="47.25" hidden="1" x14ac:dyDescent="0.25">
      <c r="A543" s="779" t="str">
        <f>IF(B543&gt;0,VLOOKUP(B543,КВСР!A136:B1301,2),IF(C543&gt;0,VLOOKUP(C543,КФСР!A136:B1648,2),IF(D543&gt;0,VLOOKUP(D543,Программа!A$1:B$5124,2),IF(F543&gt;0,VLOOKUP(F543,КВР!A$1:B$5001,2),IF(E543&gt;0,VLOOKUP(E543,Направление!A$1:B$4812,2))))))</f>
        <v>Предоставление субсидий бюджетным, автономным учреждениям и иным некоммерческим организациям</v>
      </c>
      <c r="B543" s="120"/>
      <c r="C543" s="121"/>
      <c r="D543" s="122"/>
      <c r="E543" s="121"/>
      <c r="F543" s="111">
        <v>600</v>
      </c>
      <c r="G543" s="268">
        <v>0</v>
      </c>
      <c r="H543" s="330"/>
      <c r="I543" s="117">
        <f>G543+H543</f>
        <v>0</v>
      </c>
    </row>
    <row r="544" spans="1:9" ht="78.75" x14ac:dyDescent="0.25">
      <c r="A544" s="779" t="str">
        <f>IF(B544&gt;0,VLOOKUP(B544,КВСР!A137:B1302,2),IF(C544&gt;0,VLOOKUP(C544,КФСР!A137:B1649,2),IF(D544&gt;0,VLOOKUP(D544,Программа!A$1:B$5124,2),IF(F544&gt;0,VLOOKUP(F544,КВР!A$1:B$5001,2),IF(E544&gt;0,VLOOKUP(E544,Направление!A$1:B$4812,2))))))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44" s="120"/>
      <c r="C544" s="121"/>
      <c r="D544" s="122"/>
      <c r="E544" s="121" t="s">
        <v>1514</v>
      </c>
      <c r="F544" s="111"/>
      <c r="G544" s="268">
        <v>29653021</v>
      </c>
      <c r="H544" s="268">
        <f t="shared" ref="H544:I544" si="122">H545</f>
        <v>0</v>
      </c>
      <c r="I544" s="268">
        <f t="shared" si="122"/>
        <v>29653021</v>
      </c>
    </row>
    <row r="545" spans="1:9" ht="47.25" x14ac:dyDescent="0.25">
      <c r="A545" s="779" t="str">
        <f>IF(B545&gt;0,VLOOKUP(B545,КВСР!A138:B1303,2),IF(C545&gt;0,VLOOKUP(C545,КФСР!A138:B1650,2),IF(D545&gt;0,VLOOKUP(D545,Программа!A$1:B$5124,2),IF(F545&gt;0,VLOOKUP(F545,КВР!A$1:B$5001,2),IF(E545&gt;0,VLOOKUP(E545,Направление!A$1:B$4812,2))))))</f>
        <v>Предоставление субсидий бюджетным, автономным учреждениям и иным некоммерческим организациям</v>
      </c>
      <c r="B545" s="120"/>
      <c r="C545" s="121"/>
      <c r="D545" s="122"/>
      <c r="E545" s="121"/>
      <c r="F545" s="111">
        <v>600</v>
      </c>
      <c r="G545" s="268">
        <v>29653021</v>
      </c>
      <c r="H545" s="330"/>
      <c r="I545" s="117">
        <f>G545+H545</f>
        <v>29653021</v>
      </c>
    </row>
    <row r="546" spans="1:9" ht="31.5" x14ac:dyDescent="0.25">
      <c r="A546" s="779" t="str">
        <f>IF(B546&gt;0,VLOOKUP(B546,КВСР!A137:B1302,2),IF(C546&gt;0,VLOOKUP(C546,КФСР!A137:B1649,2),IF(D546&gt;0,VLOOKUP(D546,Программа!A$1:B$5124,2),IF(F546&gt;0,VLOOKUP(F546,КВР!A$1:B$5001,2),IF(E546&gt;0,VLOOKUP(E546,Направление!A$1:B$4812,2))))))</f>
        <v>Региональный проект "Современная школа"</v>
      </c>
      <c r="B546" s="120"/>
      <c r="C546" s="121"/>
      <c r="D546" s="110" t="s">
        <v>1603</v>
      </c>
      <c r="E546" s="121"/>
      <c r="F546" s="111"/>
      <c r="G546" s="268">
        <v>2120000</v>
      </c>
      <c r="H546" s="330">
        <f>H547+H549</f>
        <v>0</v>
      </c>
      <c r="I546" s="330">
        <f>I547+I549</f>
        <v>2120000</v>
      </c>
    </row>
    <row r="547" spans="1:9" ht="78.75" x14ac:dyDescent="0.25">
      <c r="A547" s="779" t="str">
        <f>IF(B547&gt;0,VLOOKUP(B547,КВСР!A138:B1303,2),IF(C547&gt;0,VLOOKUP(C547,КФСР!A138:B1650,2),IF(D547&gt;0,VLOOKUP(D547,Программа!A$1:B$5124,2),IF(F547&gt;0,VLOOKUP(F547,КВР!A$1:B$5001,2),IF(E547&gt;0,VLOOKUP(E547,Направление!A$1:B$4812,2))))))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47" s="120"/>
      <c r="C547" s="121"/>
      <c r="D547" s="122"/>
      <c r="E547" s="121">
        <v>11690</v>
      </c>
      <c r="F547" s="111"/>
      <c r="G547" s="268">
        <v>120000</v>
      </c>
      <c r="H547" s="330">
        <f t="shared" ref="H547:I547" si="123">H548</f>
        <v>0</v>
      </c>
      <c r="I547" s="268">
        <f t="shared" si="123"/>
        <v>120000</v>
      </c>
    </row>
    <row r="548" spans="1:9" ht="47.25" x14ac:dyDescent="0.25">
      <c r="A548" s="779" t="str">
        <f>IF(B548&gt;0,VLOOKUP(B548,КВСР!A139:B1304,2),IF(C548&gt;0,VLOOKUP(C548,КФСР!A139:B1651,2),IF(D548&gt;0,VLOOKUP(D548,Программа!A$1:B$5124,2),IF(F548&gt;0,VLOOKUP(F548,КВР!A$1:B$5001,2),IF(E548&gt;0,VLOOKUP(E548,Направление!A$1:B$4812,2))))))</f>
        <v>Предоставление субсидий бюджетным, автономным учреждениям и иным некоммерческим организациям</v>
      </c>
      <c r="B548" s="120"/>
      <c r="C548" s="121"/>
      <c r="D548" s="122"/>
      <c r="E548" s="121"/>
      <c r="F548" s="111">
        <v>600</v>
      </c>
      <c r="G548" s="268">
        <v>120000</v>
      </c>
      <c r="H548" s="330"/>
      <c r="I548" s="117">
        <f>G548+H548</f>
        <v>120000</v>
      </c>
    </row>
    <row r="549" spans="1:9" ht="78.75" x14ac:dyDescent="0.25">
      <c r="A549" s="779" t="str">
        <f>IF(B549&gt;0,VLOOKUP(B549,КВСР!A140:B1305,2),IF(C549&gt;0,VLOOKUP(C549,КФСР!A140:B1652,2),IF(D549&gt;0,VLOOKUP(D549,Программа!A$1:B$5124,2),IF(F549&gt;0,VLOOKUP(F549,КВР!A$1:B$5001,2),IF(E549&gt;0,VLOOKUP(E549,Направление!A$1:B$4812,2))))))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49" s="120"/>
      <c r="C549" s="121"/>
      <c r="D549" s="122"/>
      <c r="E549" s="121">
        <v>71690</v>
      </c>
      <c r="F549" s="111"/>
      <c r="G549" s="268">
        <v>2000000</v>
      </c>
      <c r="H549" s="268">
        <f t="shared" ref="H549:I549" si="124">H550</f>
        <v>0</v>
      </c>
      <c r="I549" s="268">
        <f t="shared" si="124"/>
        <v>2000000</v>
      </c>
    </row>
    <row r="550" spans="1:9" ht="47.25" x14ac:dyDescent="0.25">
      <c r="A550" s="779" t="str">
        <f>IF(B550&gt;0,VLOOKUP(B550,КВСР!A141:B1306,2),IF(C550&gt;0,VLOOKUP(C550,КФСР!A141:B1653,2),IF(D550&gt;0,VLOOKUP(D550,Программа!A$1:B$5124,2),IF(F550&gt;0,VLOOKUP(F550,КВР!A$1:B$5001,2),IF(E550&gt;0,VLOOKUP(E550,Направление!A$1:B$4812,2))))))</f>
        <v>Предоставление субсидий бюджетным, автономным учреждениям и иным некоммерческим организациям</v>
      </c>
      <c r="B550" s="120"/>
      <c r="C550" s="121"/>
      <c r="D550" s="122"/>
      <c r="E550" s="121"/>
      <c r="F550" s="111">
        <v>600</v>
      </c>
      <c r="G550" s="268">
        <v>2000000</v>
      </c>
      <c r="H550" s="330"/>
      <c r="I550" s="117">
        <f t="shared" ref="I550" si="125">G550+H550</f>
        <v>2000000</v>
      </c>
    </row>
    <row r="551" spans="1:9" ht="31.5" hidden="1" x14ac:dyDescent="0.25">
      <c r="A551" s="779" t="str">
        <f>IF(B551&gt;0,VLOOKUP(B551,КВСР!A137:B1302,2),IF(C551&gt;0,VLOOKUP(C551,КФСР!A137:B1649,2),IF(D551&gt;0,VLOOKUP(D551,Программа!A$1:B$5124,2),IF(F551&gt;0,VLOOKUP(F551,КВР!A$1:B$5001,2),IF(E551&gt;0,VLOOKUP(E551,Направление!A$1:B$4812,2))))))</f>
        <v>Региональный проект "Успех каждого ребенка"</v>
      </c>
      <c r="B551" s="120"/>
      <c r="C551" s="121"/>
      <c r="D551" s="122" t="s">
        <v>1430</v>
      </c>
      <c r="E551" s="121"/>
      <c r="F551" s="111"/>
      <c r="G551" s="268">
        <v>0</v>
      </c>
      <c r="H551" s="330">
        <f>H552</f>
        <v>0</v>
      </c>
      <c r="I551" s="268">
        <f>I552</f>
        <v>0</v>
      </c>
    </row>
    <row r="552" spans="1:9" ht="78.75" hidden="1" x14ac:dyDescent="0.25">
      <c r="A552" s="779" t="str">
        <f>IF(B552&gt;0,VLOOKUP(B552,КВСР!A138:B1303,2),IF(C552&gt;0,VLOOKUP(C552,КФСР!A138:B1650,2),IF(D552&gt;0,VLOOKUP(D552,Программа!A$1:B$5124,2),IF(F552&gt;0,VLOOKUP(F552,КВР!A$1:B$5001,2),IF(E552&gt;0,VLOOKUP(E552,Направление!A$1:B$4812,2))))))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52" s="120"/>
      <c r="C552" s="121"/>
      <c r="D552" s="122"/>
      <c r="E552" s="121">
        <v>50970</v>
      </c>
      <c r="F552" s="111"/>
      <c r="G552" s="268">
        <v>0</v>
      </c>
      <c r="H552" s="330">
        <f>H553</f>
        <v>0</v>
      </c>
      <c r="I552" s="268">
        <f>I553</f>
        <v>0</v>
      </c>
    </row>
    <row r="553" spans="1:9" ht="47.25" hidden="1" x14ac:dyDescent="0.25">
      <c r="A553" s="779" t="str">
        <f>IF(B553&gt;0,VLOOKUP(B553,КВСР!A139:B1304,2),IF(C553&gt;0,VLOOKUP(C553,КФСР!A139:B1651,2),IF(D553&gt;0,VLOOKUP(D553,Программа!A$1:B$5124,2),IF(F553&gt;0,VLOOKUP(F553,КВР!A$1:B$5001,2),IF(E553&gt;0,VLOOKUP(E553,Направление!A$1:B$4812,2))))))</f>
        <v>Предоставление субсидий бюджетным, автономным учреждениям и иным некоммерческим организациям</v>
      </c>
      <c r="B553" s="120"/>
      <c r="C553" s="121"/>
      <c r="D553" s="122"/>
      <c r="E553" s="121"/>
      <c r="F553" s="111">
        <v>600</v>
      </c>
      <c r="G553" s="268">
        <v>0</v>
      </c>
      <c r="H553" s="330"/>
      <c r="I553" s="117">
        <f>G553+H553</f>
        <v>0</v>
      </c>
    </row>
    <row r="554" spans="1:9" ht="47.25" hidden="1" x14ac:dyDescent="0.25">
      <c r="A554" s="779" t="str">
        <f>IF(B554&gt;0,VLOOKUP(B554,КВСР!A143:B1308,2),IF(C554&gt;0,VLOOKUP(C554,КФСР!A143:B1655,2),IF(D554&gt;0,VLOOKUP(D554,Программа!A$1:B$5124,2),IF(F554&gt;0,VLOOKUP(F554,КВР!A$1:B$5001,2),IF(E554&gt;0,VLOOKUP(E554,Направление!A$1:B$4812,2))))))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554" s="120"/>
      <c r="C554" s="121"/>
      <c r="D554" s="123" t="s">
        <v>386</v>
      </c>
      <c r="E554" s="121"/>
      <c r="F554" s="122"/>
      <c r="G554" s="268">
        <v>0</v>
      </c>
      <c r="H554" s="330">
        <f>H556</f>
        <v>0</v>
      </c>
      <c r="I554" s="117">
        <f t="shared" si="100"/>
        <v>0</v>
      </c>
    </row>
    <row r="555" spans="1:9" ht="47.25" hidden="1" x14ac:dyDescent="0.25">
      <c r="A555" s="779" t="str">
        <f>IF(B555&gt;0,VLOOKUP(B555,КВСР!A144:B1309,2),IF(C555&gt;0,VLOOKUP(C555,КФСР!A144:B1656,2),IF(D555&gt;0,VLOOKUP(D555,Программа!A$1:B$5124,2),IF(F555&gt;0,VLOOKUP(F555,КВР!A$1:B$5001,2),IF(E555&gt;0,VLOOKUP(E555,Направление!A$1:B$4812,2))))))</f>
        <v>Строительство и реконструкция спортивных сооружений и укрепление материальной базы</v>
      </c>
      <c r="B555" s="120"/>
      <c r="C555" s="121"/>
      <c r="D555" s="123" t="s">
        <v>387</v>
      </c>
      <c r="E555" s="121"/>
      <c r="F555" s="122"/>
      <c r="G555" s="268">
        <v>0</v>
      </c>
      <c r="H555" s="330">
        <f>H556</f>
        <v>0</v>
      </c>
      <c r="I555" s="117">
        <f t="shared" si="100"/>
        <v>0</v>
      </c>
    </row>
    <row r="556" spans="1:9" ht="31.5" hidden="1" x14ac:dyDescent="0.25">
      <c r="A556" s="779" t="str">
        <f>IF(B556&gt;0,VLOOKUP(B556,КВСР!A144:B1309,2),IF(C556&gt;0,VLOOKUP(C556,КФСР!A144:B1656,2),IF(D556&gt;0,VLOOKUP(D556,Программа!A$1:B$5124,2),IF(F556&gt;0,VLOOKUP(F556,КВР!A$1:B$5001,2),IF(E556&gt;0,VLOOKUP(E556,Направление!A$1:B$4812,2))))))</f>
        <v>Обеспечение деятельности учреждений дополнительного образования</v>
      </c>
      <c r="B556" s="120"/>
      <c r="C556" s="121"/>
      <c r="D556" s="123"/>
      <c r="E556" s="121">
        <v>13210</v>
      </c>
      <c r="F556" s="122"/>
      <c r="G556" s="268">
        <v>0</v>
      </c>
      <c r="H556" s="330">
        <f>H557</f>
        <v>0</v>
      </c>
      <c r="I556" s="117">
        <f t="shared" si="100"/>
        <v>0</v>
      </c>
    </row>
    <row r="557" spans="1:9" ht="47.25" hidden="1" x14ac:dyDescent="0.25">
      <c r="A557" s="779" t="str">
        <f>IF(B557&gt;0,VLOOKUP(B557,КВСР!A145:B1310,2),IF(C557&gt;0,VLOOKUP(C557,КФСР!A145:B1657,2),IF(D557&gt;0,VLOOKUP(D557,Программа!A$1:B$5124,2),IF(F557&gt;0,VLOOKUP(F557,КВР!A$1:B$5001,2),IF(E557&gt;0,VLOOKUP(E557,Направление!A$1:B$4812,2))))))</f>
        <v>Предоставление субсидий бюджетным, автономным учреждениям и иным некоммерческим организациям</v>
      </c>
      <c r="B557" s="120"/>
      <c r="C557" s="121"/>
      <c r="D557" s="122"/>
      <c r="E557" s="121"/>
      <c r="F557" s="122">
        <v>600</v>
      </c>
      <c r="G557" s="286">
        <v>0</v>
      </c>
      <c r="H557" s="275"/>
      <c r="I557" s="117">
        <f t="shared" si="100"/>
        <v>0</v>
      </c>
    </row>
    <row r="558" spans="1:9" ht="47.25" hidden="1" x14ac:dyDescent="0.25">
      <c r="A558" s="779" t="str">
        <f>IF(B558&gt;0,VLOOKUP(B558,КВСР!A148:B1313,2),IF(C558&gt;0,VLOOKUP(C558,КФСР!A148:B1660,2),IF(D558&gt;0,VLOOKUP(D558,Программа!A$1:B$5124,2),IF(F558&gt;0,VLOOKUP(F558,КВР!A$1:B$5001,2),IF(E558&gt;0,VLOOKUP(E558,Направление!A$1:B$4812,2))))))</f>
        <v>Муниципальная программа "Социальная поддержка населения Тутаевского муниципального района"</v>
      </c>
      <c r="B558" s="120"/>
      <c r="C558" s="121"/>
      <c r="D558" s="123" t="s">
        <v>376</v>
      </c>
      <c r="E558" s="121"/>
      <c r="F558" s="122"/>
      <c r="G558" s="115">
        <v>0</v>
      </c>
      <c r="H558" s="275">
        <f>H559</f>
        <v>0</v>
      </c>
      <c r="I558" s="117">
        <f t="shared" si="100"/>
        <v>0</v>
      </c>
    </row>
    <row r="559" spans="1:9" ht="47.25" hidden="1" x14ac:dyDescent="0.25">
      <c r="A559" s="779" t="str">
        <f>IF(B559&gt;0,VLOOKUP(B559,КВСР!A149:B1314,2),IF(C559&gt;0,VLOOKUP(C559,КФСР!A149:B1661,2),IF(D559&gt;0,VLOOKUP(D559,Программа!A$1:B$5124,2),IF(F559&gt;0,VLOOKUP(F559,КВР!A$1:B$5001,2),IF(E559&gt;0,VLOOKUP(E559,Направление!A$1:B$4812,2))))))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559" s="120"/>
      <c r="C559" s="121"/>
      <c r="D559" s="123" t="s">
        <v>378</v>
      </c>
      <c r="E559" s="121"/>
      <c r="F559" s="122"/>
      <c r="G559" s="115">
        <v>0</v>
      </c>
      <c r="H559" s="275">
        <f>H560+H563</f>
        <v>0</v>
      </c>
      <c r="I559" s="117">
        <f t="shared" si="100"/>
        <v>0</v>
      </c>
    </row>
    <row r="560" spans="1:9" ht="63" hidden="1" x14ac:dyDescent="0.25">
      <c r="A560" s="779" t="str">
        <f>IF(B560&gt;0,VLOOKUP(B560,КВСР!A150:B1315,2),IF(C560&gt;0,VLOOKUP(C560,КФСР!A150:B1662,2),IF(D560&gt;0,VLOOKUP(D560,Программа!A$1:B$5124,2),IF(F560&gt;0,VLOOKUP(F560,КВР!A$1:B$5001,2),IF(E560&gt;0,VLOOKUP(E560,Направление!A$1:B$4812,2))))))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0" s="120"/>
      <c r="C560" s="121"/>
      <c r="D560" s="123" t="s">
        <v>379</v>
      </c>
      <c r="E560" s="121"/>
      <c r="F560" s="122"/>
      <c r="G560" s="115">
        <v>0</v>
      </c>
      <c r="H560" s="275">
        <f>H561</f>
        <v>0</v>
      </c>
      <c r="I560" s="117">
        <f t="shared" si="100"/>
        <v>0</v>
      </c>
    </row>
    <row r="561" spans="1:9" ht="31.5" hidden="1" x14ac:dyDescent="0.25">
      <c r="A561" s="779" t="str">
        <f>IF(B561&gt;0,VLOOKUP(B561,КВСР!A151:B1316,2),IF(C561&gt;0,VLOOKUP(C561,КФСР!A151:B1663,2),IF(D561&gt;0,VLOOKUP(D561,Программа!A$1:B$5124,2),IF(F561&gt;0,VLOOKUP(F561,КВР!A$1:B$5001,2),IF(E561&gt;0,VLOOKUP(E561,Направление!A$1:B$4812,2))))))</f>
        <v>Расходы на реализацию мероприятий по улучшению условий и охраны труда</v>
      </c>
      <c r="B561" s="120"/>
      <c r="C561" s="121"/>
      <c r="D561" s="123"/>
      <c r="E561" s="121">
        <v>16150</v>
      </c>
      <c r="F561" s="122"/>
      <c r="G561" s="115">
        <v>0</v>
      </c>
      <c r="H561" s="275">
        <f>H562</f>
        <v>0</v>
      </c>
      <c r="I561" s="117">
        <f t="shared" si="100"/>
        <v>0</v>
      </c>
    </row>
    <row r="562" spans="1:9" ht="47.25" hidden="1" x14ac:dyDescent="0.25">
      <c r="A562" s="779" t="str">
        <f>IF(B562&gt;0,VLOOKUP(B562,КВСР!A150:B1315,2),IF(C562&gt;0,VLOOKUP(C562,КФСР!A150:B1662,2),IF(D562&gt;0,VLOOKUP(D562,Программа!A$1:B$5124,2),IF(F562&gt;0,VLOOKUP(F562,КВР!A$1:B$5001,2),IF(E562&gt;0,VLOOKUP(E562,Направление!A$1:B$4812,2))))))</f>
        <v>Предоставление субсидий бюджетным, автономным учреждениям и иным некоммерческим организациям</v>
      </c>
      <c r="B562" s="120"/>
      <c r="C562" s="121"/>
      <c r="D562" s="122"/>
      <c r="E562" s="121"/>
      <c r="F562" s="122">
        <v>600</v>
      </c>
      <c r="G562" s="286">
        <v>0</v>
      </c>
      <c r="H562" s="275"/>
      <c r="I562" s="117">
        <f t="shared" si="100"/>
        <v>0</v>
      </c>
    </row>
    <row r="563" spans="1:9" ht="47.25" hidden="1" x14ac:dyDescent="0.25">
      <c r="A563" s="779" t="str">
        <f>IF(B563&gt;0,VLOOKUP(B563,КВСР!A148:B1313,2),IF(C563&gt;0,VLOOKUP(C563,КФСР!A148:B1660,2),IF(D563&gt;0,VLOOKUP(D563,Программа!A$1:B$5124,2),IF(F563&gt;0,VLOOKUP(F563,КВР!A$1:B$5001,2),IF(E563&gt;0,VLOOKUP(E563,Направление!A$1:B$4812,2))))))</f>
        <v>Обучение по охране труда работников организаций Тутаевского муниципального района</v>
      </c>
      <c r="B563" s="120"/>
      <c r="C563" s="121"/>
      <c r="D563" s="123" t="s">
        <v>1036</v>
      </c>
      <c r="E563" s="121"/>
      <c r="F563" s="122"/>
      <c r="G563" s="115">
        <v>0</v>
      </c>
      <c r="H563" s="275">
        <f>H564</f>
        <v>0</v>
      </c>
      <c r="I563" s="117">
        <f t="shared" si="100"/>
        <v>0</v>
      </c>
    </row>
    <row r="564" spans="1:9" ht="31.5" hidden="1" x14ac:dyDescent="0.25">
      <c r="A564" s="779" t="str">
        <f>IF(B564&gt;0,VLOOKUP(B564,КВСР!A149:B1314,2),IF(C564&gt;0,VLOOKUP(C564,КФСР!A149:B1661,2),IF(D564&gt;0,VLOOKUP(D564,Программа!A$1:B$5124,2),IF(F564&gt;0,VLOOKUP(F564,КВР!A$1:B$5001,2),IF(E564&gt;0,VLOOKUP(E564,Направление!A$1:B$4812,2))))))</f>
        <v>Расходы на реализацию мероприятий по улучшению условий и охраны труда</v>
      </c>
      <c r="B564" s="120"/>
      <c r="C564" s="121"/>
      <c r="D564" s="123"/>
      <c r="E564" s="121">
        <v>16150</v>
      </c>
      <c r="F564" s="122"/>
      <c r="G564" s="115">
        <v>0</v>
      </c>
      <c r="H564" s="275">
        <f>H565</f>
        <v>0</v>
      </c>
      <c r="I564" s="117">
        <f t="shared" si="100"/>
        <v>0</v>
      </c>
    </row>
    <row r="565" spans="1:9" ht="47.25" hidden="1" x14ac:dyDescent="0.25">
      <c r="A565" s="779" t="str">
        <f>IF(B565&gt;0,VLOOKUP(B565,КВСР!A150:B1315,2),IF(C565&gt;0,VLOOKUP(C565,КФСР!A150:B1662,2),IF(D565&gt;0,VLOOKUP(D565,Программа!A$1:B$5124,2),IF(F565&gt;0,VLOOKUP(F565,КВР!A$1:B$5001,2),IF(E565&gt;0,VLOOKUP(E565,Направление!A$1:B$4812,2))))))</f>
        <v>Предоставление субсидий бюджетным, автономным учреждениям и иным некоммерческим организациям</v>
      </c>
      <c r="B565" s="120"/>
      <c r="C565" s="121"/>
      <c r="D565" s="122"/>
      <c r="E565" s="121"/>
      <c r="F565" s="122">
        <v>600</v>
      </c>
      <c r="G565" s="286">
        <v>0</v>
      </c>
      <c r="H565" s="275"/>
      <c r="I565" s="117">
        <f t="shared" si="100"/>
        <v>0</v>
      </c>
    </row>
    <row r="566" spans="1:9" x14ac:dyDescent="0.25">
      <c r="A566" s="779" t="str">
        <f>IF(B566&gt;0,VLOOKUP(B566,КВСР!A151:B1316,2),IF(C566&gt;0,VLOOKUP(C566,КФСР!A151:B1663,2),IF(D566&gt;0,VLOOKUP(D566,Программа!A$1:B$5124,2),IF(F566&gt;0,VLOOKUP(F566,КВР!A$1:B$5001,2),IF(E566&gt;0,VLOOKUP(E566,Направление!A$1:B$4812,2))))))</f>
        <v>Дополнительное образование детей</v>
      </c>
      <c r="B566" s="120"/>
      <c r="C566" s="121">
        <v>703</v>
      </c>
      <c r="D566" s="122"/>
      <c r="E566" s="121"/>
      <c r="F566" s="122"/>
      <c r="G566" s="275">
        <v>65401183</v>
      </c>
      <c r="H566" s="275">
        <f>H568</f>
        <v>2360387.88</v>
      </c>
      <c r="I566" s="286">
        <f>I568</f>
        <v>67761570.879999995</v>
      </c>
    </row>
    <row r="567" spans="1:9" ht="63" x14ac:dyDescent="0.25">
      <c r="A567" s="779" t="str">
        <f>IF(B567&gt;0,VLOOKUP(B567,КВСР!A152:B1317,2),IF(C567&gt;0,VLOOKUP(C567,КФСР!A152:B1664,2),IF(D567&gt;0,VLOOKUP(D567,Программа!A$1:B$5124,2),IF(F567&gt;0,VLOOKUP(F567,КВР!A$1:B$5001,2),IF(E567&gt;0,VLOOKUP(E567,Направление!A$1:B$4812,2))))))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567" s="120"/>
      <c r="C567" s="121"/>
      <c r="D567" s="110" t="s">
        <v>367</v>
      </c>
      <c r="E567" s="121"/>
      <c r="F567" s="122"/>
      <c r="G567" s="286">
        <v>65401183</v>
      </c>
      <c r="H567" s="275">
        <f>H568</f>
        <v>2360387.88</v>
      </c>
      <c r="I567" s="286">
        <f>I568</f>
        <v>67761570.879999995</v>
      </c>
    </row>
    <row r="568" spans="1:9" ht="63" x14ac:dyDescent="0.25">
      <c r="A568" s="779" t="str">
        <f>IF(B568&gt;0,VLOOKUP(B568,КВСР!A152:B1317,2),IF(C568&gt;0,VLOOKUP(C568,КФСР!A152:B1664,2),IF(D568&gt;0,VLOOKUP(D568,Программа!A$1:B$5124,2),IF(F568&gt;0,VLOOKUP(F568,КВР!A$1:B$5001,2),IF(E568&gt;0,VLOOKUP(E568,Направление!A$1:B$4812,2))))))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568" s="120"/>
      <c r="C568" s="121"/>
      <c r="D568" s="110" t="s">
        <v>369</v>
      </c>
      <c r="E568" s="121"/>
      <c r="F568" s="122"/>
      <c r="G568" s="286">
        <v>65401183</v>
      </c>
      <c r="H568" s="275">
        <f t="shared" ref="H568:I575" si="126">H569</f>
        <v>2360387.88</v>
      </c>
      <c r="I568" s="286">
        <f t="shared" si="126"/>
        <v>67761570.879999995</v>
      </c>
    </row>
    <row r="569" spans="1:9" ht="47.25" x14ac:dyDescent="0.25">
      <c r="A569" s="779" t="str">
        <f>IF(B569&gt;0,VLOOKUP(B569,КВСР!A153:B1318,2),IF(C569&gt;0,VLOOKUP(C569,КФСР!A153:B1665,2),IF(D569&gt;0,VLOOKUP(D569,Программа!A$1:B$5124,2),IF(F569&gt;0,VLOOKUP(F569,КВР!A$1:B$5001,2),IF(E569&gt;0,VLOOKUP(E569,Направление!A$1:B$4812,2))))))</f>
        <v>Обеспечение качества и доступности образовательных услуг в сфере дополнительного образования</v>
      </c>
      <c r="B569" s="120"/>
      <c r="C569" s="121"/>
      <c r="D569" s="123" t="s">
        <v>431</v>
      </c>
      <c r="E569" s="121"/>
      <c r="F569" s="122"/>
      <c r="G569" s="286">
        <v>65401183</v>
      </c>
      <c r="H569" s="275">
        <f>H575+H577+H579+H583+H570+H581+H573</f>
        <v>2360387.88</v>
      </c>
      <c r="I569" s="275">
        <f>I575+I577+I579+I583+I570+I581+I573</f>
        <v>67761570.879999995</v>
      </c>
    </row>
    <row r="570" spans="1:9" ht="31.5" x14ac:dyDescent="0.25">
      <c r="A570" s="779" t="str">
        <f>IF(B570&gt;0,VLOOKUP(B570,КВСР!A154:B1319,2),IF(C570&gt;0,VLOOKUP(C570,КФСР!A154:B1666,2),IF(D570&gt;0,VLOOKUP(D570,Программа!A$1:B$5124,2),IF(F570&gt;0,VLOOKUP(F570,КВР!A$1:B$5001,2),IF(E570&gt;0,VLOOKUP(E570,Направление!A$1:B$4812,2))))))</f>
        <v>Обеспечение деятельности дошкольных учреждений</v>
      </c>
      <c r="B570" s="120"/>
      <c r="C570" s="121"/>
      <c r="D570" s="123"/>
      <c r="E570" s="121">
        <v>13010</v>
      </c>
      <c r="F570" s="122"/>
      <c r="G570" s="286">
        <v>3092620</v>
      </c>
      <c r="H570" s="275">
        <f>H572+H571</f>
        <v>100000</v>
      </c>
      <c r="I570" s="286">
        <f>I572+I571</f>
        <v>3192620</v>
      </c>
    </row>
    <row r="571" spans="1:9" ht="110.25" x14ac:dyDescent="0.25">
      <c r="A571" s="779" t="str">
        <f>IF(B571&gt;0,VLOOKUP(B571,КВСР!A155:B1320,2),IF(C571&gt;0,VLOOKUP(C571,КФСР!A155:B1667,2),IF(D571&gt;0,VLOOKUP(D571,Программа!A$1:B$5124,2),IF(F571&gt;0,VLOOKUP(F571,КВР!A$1:B$5001,2),IF(E571&gt;0,VLOOKUP(E571,Направление!A$1:B$4812,2))))))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20"/>
      <c r="C571" s="121"/>
      <c r="D571" s="123"/>
      <c r="E571" s="121"/>
      <c r="F571" s="122">
        <v>100</v>
      </c>
      <c r="G571" s="286">
        <v>94760</v>
      </c>
      <c r="H571" s="275"/>
      <c r="I571" s="286">
        <f>G571+H571</f>
        <v>94760</v>
      </c>
    </row>
    <row r="572" spans="1:9" ht="63" x14ac:dyDescent="0.25">
      <c r="A572" s="779" t="str">
        <f>IF(B572&gt;0,VLOOKUP(B572,КВСР!A155:B1320,2),IF(C572&gt;0,VLOOKUP(C572,КФСР!A155:B1667,2),IF(D572&gt;0,VLOOKUP(D572,Программа!A$1:B$5124,2),IF(F572&gt;0,VLOOKUP(F572,КВР!A$1:B$5001,2),IF(E572&gt;0,VLOOKUP(E572,Направление!A$1:B$4812,2))))))</f>
        <v xml:space="preserve">Закупка товаров, работ и услуг для обеспечения государственных (муниципальных) нужд
</v>
      </c>
      <c r="B572" s="120"/>
      <c r="C572" s="121"/>
      <c r="D572" s="123"/>
      <c r="E572" s="121"/>
      <c r="F572" s="122">
        <v>200</v>
      </c>
      <c r="G572" s="286">
        <v>2997860</v>
      </c>
      <c r="H572" s="275">
        <v>100000</v>
      </c>
      <c r="I572" s="117">
        <f>G572+H572</f>
        <v>3097860</v>
      </c>
    </row>
    <row r="573" spans="1:9" ht="31.5" x14ac:dyDescent="0.25">
      <c r="A573" s="779" t="str">
        <f>IF(B573&gt;0,VLOOKUP(B573,КВСР!A156:B1321,2),IF(C573&gt;0,VLOOKUP(C573,КФСР!A156:B1668,2),IF(D573&gt;0,VLOOKUP(D573,Программа!A$1:B$5124,2),IF(F573&gt;0,VLOOKUP(F573,КВР!A$1:B$5001,2),IF(E573&gt;0,VLOOKUP(E573,Направление!A$1:B$4812,2))))))</f>
        <v>Обеспечение деятельности общеобразовательных учреждений</v>
      </c>
      <c r="B573" s="120"/>
      <c r="C573" s="121"/>
      <c r="D573" s="123"/>
      <c r="E573" s="121">
        <v>13110</v>
      </c>
      <c r="F573" s="122"/>
      <c r="G573" s="286">
        <v>488832</v>
      </c>
      <c r="H573" s="286">
        <f t="shared" ref="H573:I573" si="127">H574</f>
        <v>78987.88</v>
      </c>
      <c r="I573" s="286">
        <f t="shared" si="127"/>
        <v>567819.88</v>
      </c>
    </row>
    <row r="574" spans="1:9" ht="47.25" x14ac:dyDescent="0.25">
      <c r="A574" s="779" t="str">
        <f>IF(B574&gt;0,VLOOKUP(B574,КВСР!A157:B1322,2),IF(C574&gt;0,VLOOKUP(C574,КФСР!A157:B1669,2),IF(D574&gt;0,VLOOKUP(D574,Программа!A$1:B$5124,2),IF(F574&gt;0,VLOOKUP(F574,КВР!A$1:B$5001,2),IF(E574&gt;0,VLOOKUP(E574,Направление!A$1:B$4812,2))))))</f>
        <v>Предоставление субсидий бюджетным, автономным учреждениям и иным некоммерческим организациям</v>
      </c>
      <c r="B574" s="120"/>
      <c r="C574" s="121"/>
      <c r="D574" s="123"/>
      <c r="E574" s="121"/>
      <c r="F574" s="122">
        <v>600</v>
      </c>
      <c r="G574" s="286">
        <v>488832</v>
      </c>
      <c r="H574" s="275">
        <v>78987.88</v>
      </c>
      <c r="I574" s="117">
        <f t="shared" ref="I574" si="128">G574+H574</f>
        <v>567819.88</v>
      </c>
    </row>
    <row r="575" spans="1:9" ht="31.5" x14ac:dyDescent="0.25">
      <c r="A575" s="779" t="str">
        <f>IF(B575&gt;0,VLOOKUP(B575,КВСР!A154:B1319,2),IF(C575&gt;0,VLOOKUP(C575,КФСР!A154:B1666,2),IF(D575&gt;0,VLOOKUP(D575,Программа!A$1:B$5124,2),IF(F575&gt;0,VLOOKUP(F575,КВР!A$1:B$5001,2),IF(E575&gt;0,VLOOKUP(E575,Направление!A$1:B$4812,2))))))</f>
        <v>Обеспечение деятельности учреждений дополнительного образования</v>
      </c>
      <c r="B575" s="120"/>
      <c r="C575" s="121"/>
      <c r="D575" s="122"/>
      <c r="E575" s="121">
        <v>13210</v>
      </c>
      <c r="F575" s="122"/>
      <c r="G575" s="286">
        <v>29489130</v>
      </c>
      <c r="H575" s="275">
        <f t="shared" si="126"/>
        <v>4881400</v>
      </c>
      <c r="I575" s="275">
        <f t="shared" si="126"/>
        <v>34370530</v>
      </c>
    </row>
    <row r="576" spans="1:9" ht="47.25" x14ac:dyDescent="0.25">
      <c r="A576" s="779" t="str">
        <f>IF(B576&gt;0,VLOOKUP(B576,КВСР!A155:B1320,2),IF(C576&gt;0,VLOOKUP(C576,КФСР!A155:B1667,2),IF(D576&gt;0,VLOOKUP(D576,Программа!A$1:B$5124,2),IF(F576&gt;0,VLOOKUP(F576,КВР!A$1:B$5001,2),IF(E576&gt;0,VLOOKUP(E576,Направление!A$1:B$4812,2))))))</f>
        <v>Предоставление субсидий бюджетным, автономным учреждениям и иным некоммерческим организациям</v>
      </c>
      <c r="B576" s="120"/>
      <c r="C576" s="121"/>
      <c r="D576" s="122"/>
      <c r="E576" s="121"/>
      <c r="F576" s="122">
        <v>600</v>
      </c>
      <c r="G576" s="286">
        <v>29489130</v>
      </c>
      <c r="H576" s="275">
        <f>4700000+181400</f>
        <v>4881400</v>
      </c>
      <c r="I576" s="117">
        <f t="shared" ref="I576:I674" si="129">SUM(G576:H576)</f>
        <v>34370530</v>
      </c>
    </row>
    <row r="577" spans="1:9" ht="31.5" x14ac:dyDescent="0.25">
      <c r="A577" s="779" t="str">
        <f>IF(B577&gt;0,VLOOKUP(B577,КВСР!A156:B1321,2),IF(C577&gt;0,VLOOKUP(C577,КФСР!A156:B1668,2),IF(D577&gt;0,VLOOKUP(D577,Программа!A$1:B$5124,2),IF(F577&gt;0,VLOOKUP(F577,КВР!A$1:B$5001,2),IF(E577&gt;0,VLOOKUP(E577,Направление!A$1:B$4812,2))))))</f>
        <v>Обеспечение деятельности прочих учреждений в сфере образования</v>
      </c>
      <c r="B577" s="120"/>
      <c r="C577" s="121"/>
      <c r="D577" s="122"/>
      <c r="E577" s="121">
        <v>13310</v>
      </c>
      <c r="F577" s="122"/>
      <c r="G577" s="286">
        <v>9138063</v>
      </c>
      <c r="H577" s="275">
        <f>H578</f>
        <v>-2700000</v>
      </c>
      <c r="I577" s="286">
        <f t="shared" ref="I577" si="130">I578</f>
        <v>6438063</v>
      </c>
    </row>
    <row r="578" spans="1:9" ht="47.25" x14ac:dyDescent="0.25">
      <c r="A578" s="779" t="str">
        <f>IF(B578&gt;0,VLOOKUP(B578,КВСР!A157:B1322,2),IF(C578&gt;0,VLOOKUP(C578,КФСР!A157:B1669,2),IF(D578&gt;0,VLOOKUP(D578,Программа!A$1:B$5124,2),IF(F578&gt;0,VLOOKUP(F578,КВР!A$1:B$5001,2),IF(E578&gt;0,VLOOKUP(E578,Направление!A$1:B$4812,2))))))</f>
        <v>Предоставление субсидий бюджетным, автономным учреждениям и иным некоммерческим организациям</v>
      </c>
      <c r="B578" s="120"/>
      <c r="C578" s="121"/>
      <c r="D578" s="122"/>
      <c r="E578" s="121"/>
      <c r="F578" s="122">
        <v>600</v>
      </c>
      <c r="G578" s="286">
        <v>9138063</v>
      </c>
      <c r="H578" s="275">
        <v>-2700000</v>
      </c>
      <c r="I578" s="117">
        <f>G578+H578</f>
        <v>6438063</v>
      </c>
    </row>
    <row r="579" spans="1:9" ht="63" x14ac:dyDescent="0.25">
      <c r="A579" s="779" t="str">
        <f>IF(B579&gt;0,VLOOKUP(B579,КВСР!A158:B1323,2),IF(C579&gt;0,VLOOKUP(C579,КФСР!A158:B1670,2),IF(D579&gt;0,VLOOKUP(D579,Программа!A$1:B$5124,2),IF(F579&gt;0,VLOOKUP(F579,КВР!A$1:B$5001,2),IF(E579&gt;0,VLOOKUP(E579,Направление!A$1:B$4812,2))))))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579" s="120"/>
      <c r="C579" s="121"/>
      <c r="D579" s="122"/>
      <c r="E579" s="121">
        <v>15890</v>
      </c>
      <c r="F579" s="122"/>
      <c r="G579" s="286">
        <v>15901063</v>
      </c>
      <c r="H579" s="275">
        <f t="shared" ref="H579" si="131">H580</f>
        <v>0</v>
      </c>
      <c r="I579" s="117">
        <f t="shared" ref="I579:I580" si="132">G579+H579</f>
        <v>15901063</v>
      </c>
    </row>
    <row r="580" spans="1:9" ht="47.25" x14ac:dyDescent="0.25">
      <c r="A580" s="779" t="str">
        <f>IF(B580&gt;0,VLOOKUP(B580,КВСР!A159:B1324,2),IF(C580&gt;0,VLOOKUP(C580,КФСР!A159:B1671,2),IF(D580&gt;0,VLOOKUP(D580,Программа!A$1:B$5124,2),IF(F580&gt;0,VLOOKUP(F580,КВР!A$1:B$5001,2),IF(E580&gt;0,VLOOKUP(E580,Направление!A$1:B$4812,2))))))</f>
        <v>Предоставление субсидий бюджетным, автономным учреждениям и иным некоммерческим организациям</v>
      </c>
      <c r="B580" s="120"/>
      <c r="C580" s="121"/>
      <c r="D580" s="122"/>
      <c r="E580" s="121"/>
      <c r="F580" s="122">
        <v>600</v>
      </c>
      <c r="G580" s="286">
        <v>15901063</v>
      </c>
      <c r="H580" s="286"/>
      <c r="I580" s="117">
        <f t="shared" si="132"/>
        <v>15901063</v>
      </c>
    </row>
    <row r="581" spans="1:9" hidden="1" x14ac:dyDescent="0.25">
      <c r="A581" s="779" t="str">
        <f>IF(B581&gt;0,VLOOKUP(B581,КВСР!A160:B1325,2),IF(C581&gt;0,VLOOKUP(C581,КФСР!A160:B1672,2),IF(D581&gt;0,VLOOKUP(D581,Программа!A$1:B$5124,2),IF(F581&gt;0,VLOOKUP(F581,КВР!A$1:B$5001,2),IF(E581&gt;0,VLOOKUP(E581,Направление!A$1:B$4812,2))))))</f>
        <v xml:space="preserve">Иная дотация </v>
      </c>
      <c r="B581" s="120"/>
      <c r="C581" s="121"/>
      <c r="D581" s="122"/>
      <c r="E581" s="121">
        <v>73260</v>
      </c>
      <c r="F581" s="122"/>
      <c r="G581" s="286">
        <v>0</v>
      </c>
      <c r="H581" s="275">
        <f t="shared" ref="H581:I581" si="133">H582</f>
        <v>0</v>
      </c>
      <c r="I581" s="286">
        <f t="shared" si="133"/>
        <v>0</v>
      </c>
    </row>
    <row r="582" spans="1:9" ht="47.25" hidden="1" x14ac:dyDescent="0.25">
      <c r="A582" s="779" t="str">
        <f>IF(B582&gt;0,VLOOKUP(B582,КВСР!A161:B1326,2),IF(C582&gt;0,VLOOKUP(C582,КФСР!A161:B1673,2),IF(D582&gt;0,VLOOKUP(D582,Программа!A$1:B$5124,2),IF(F582&gt;0,VLOOKUP(F582,КВР!A$1:B$5001,2),IF(E582&gt;0,VLOOKUP(E582,Направление!A$1:B$4812,2))))))</f>
        <v>Предоставление субсидий бюджетным, автономным учреждениям и иным некоммерческим организациям</v>
      </c>
      <c r="B582" s="120"/>
      <c r="C582" s="121"/>
      <c r="D582" s="122"/>
      <c r="E582" s="121"/>
      <c r="F582" s="122">
        <v>600</v>
      </c>
      <c r="G582" s="286">
        <v>0</v>
      </c>
      <c r="H582" s="275"/>
      <c r="I582" s="117">
        <f>G582+H582</f>
        <v>0</v>
      </c>
    </row>
    <row r="583" spans="1:9" ht="63" x14ac:dyDescent="0.25">
      <c r="A583" s="779" t="str">
        <f>IF(B583&gt;0,VLOOKUP(B583,КВСР!A160:B1325,2),IF(C583&gt;0,VLOOKUP(C583,КФСР!A160:B1672,2),IF(D583&gt;0,VLOOKUP(D583,Программа!A$1:B$5124,2),IF(F583&gt;0,VLOOKUP(F583,КВР!A$1:B$5001,2),IF(E583&gt;0,VLOOKUP(E583,Направление!A$1:B$4812,2))))))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583" s="120"/>
      <c r="C583" s="121"/>
      <c r="D583" s="122"/>
      <c r="E583" s="121">
        <v>75890</v>
      </c>
      <c r="F583" s="122"/>
      <c r="G583" s="286">
        <v>7291475</v>
      </c>
      <c r="H583" s="286">
        <f>H584</f>
        <v>0</v>
      </c>
      <c r="I583" s="286">
        <f>I584</f>
        <v>7291475</v>
      </c>
    </row>
    <row r="584" spans="1:9" ht="47.25" x14ac:dyDescent="0.25">
      <c r="A584" s="779" t="str">
        <f>IF(B584&gt;0,VLOOKUP(B584,КВСР!A161:B1326,2),IF(C584&gt;0,VLOOKUP(C584,КФСР!A161:B1673,2),IF(D584&gt;0,VLOOKUP(D584,Программа!A$1:B$5124,2),IF(F584&gt;0,VLOOKUP(F584,КВР!A$1:B$5001,2),IF(E584&gt;0,VLOOKUP(E584,Направление!A$1:B$4812,2))))))</f>
        <v>Предоставление субсидий бюджетным, автономным учреждениям и иным некоммерческим организациям</v>
      </c>
      <c r="B584" s="120"/>
      <c r="C584" s="121"/>
      <c r="D584" s="122"/>
      <c r="E584" s="121"/>
      <c r="F584" s="122">
        <v>600</v>
      </c>
      <c r="G584" s="286">
        <v>7291475</v>
      </c>
      <c r="H584" s="275"/>
      <c r="I584" s="117">
        <f>G584+H584</f>
        <v>7291475</v>
      </c>
    </row>
    <row r="585" spans="1:9" ht="47.25" hidden="1" x14ac:dyDescent="0.25">
      <c r="A585" s="779" t="str">
        <f>IF(B585&gt;0,VLOOKUP(B585,КВСР!A156:B1321,2),IF(C585&gt;0,VLOOKUP(C585,КФСР!A156:B1668,2),IF(D585&gt;0,VLOOKUP(D585,Программа!A$1:B$5124,2),IF(F585&gt;0,VLOOKUP(F585,КВР!A$1:B$5001,2),IF(E585&gt;0,VLOOKUP(E585,Направление!A$1:B$4812,2))))))</f>
        <v>Муниципальная программа "Социальная поддержка населения Тутаевского муниципального района"</v>
      </c>
      <c r="B585" s="120"/>
      <c r="C585" s="121"/>
      <c r="D585" s="122" t="s">
        <v>376</v>
      </c>
      <c r="E585" s="121"/>
      <c r="F585" s="122"/>
      <c r="G585" s="274">
        <v>0</v>
      </c>
      <c r="H585" s="275">
        <f>H586</f>
        <v>0</v>
      </c>
      <c r="I585" s="274">
        <f>I586</f>
        <v>0</v>
      </c>
    </row>
    <row r="586" spans="1:9" ht="47.25" hidden="1" x14ac:dyDescent="0.25">
      <c r="A586" s="779" t="str">
        <f>IF(B586&gt;0,VLOOKUP(B586,КВСР!A157:B1322,2),IF(C586&gt;0,VLOOKUP(C586,КФСР!A157:B1669,2),IF(D586&gt;0,VLOOKUP(D586,Программа!A$1:B$5124,2),IF(F586&gt;0,VLOOKUP(F586,КВР!A$1:B$5001,2),IF(E586&gt;0,VLOOKUP(E586,Направление!A$1:B$4812,2))))))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586" s="120"/>
      <c r="C586" s="121"/>
      <c r="D586" s="123" t="s">
        <v>378</v>
      </c>
      <c r="E586" s="121"/>
      <c r="F586" s="122"/>
      <c r="G586" s="274">
        <v>0</v>
      </c>
      <c r="H586" s="275">
        <f t="shared" ref="H586:I588" si="134">H587</f>
        <v>0</v>
      </c>
      <c r="I586" s="274">
        <f t="shared" si="134"/>
        <v>0</v>
      </c>
    </row>
    <row r="587" spans="1:9" ht="63" hidden="1" x14ac:dyDescent="0.25">
      <c r="A587" s="779" t="str">
        <f>IF(B587&gt;0,VLOOKUP(B587,КВСР!A158:B1323,2),IF(C587&gt;0,VLOOKUP(C587,КФСР!A158:B1670,2),IF(D587&gt;0,VLOOKUP(D587,Программа!A$1:B$5124,2),IF(F587&gt;0,VLOOKUP(F587,КВР!A$1:B$5001,2),IF(E587&gt;0,VLOOKUP(E587,Направление!A$1:B$4812,2))))))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87" s="120"/>
      <c r="C587" s="121"/>
      <c r="D587" s="123" t="s">
        <v>379</v>
      </c>
      <c r="E587" s="121"/>
      <c r="F587" s="122"/>
      <c r="G587" s="274">
        <v>0</v>
      </c>
      <c r="H587" s="275">
        <f t="shared" si="134"/>
        <v>0</v>
      </c>
      <c r="I587" s="274">
        <f t="shared" si="134"/>
        <v>0</v>
      </c>
    </row>
    <row r="588" spans="1:9" ht="31.5" hidden="1" x14ac:dyDescent="0.25">
      <c r="A588" s="779" t="str">
        <f>IF(B588&gt;0,VLOOKUP(B588,КВСР!A159:B1324,2),IF(C588&gt;0,VLOOKUP(C588,КФСР!A159:B1671,2),IF(D588&gt;0,VLOOKUP(D588,Программа!A$1:B$5124,2),IF(F588&gt;0,VLOOKUP(F588,КВР!A$1:B$5001,2),IF(E588&gt;0,VLOOKUP(E588,Направление!A$1:B$4812,2))))))</f>
        <v>Расходы на реализацию мероприятий по улучшению условий и охраны труда</v>
      </c>
      <c r="B588" s="120"/>
      <c r="C588" s="121"/>
      <c r="D588" s="122"/>
      <c r="E588" s="121">
        <v>16150</v>
      </c>
      <c r="F588" s="122"/>
      <c r="G588" s="274">
        <v>0</v>
      </c>
      <c r="H588" s="275">
        <f t="shared" si="134"/>
        <v>0</v>
      </c>
      <c r="I588" s="274">
        <f t="shared" si="134"/>
        <v>0</v>
      </c>
    </row>
    <row r="589" spans="1:9" ht="47.25" hidden="1" x14ac:dyDescent="0.25">
      <c r="A589" s="779" t="str">
        <f>IF(B589&gt;0,VLOOKUP(B589,КВСР!A160:B1325,2),IF(C589&gt;0,VLOOKUP(C589,КФСР!A160:B1672,2),IF(D589&gt;0,VLOOKUP(D589,Программа!A$1:B$5124,2),IF(F589&gt;0,VLOOKUP(F589,КВР!A$1:B$5001,2),IF(E589&gt;0,VLOOKUP(E589,Направление!A$1:B$4812,2))))))</f>
        <v>Предоставление субсидий бюджетным, автономным учреждениям и иным некоммерческим организациям</v>
      </c>
      <c r="B589" s="120"/>
      <c r="C589" s="121"/>
      <c r="D589" s="122"/>
      <c r="E589" s="121"/>
      <c r="F589" s="122">
        <v>600</v>
      </c>
      <c r="G589" s="286">
        <v>0</v>
      </c>
      <c r="H589" s="275"/>
      <c r="I589" s="117">
        <f>G589+H589</f>
        <v>0</v>
      </c>
    </row>
    <row r="590" spans="1:9" ht="47.25" x14ac:dyDescent="0.25">
      <c r="A590" s="779" t="str">
        <f>IF(B590&gt;0,VLOOKUP(B590,КВСР!A161:B1326,2),IF(C590&gt;0,VLOOKUP(C590,КФСР!A161:B1673,2),IF(D590&gt;0,VLOOKUP(D590,Программа!A$1:B$5124,2),IF(F590&gt;0,VLOOKUP(F590,КВР!A$1:B$5001,2),IF(E590&gt;0,VLOOKUP(E590,Направление!A$1:B$4812,2))))))</f>
        <v>Профессиональная подготовка, переподготовка и повышение квалификации</v>
      </c>
      <c r="B590" s="120"/>
      <c r="C590" s="121">
        <v>705</v>
      </c>
      <c r="D590" s="122"/>
      <c r="E590" s="121"/>
      <c r="F590" s="122"/>
      <c r="G590" s="274">
        <v>1247000</v>
      </c>
      <c r="H590" s="275">
        <f t="shared" ref="H590:I594" si="135">H591</f>
        <v>0</v>
      </c>
      <c r="I590" s="274">
        <f t="shared" si="135"/>
        <v>1247000</v>
      </c>
    </row>
    <row r="591" spans="1:9" ht="63" x14ac:dyDescent="0.25">
      <c r="A591" s="779" t="str">
        <f>IF(B591&gt;0,VLOOKUP(B591,КВСР!A162:B1327,2),IF(C591&gt;0,VLOOKUP(C591,КФСР!A162:B1674,2),IF(D591&gt;0,VLOOKUP(D591,Программа!A$1:B$5124,2),IF(F591&gt;0,VLOOKUP(F591,КВР!A$1:B$5001,2),IF(E591&gt;0,VLOOKUP(E591,Направление!A$1:B$4812,2))))))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591" s="120"/>
      <c r="C591" s="121"/>
      <c r="D591" s="123" t="s">
        <v>367</v>
      </c>
      <c r="E591" s="121"/>
      <c r="F591" s="122"/>
      <c r="G591" s="274">
        <v>1247000</v>
      </c>
      <c r="H591" s="275">
        <f t="shared" si="135"/>
        <v>0</v>
      </c>
      <c r="I591" s="274">
        <f t="shared" si="135"/>
        <v>1247000</v>
      </c>
    </row>
    <row r="592" spans="1:9" ht="63" x14ac:dyDescent="0.25">
      <c r="A592" s="779" t="str">
        <f>IF(B592&gt;0,VLOOKUP(B592,КВСР!A163:B1328,2),IF(C592&gt;0,VLOOKUP(C592,КФСР!A163:B1675,2),IF(D592&gt;0,VLOOKUP(D592,Программа!A$1:B$5124,2),IF(F592&gt;0,VLOOKUP(F592,КВР!A$1:B$5001,2),IF(E592&gt;0,VLOOKUP(E592,Направление!A$1:B$4812,2))))))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592" s="120"/>
      <c r="C592" s="121"/>
      <c r="D592" s="123" t="s">
        <v>369</v>
      </c>
      <c r="E592" s="121"/>
      <c r="F592" s="122"/>
      <c r="G592" s="274">
        <v>1247000</v>
      </c>
      <c r="H592" s="275">
        <f t="shared" si="135"/>
        <v>0</v>
      </c>
      <c r="I592" s="274">
        <f t="shared" si="135"/>
        <v>1247000</v>
      </c>
    </row>
    <row r="593" spans="1:9" ht="78.75" x14ac:dyDescent="0.25">
      <c r="A593" s="779" t="str">
        <f>IF(B593&gt;0,VLOOKUP(B593,КВСР!A164:B1329,2),IF(C593&gt;0,VLOOKUP(C593,КФСР!A164:B1676,2),IF(D593&gt;0,VLOOKUP(D593,Программа!A$1:B$5124,2),IF(F593&gt;0,VLOOKUP(F593,КВР!A$1:B$5001,2),IF(E593&gt;0,VLOOKUP(E593,Направление!A$1:B$4812,2))))))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93" s="120"/>
      <c r="C593" s="121"/>
      <c r="D593" s="123" t="s">
        <v>388</v>
      </c>
      <c r="E593" s="121"/>
      <c r="F593" s="122"/>
      <c r="G593" s="274">
        <v>1247000</v>
      </c>
      <c r="H593" s="275">
        <f t="shared" si="135"/>
        <v>0</v>
      </c>
      <c r="I593" s="274">
        <f t="shared" si="135"/>
        <v>1247000</v>
      </c>
    </row>
    <row r="594" spans="1:9" ht="31.5" x14ac:dyDescent="0.25">
      <c r="A594" s="779" t="str">
        <f>IF(B594&gt;0,VLOOKUP(B594,КВСР!A165:B1330,2),IF(C594&gt;0,VLOOKUP(C594,КФСР!A165:B1677,2),IF(D594&gt;0,VLOOKUP(D594,Программа!A$1:B$5124,2),IF(F594&gt;0,VLOOKUP(F594,КВР!A$1:B$5001,2),IF(E594&gt;0,VLOOKUP(E594,Направление!A$1:B$4812,2))))))</f>
        <v>Обеспечение деятельности прочих учреждений в сфере образования</v>
      </c>
      <c r="B594" s="120"/>
      <c r="C594" s="121"/>
      <c r="D594" s="123"/>
      <c r="E594" s="121">
        <v>13310</v>
      </c>
      <c r="F594" s="122"/>
      <c r="G594" s="274">
        <v>1247000</v>
      </c>
      <c r="H594" s="275">
        <f t="shared" si="135"/>
        <v>0</v>
      </c>
      <c r="I594" s="274">
        <f t="shared" si="135"/>
        <v>1247000</v>
      </c>
    </row>
    <row r="595" spans="1:9" ht="47.25" x14ac:dyDescent="0.25">
      <c r="A595" s="779" t="str">
        <f>IF(B595&gt;0,VLOOKUP(B595,КВСР!A166:B1331,2),IF(C595&gt;0,VLOOKUP(C595,КФСР!A166:B1678,2),IF(D595&gt;0,VLOOKUP(D595,Программа!A$1:B$5124,2),IF(F595&gt;0,VLOOKUP(F595,КВР!A$1:B$5001,2),IF(E595&gt;0,VLOOKUP(E595,Направление!A$1:B$4812,2))))))</f>
        <v>Предоставление субсидий бюджетным, автономным учреждениям и иным некоммерческим организациям</v>
      </c>
      <c r="B595" s="120"/>
      <c r="C595" s="121"/>
      <c r="D595" s="123"/>
      <c r="E595" s="121"/>
      <c r="F595" s="122">
        <v>600</v>
      </c>
      <c r="G595" s="286">
        <v>1247000</v>
      </c>
      <c r="H595" s="275"/>
      <c r="I595" s="117">
        <f>G595+H595</f>
        <v>1247000</v>
      </c>
    </row>
    <row r="596" spans="1:9" x14ac:dyDescent="0.25">
      <c r="A596" s="779" t="str">
        <f>IF(B596&gt;0,VLOOKUP(B596,КВСР!A146:B1311,2),IF(C596&gt;0,VLOOKUP(C596,КФСР!A146:B1658,2),IF(D596&gt;0,VLOOKUP(D596,Программа!A$1:B$5124,2),IF(F596&gt;0,VLOOKUP(F596,КВР!A$1:B$5001,2),IF(E596&gt;0,VLOOKUP(E596,Направление!A$1:B$4812,2))))))</f>
        <v>Молодежная политика</v>
      </c>
      <c r="B596" s="120"/>
      <c r="C596" s="121">
        <v>707</v>
      </c>
      <c r="D596" s="123"/>
      <c r="E596" s="121"/>
      <c r="F596" s="122"/>
      <c r="G596" s="117">
        <v>6672135</v>
      </c>
      <c r="H596" s="330">
        <f t="shared" ref="H596:I596" si="136">H602+H597</f>
        <v>-11068</v>
      </c>
      <c r="I596" s="117">
        <f t="shared" si="136"/>
        <v>6661067</v>
      </c>
    </row>
    <row r="597" spans="1:9" ht="63" hidden="1" x14ac:dyDescent="0.25">
      <c r="A597" s="779" t="str">
        <f>IF(B597&gt;0,VLOOKUP(B597,КВСР!A147:B1312,2),IF(C597&gt;0,VLOOKUP(C597,КФСР!A147:B1659,2),IF(D597&gt;0,VLOOKUP(D597,Программа!A$1:B$5124,2),IF(F597&gt;0,VLOOKUP(F597,КВР!A$1:B$5001,2),IF(E597&gt;0,VLOOKUP(E597,Направление!A$1:B$4812,2))))))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597" s="120"/>
      <c r="C597" s="121"/>
      <c r="D597" s="123" t="s">
        <v>396</v>
      </c>
      <c r="E597" s="121"/>
      <c r="F597" s="122"/>
      <c r="G597" s="117">
        <v>0</v>
      </c>
      <c r="H597" s="330">
        <f t="shared" ref="H597:I600" si="137">H598</f>
        <v>0</v>
      </c>
      <c r="I597" s="117">
        <f t="shared" si="137"/>
        <v>0</v>
      </c>
    </row>
    <row r="598" spans="1:9" ht="31.5" hidden="1" x14ac:dyDescent="0.25">
      <c r="A598" s="779" t="str">
        <f>IF(B598&gt;0,VLOOKUP(B598,КВСР!A148:B1313,2),IF(C598&gt;0,VLOOKUP(C598,КФСР!A148:B1660,2),IF(D598&gt;0,VLOOKUP(D598,Программа!A$1:B$5124,2),IF(F598&gt;0,VLOOKUP(F598,КВР!A$1:B$5001,2),IF(E598&gt;0,VLOOKUP(E598,Направление!A$1:B$4812,2))))))</f>
        <v>Ведомственная целевая программа «Молодежь»</v>
      </c>
      <c r="B598" s="120"/>
      <c r="C598" s="121"/>
      <c r="D598" s="123" t="s">
        <v>499</v>
      </c>
      <c r="E598" s="121"/>
      <c r="F598" s="122"/>
      <c r="G598" s="117">
        <v>0</v>
      </c>
      <c r="H598" s="330">
        <f t="shared" si="137"/>
        <v>0</v>
      </c>
      <c r="I598" s="117">
        <f t="shared" si="137"/>
        <v>0</v>
      </c>
    </row>
    <row r="599" spans="1:9" ht="63" hidden="1" x14ac:dyDescent="0.25">
      <c r="A599" s="779" t="str">
        <f>IF(B599&gt;0,VLOOKUP(B599,КВСР!A149:B1314,2),IF(C599&gt;0,VLOOKUP(C599,КФСР!A149:B1661,2),IF(D599&gt;0,VLOOKUP(D599,Программа!A$1:B$5124,2),IF(F599&gt;0,VLOOKUP(F599,КВР!A$1:B$5001,2),IF(E599&gt;0,VLOOKUP(E599,Направление!A$1:B$4812,2))))))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9" s="120"/>
      <c r="C599" s="121"/>
      <c r="D599" s="123" t="s">
        <v>501</v>
      </c>
      <c r="E599" s="121"/>
      <c r="F599" s="122"/>
      <c r="G599" s="117">
        <v>0</v>
      </c>
      <c r="H599" s="330">
        <f t="shared" si="137"/>
        <v>0</v>
      </c>
      <c r="I599" s="117">
        <f t="shared" si="137"/>
        <v>0</v>
      </c>
    </row>
    <row r="600" spans="1:9" ht="47.25" hidden="1" x14ac:dyDescent="0.25">
      <c r="A600" s="779" t="str">
        <f>IF(B600&gt;0,VLOOKUP(B600,КВСР!A150:B1315,2),IF(C600&gt;0,VLOOKUP(C600,КФСР!A150:B1662,2),IF(D600&gt;0,VLOOKUP(D600,Программа!A$1:B$5124,2),IF(F600&gt;0,VLOOKUP(F600,КВР!A$1:B$5001,2),IF(E600&gt;0,VLOOKUP(E600,Направление!A$1:B$4812,2))))))</f>
        <v>Расходы на обеспечение трудоустройства несовершеннолетних граждан на временные рабочие места</v>
      </c>
      <c r="B600" s="120"/>
      <c r="C600" s="121"/>
      <c r="D600" s="123"/>
      <c r="E600" s="121">
        <v>76150</v>
      </c>
      <c r="F600" s="122"/>
      <c r="G600" s="117">
        <v>0</v>
      </c>
      <c r="H600" s="330">
        <f t="shared" si="137"/>
        <v>0</v>
      </c>
      <c r="I600" s="117">
        <f t="shared" si="137"/>
        <v>0</v>
      </c>
    </row>
    <row r="601" spans="1:9" ht="47.25" hidden="1" x14ac:dyDescent="0.25">
      <c r="A601" s="779" t="str">
        <f>IF(B601&gt;0,VLOOKUP(B601,КВСР!A151:B1316,2),IF(C601&gt;0,VLOOKUP(C601,КФСР!A151:B1663,2),IF(D601&gt;0,VLOOKUP(D601,Программа!A$1:B$5124,2),IF(F601&gt;0,VLOOKUP(F601,КВР!A$1:B$5001,2),IF(E601&gt;0,VLOOKUP(E601,Направление!A$1:B$4812,2))))))</f>
        <v>Предоставление субсидий бюджетным, автономным учреждениям и иным некоммерческим организациям</v>
      </c>
      <c r="B601" s="120"/>
      <c r="C601" s="121"/>
      <c r="D601" s="123"/>
      <c r="E601" s="121"/>
      <c r="F601" s="122">
        <v>600</v>
      </c>
      <c r="G601" s="117">
        <v>0</v>
      </c>
      <c r="H601" s="330"/>
      <c r="I601" s="117">
        <f>G601+H601</f>
        <v>0</v>
      </c>
    </row>
    <row r="602" spans="1:9" ht="63" x14ac:dyDescent="0.25">
      <c r="A602" s="779" t="str">
        <f>IF(B602&gt;0,VLOOKUP(B602,КВСР!A147:B1312,2),IF(C602&gt;0,VLOOKUP(C602,КФСР!A147:B1659,2),IF(D602&gt;0,VLOOKUP(D602,Программа!A$1:B$5124,2),IF(F602&gt;0,VLOOKUP(F602,КВР!A$1:B$5001,2),IF(E602&gt;0,VLOOKUP(E602,Направление!A$1:B$4812,2))))))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602" s="120"/>
      <c r="C602" s="121"/>
      <c r="D602" s="123" t="s">
        <v>367</v>
      </c>
      <c r="E602" s="121"/>
      <c r="F602" s="122"/>
      <c r="G602" s="117">
        <v>6672135</v>
      </c>
      <c r="H602" s="330">
        <f>H603</f>
        <v>-11068</v>
      </c>
      <c r="I602" s="330">
        <f>I603</f>
        <v>6661067</v>
      </c>
    </row>
    <row r="603" spans="1:9" ht="63" x14ac:dyDescent="0.25">
      <c r="A603" s="779" t="str">
        <f>IF(B603&gt;0,VLOOKUP(B603,КВСР!A148:B1313,2),IF(C603&gt;0,VLOOKUP(C603,КФСР!A148:B1660,2),IF(D603&gt;0,VLOOKUP(D603,Программа!A$1:B$5124,2),IF(F603&gt;0,VLOOKUP(F603,КВР!A$1:B$5001,2),IF(E603&gt;0,VLOOKUP(E603,Направление!A$1:B$4812,2))))))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603" s="120"/>
      <c r="C603" s="121"/>
      <c r="D603" s="123" t="s">
        <v>369</v>
      </c>
      <c r="E603" s="121"/>
      <c r="F603" s="122"/>
      <c r="G603" s="117">
        <v>6672135</v>
      </c>
      <c r="H603" s="330">
        <f>H604+H619</f>
        <v>-11068</v>
      </c>
      <c r="I603" s="330">
        <f>I604+I619</f>
        <v>6661067</v>
      </c>
    </row>
    <row r="604" spans="1:9" ht="31.5" x14ac:dyDescent="0.25">
      <c r="A604" s="779" t="str">
        <f>IF(B604&gt;0,VLOOKUP(B604,КВСР!A149:B1314,2),IF(C604&gt;0,VLOOKUP(C604,КФСР!A149:B1661,2),IF(D604&gt;0,VLOOKUP(D604,Программа!A$1:B$5124,2),IF(F604&gt;0,VLOOKUP(F604,КВР!A$1:B$5001,2),IF(E604&gt;0,VLOOKUP(E604,Направление!A$1:B$4812,2))))))</f>
        <v>Обеспечение детей организованными формами отдыха и оздоровления</v>
      </c>
      <c r="B604" s="120"/>
      <c r="C604" s="121"/>
      <c r="D604" s="123" t="s">
        <v>1055</v>
      </c>
      <c r="E604" s="121"/>
      <c r="F604" s="122"/>
      <c r="G604" s="268">
        <v>6672135</v>
      </c>
      <c r="H604" s="330">
        <f t="shared" ref="H604" si="138">H605+H607+H612+H614+H617+H609</f>
        <v>-11068</v>
      </c>
      <c r="I604" s="330">
        <f t="shared" ref="I604" si="139">I605+I607+I612+I614+I617+I609</f>
        <v>6661067</v>
      </c>
    </row>
    <row r="605" spans="1:9" ht="47.25" x14ac:dyDescent="0.25">
      <c r="A605" s="780" t="str">
        <f>IF(B605&gt;0,VLOOKUP(B605,КВСР!A150:B1315,2),IF(C605&gt;0,VLOOKUP(C605,КФСР!A150:B1662,2),IF(D605&gt;0,VLOOKUP(D605,Программа!A$1:B$5124,2),IF(F605&gt;0,VLOOKUP(F605,КВР!A$1:B$5001,2),IF(E605&gt;0,VLOOKUP(E605,Направление!A$1:B$4812,2))))))</f>
        <v xml:space="preserve">Расходы на оплату стоимости набора продуктов питания в лагерях с дневной формой пребывания детей </v>
      </c>
      <c r="B605" s="364"/>
      <c r="C605" s="365"/>
      <c r="D605" s="366"/>
      <c r="E605" s="365">
        <v>11000</v>
      </c>
      <c r="F605" s="358"/>
      <c r="G605" s="117">
        <v>103420</v>
      </c>
      <c r="H605" s="330">
        <f>H606</f>
        <v>0</v>
      </c>
      <c r="I605" s="330">
        <f>I606</f>
        <v>103420</v>
      </c>
    </row>
    <row r="606" spans="1:9" ht="47.25" x14ac:dyDescent="0.25">
      <c r="A606" s="780" t="str">
        <f>IF(B606&gt;0,VLOOKUP(B606,КВСР!A155:B1320,2),IF(C606&gt;0,VLOOKUP(C606,КФСР!A155:B1667,2),IF(D606&gt;0,VLOOKUP(D606,Программа!A$1:B$5124,2),IF(F606&gt;0,VLOOKUP(F606,КВР!A$1:B$5001,2),IF(E606&gt;0,VLOOKUP(E606,Направление!A$1:B$4812,2))))))</f>
        <v>Предоставление субсидий бюджетным, автономным учреждениям и иным некоммерческим организациям</v>
      </c>
      <c r="B606" s="364"/>
      <c r="C606" s="365"/>
      <c r="D606" s="358"/>
      <c r="E606" s="365"/>
      <c r="F606" s="358">
        <v>600</v>
      </c>
      <c r="G606" s="369">
        <v>103420</v>
      </c>
      <c r="H606" s="330"/>
      <c r="I606" s="117">
        <f t="shared" si="129"/>
        <v>103420</v>
      </c>
    </row>
    <row r="607" spans="1:9" ht="110.25" hidden="1" x14ac:dyDescent="0.25">
      <c r="A607" s="780" t="str">
        <f>IF(B607&gt;0,VLOOKUP(B607,КВСР!A156:B1321,2),IF(C607&gt;0,VLOOKUP(C607,КФСР!A156:B1668,2),IF(D607&gt;0,VLOOKUP(D607,Программа!A$1:B$5124,2),IF(F607&gt;0,VLOOKUP(F607,КВР!A$1:B$5001,2),IF(E607&gt;0,VLOOKUP(E607,Направление!A$1:B$4812,2))))))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07" s="120"/>
      <c r="C607" s="121"/>
      <c r="D607" s="123"/>
      <c r="E607" s="121">
        <v>50650</v>
      </c>
      <c r="F607" s="122"/>
      <c r="G607" s="117">
        <v>0</v>
      </c>
      <c r="H607" s="330">
        <f>H608</f>
        <v>0</v>
      </c>
      <c r="I607" s="117">
        <f t="shared" si="129"/>
        <v>0</v>
      </c>
    </row>
    <row r="608" spans="1:9" ht="31.5" hidden="1" x14ac:dyDescent="0.25">
      <c r="A608" s="780" t="str">
        <f>IF(B608&gt;0,VLOOKUP(B608,КВСР!A157:B1322,2),IF(C608&gt;0,VLOOKUP(C608,КФСР!A157:B1669,2),IF(D608&gt;0,VLOOKUP(D608,Программа!A$1:B$5124,2),IF(F608&gt;0,VLOOKUP(F608,КВР!A$1:B$5001,2),IF(E608&gt;0,VLOOKUP(E608,Направление!A$1:B$4812,2))))))</f>
        <v>Социальное обеспечение и иные выплаты населению</v>
      </c>
      <c r="B608" s="120"/>
      <c r="C608" s="121"/>
      <c r="D608" s="122"/>
      <c r="E608" s="121"/>
      <c r="F608" s="122">
        <v>300</v>
      </c>
      <c r="G608" s="268">
        <v>0</v>
      </c>
      <c r="H608" s="330"/>
      <c r="I608" s="117">
        <f t="shared" si="129"/>
        <v>0</v>
      </c>
    </row>
    <row r="609" spans="1:9" ht="31.5" x14ac:dyDescent="0.25">
      <c r="A609" s="780" t="str">
        <f>IF(B609&gt;0,VLOOKUP(B609,КВСР!A158:B1323,2),IF(C609&gt;0,VLOOKUP(C609,КФСР!A158:B1670,2),IF(D609&gt;0,VLOOKUP(D609,Программа!A$1:B$5124,2),IF(F609&gt;0,VLOOKUP(F609,КВР!A$1:B$5001,2),IF(E609&gt;0,VLOOKUP(E609,Направление!A$1:B$4812,2))))))</f>
        <v>Расходы на обеспечение оздоровления и отдыха детей</v>
      </c>
      <c r="B609" s="120"/>
      <c r="C609" s="121"/>
      <c r="D609" s="122"/>
      <c r="E609" s="121">
        <v>13330</v>
      </c>
      <c r="F609" s="122"/>
      <c r="G609" s="268">
        <v>79018</v>
      </c>
      <c r="H609" s="330">
        <f>H610+H611</f>
        <v>-11068</v>
      </c>
      <c r="I609" s="330">
        <f>I610+I611</f>
        <v>67950</v>
      </c>
    </row>
    <row r="610" spans="1:9" ht="63" hidden="1" x14ac:dyDescent="0.25">
      <c r="A610" s="780" t="str">
        <f>IF(B610&gt;0,VLOOKUP(B610,КВСР!A159:B1324,2),IF(C610&gt;0,VLOOKUP(C610,КФСР!A159:B1671,2),IF(D610&gt;0,VLOOKUP(D610,Программа!A$1:B$5124,2),IF(F610&gt;0,VLOOKUP(F610,КВР!A$1:B$5001,2),IF(E610&gt;0,VLOOKUP(E610,Направление!A$1:B$4812,2))))))</f>
        <v xml:space="preserve">Закупка товаров, работ и услуг для обеспечения государственных (муниципальных) нужд
</v>
      </c>
      <c r="B610" s="120"/>
      <c r="C610" s="121"/>
      <c r="D610" s="122"/>
      <c r="E610" s="121"/>
      <c r="F610" s="122">
        <v>200</v>
      </c>
      <c r="G610" s="268">
        <v>11068</v>
      </c>
      <c r="H610" s="330">
        <v>-11068</v>
      </c>
      <c r="I610" s="117">
        <f>G610+H610</f>
        <v>0</v>
      </c>
    </row>
    <row r="611" spans="1:9" ht="47.25" x14ac:dyDescent="0.25">
      <c r="A611" s="780" t="str">
        <f>IF(B611&gt;0,VLOOKUP(B611,КВСР!A159:B1324,2),IF(C611&gt;0,VLOOKUP(C611,КФСР!A159:B1671,2),IF(D611&gt;0,VLOOKUP(D611,Программа!A$1:B$5124,2),IF(F611&gt;0,VLOOKUP(F611,КВР!A$1:B$5001,2),IF(E611&gt;0,VLOOKUP(E611,Направление!A$1:B$4812,2))))))</f>
        <v>Предоставление субсидий бюджетным, автономным учреждениям и иным некоммерческим организациям</v>
      </c>
      <c r="B611" s="120"/>
      <c r="C611" s="121"/>
      <c r="D611" s="122"/>
      <c r="E611" s="121"/>
      <c r="F611" s="122">
        <v>600</v>
      </c>
      <c r="G611" s="268">
        <v>67950</v>
      </c>
      <c r="H611" s="330"/>
      <c r="I611" s="117">
        <f>G611+H611</f>
        <v>67950</v>
      </c>
    </row>
    <row r="612" spans="1:9" ht="94.5" x14ac:dyDescent="0.25">
      <c r="A612" s="779" t="str">
        <f>IF(B612&gt;0,VLOOKUP(B612,КВСР!A159:B1324,2),IF(C612&gt;0,VLOOKUP(C612,КФСР!A159:B1671,2),IF(D612&gt;0,VLOOKUP(D612,Программа!A$1:B$5124,2),IF(F612&gt;0,VLOOKUP(F612,КВР!A$1:B$5001,2),IF(E612&gt;0,VLOOKUP(E612,Направление!A$1:B$4812,2))))))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12" s="120"/>
      <c r="C612" s="121"/>
      <c r="D612" s="123"/>
      <c r="E612" s="121">
        <v>71000</v>
      </c>
      <c r="F612" s="122"/>
      <c r="G612" s="115">
        <v>928622</v>
      </c>
      <c r="H612" s="275">
        <f>H613</f>
        <v>0</v>
      </c>
      <c r="I612" s="275">
        <f>I613</f>
        <v>928622</v>
      </c>
    </row>
    <row r="613" spans="1:9" ht="47.25" x14ac:dyDescent="0.25">
      <c r="A613" s="779" t="str">
        <f>IF(B613&gt;0,VLOOKUP(B613,КВСР!A160:B1325,2),IF(C613&gt;0,VLOOKUP(C613,КФСР!A160:B1672,2),IF(D613&gt;0,VLOOKUP(D613,Программа!A$1:B$5124,2),IF(F613&gt;0,VLOOKUP(F613,КВР!A$1:B$5001,2),IF(E613&gt;0,VLOOKUP(E613,Направление!A$1:B$4812,2))))))</f>
        <v>Предоставление субсидий бюджетным, автономным учреждениям и иным некоммерческим организациям</v>
      </c>
      <c r="B613" s="120"/>
      <c r="C613" s="121"/>
      <c r="D613" s="122"/>
      <c r="E613" s="121"/>
      <c r="F613" s="122">
        <v>600</v>
      </c>
      <c r="G613" s="286">
        <v>928622</v>
      </c>
      <c r="H613" s="275"/>
      <c r="I613" s="117">
        <f t="shared" si="129"/>
        <v>928622</v>
      </c>
    </row>
    <row r="614" spans="1:9" ht="110.25" x14ac:dyDescent="0.25">
      <c r="A614" s="779" t="str">
        <f>IF(B614&gt;0,VLOOKUP(B614,КВСР!A161:B1326,2),IF(C614&gt;0,VLOOKUP(C614,КФСР!A161:B1673,2),IF(D614&gt;0,VLOOKUP(D614,Программа!A$1:B$5124,2),IF(F614&gt;0,VLOOKUP(F614,КВР!A$1:B$5001,2),IF(E614&gt;0,VLOOKUP(E614,Направление!A$1:B$4812,2))))))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14" s="120"/>
      <c r="C614" s="121"/>
      <c r="D614" s="123"/>
      <c r="E614" s="121">
        <v>71060</v>
      </c>
      <c r="F614" s="122"/>
      <c r="G614" s="115">
        <v>5536142</v>
      </c>
      <c r="H614" s="275">
        <f>H615+H616</f>
        <v>0</v>
      </c>
      <c r="I614" s="275">
        <f>I615+I616</f>
        <v>5536142</v>
      </c>
    </row>
    <row r="615" spans="1:9" ht="31.5" x14ac:dyDescent="0.25">
      <c r="A615" s="779" t="str">
        <f>IF(B615&gt;0,VLOOKUP(B615,КВСР!A162:B1327,2),IF(C615&gt;0,VLOOKUP(C615,КФСР!A162:B1674,2),IF(D615&gt;0,VLOOKUP(D615,Программа!A$1:B$5124,2),IF(F615&gt;0,VLOOKUP(F615,КВР!A$1:B$5001,2),IF(E615&gt;0,VLOOKUP(E615,Направление!A$1:B$4812,2))))))</f>
        <v>Социальное обеспечение и иные выплаты населению</v>
      </c>
      <c r="B615" s="120"/>
      <c r="C615" s="121"/>
      <c r="D615" s="122"/>
      <c r="E615" s="121"/>
      <c r="F615" s="122">
        <v>300</v>
      </c>
      <c r="G615" s="286">
        <v>4074525</v>
      </c>
      <c r="H615" s="275">
        <v>64675</v>
      </c>
      <c r="I615" s="117">
        <f t="shared" si="129"/>
        <v>4139200</v>
      </c>
    </row>
    <row r="616" spans="1:9" ht="47.25" x14ac:dyDescent="0.25">
      <c r="A616" s="779" t="str">
        <f>IF(B616&gt;0,VLOOKUP(B616,КВСР!A163:B1328,2),IF(C616&gt;0,VLOOKUP(C616,КФСР!A163:B1675,2),IF(D616&gt;0,VLOOKUP(D616,Программа!A$1:B$5124,2),IF(F616&gt;0,VLOOKUP(F616,КВР!A$1:B$5001,2),IF(E616&gt;0,VLOOKUP(E616,Направление!A$1:B$4812,2))))))</f>
        <v>Предоставление субсидий бюджетным, автономным учреждениям и иным некоммерческим организациям</v>
      </c>
      <c r="B616" s="120"/>
      <c r="C616" s="121"/>
      <c r="D616" s="122"/>
      <c r="E616" s="121"/>
      <c r="F616" s="122">
        <v>600</v>
      </c>
      <c r="G616" s="286">
        <v>1461617</v>
      </c>
      <c r="H616" s="275">
        <v>-64675</v>
      </c>
      <c r="I616" s="117">
        <f t="shared" si="129"/>
        <v>1396942</v>
      </c>
    </row>
    <row r="617" spans="1:9" ht="47.25" x14ac:dyDescent="0.25">
      <c r="A617" s="779" t="str">
        <f>IF(B617&gt;0,VLOOKUP(B617,КВСР!A164:B1329,2),IF(C617&gt;0,VLOOKUP(C617,КФСР!A164:B1676,2),IF(D617&gt;0,VLOOKUP(D617,Программа!A$1:B$5124,2),IF(F617&gt;0,VLOOKUP(F617,КВР!A$1:B$5001,2),IF(E617&gt;0,VLOOKUP(E617,Направление!A$1:B$4812,2))))))</f>
        <v>Расходы на частичную оплату стоимости путевки в организации отдыха детей и их оздоровления</v>
      </c>
      <c r="B617" s="120"/>
      <c r="C617" s="121"/>
      <c r="D617" s="122"/>
      <c r="E617" s="121">
        <v>75160</v>
      </c>
      <c r="F617" s="122"/>
      <c r="G617" s="286">
        <v>24933</v>
      </c>
      <c r="H617" s="275">
        <f>H618</f>
        <v>0</v>
      </c>
      <c r="I617" s="275">
        <f>I618</f>
        <v>24933</v>
      </c>
    </row>
    <row r="618" spans="1:9" ht="31.5" x14ac:dyDescent="0.25">
      <c r="A618" s="779" t="str">
        <f>IF(B618&gt;0,VLOOKUP(B618,КВСР!A165:B1330,2),IF(C618&gt;0,VLOOKUP(C618,КФСР!A165:B1677,2),IF(D618&gt;0,VLOOKUP(D618,Программа!A$1:B$5124,2),IF(F618&gt;0,VLOOKUP(F618,КВР!A$1:B$5001,2),IF(E618&gt;0,VLOOKUP(E618,Направление!A$1:B$4812,2))))))</f>
        <v>Социальное обеспечение и иные выплаты населению</v>
      </c>
      <c r="B618" s="120"/>
      <c r="C618" s="121"/>
      <c r="D618" s="122"/>
      <c r="E618" s="121"/>
      <c r="F618" s="122">
        <v>300</v>
      </c>
      <c r="G618" s="286">
        <v>24933</v>
      </c>
      <c r="H618" s="275"/>
      <c r="I618" s="117">
        <f t="shared" si="129"/>
        <v>24933</v>
      </c>
    </row>
    <row r="619" spans="1:9" s="294" customFormat="1" hidden="1" x14ac:dyDescent="0.25">
      <c r="A619" s="781" t="str">
        <f>IF(B619&gt;0,VLOOKUP(B619,КВСР!A167:B1332,2),IF(C619&gt;0,VLOOKUP(C619,КФСР!A167:B1679,2),IF(D619&gt;0,VLOOKUP(D619,Программа!A$1:B$5124,2),IF(F619&gt;0,VLOOKUP(F619,КВР!A$1:B$5001,2),IF(E619&gt;0,VLOOKUP(E619,Направление!A$1:B$4812,2))))))</f>
        <v>Обеспечение компенсационных выплат</v>
      </c>
      <c r="B619" s="291"/>
      <c r="C619" s="292"/>
      <c r="D619" s="123" t="s">
        <v>1060</v>
      </c>
      <c r="E619" s="292"/>
      <c r="F619" s="293"/>
      <c r="G619" s="286">
        <v>0</v>
      </c>
      <c r="H619" s="275">
        <f>H620</f>
        <v>0</v>
      </c>
      <c r="I619" s="117">
        <f t="shared" si="129"/>
        <v>0</v>
      </c>
    </row>
    <row r="620" spans="1:9" ht="47.25" hidden="1" x14ac:dyDescent="0.25">
      <c r="A620" s="779" t="str">
        <f>IF(B620&gt;0,VLOOKUP(B620,КВСР!A164:B1329,2),IF(C620&gt;0,VLOOKUP(C620,КФСР!A164:B1676,2),IF(D620&gt;0,VLOOKUP(D620,Программа!A$1:B$5124,2),IF(F620&gt;0,VLOOKUP(F620,КВР!A$1:B$5001,2),IF(E620&gt;0,VLOOKUP(E620,Направление!A$1:B$4812,2))))))</f>
        <v>Компенсация части расходов на приобретение путевки в организации отдыха детей и их оздоровления</v>
      </c>
      <c r="B620" s="120"/>
      <c r="C620" s="121"/>
      <c r="D620" s="122"/>
      <c r="E620" s="121">
        <v>74390</v>
      </c>
      <c r="F620" s="122"/>
      <c r="G620" s="115">
        <v>0</v>
      </c>
      <c r="H620" s="275">
        <f>H621</f>
        <v>0</v>
      </c>
      <c r="I620" s="117">
        <f t="shared" si="129"/>
        <v>0</v>
      </c>
    </row>
    <row r="621" spans="1:9" ht="31.5" hidden="1" x14ac:dyDescent="0.25">
      <c r="A621" s="779" t="str">
        <f>IF(B621&gt;0,VLOOKUP(B621,КВСР!A165:B1330,2),IF(C621&gt;0,VLOOKUP(C621,КФСР!A165:B1677,2),IF(D621&gt;0,VLOOKUP(D621,Программа!A$1:B$5124,2),IF(F621&gt;0,VLOOKUP(F621,КВР!A$1:B$5001,2),IF(E621&gt;0,VLOOKUP(E621,Направление!A$1:B$4812,2))))))</f>
        <v>Социальное обеспечение и иные выплаты населению</v>
      </c>
      <c r="B621" s="120"/>
      <c r="C621" s="121"/>
      <c r="D621" s="122"/>
      <c r="E621" s="121"/>
      <c r="F621" s="122">
        <v>300</v>
      </c>
      <c r="G621" s="286">
        <v>0</v>
      </c>
      <c r="H621" s="275"/>
      <c r="I621" s="117">
        <f t="shared" si="129"/>
        <v>0</v>
      </c>
    </row>
    <row r="622" spans="1:9" x14ac:dyDescent="0.25">
      <c r="A622" s="779" t="str">
        <f>IF(B622&gt;0,VLOOKUP(B622,КВСР!A160:B1325,2),IF(C622&gt;0,VLOOKUP(C622,КФСР!A160:B1672,2),IF(D622&gt;0,VLOOKUP(D622,Программа!A$1:B$5124,2),IF(F622&gt;0,VLOOKUP(F622,КВР!A$1:B$5001,2),IF(E622&gt;0,VLOOKUP(E622,Направление!A$1:B$4812,2))))))</f>
        <v>Другие вопросы в области образования</v>
      </c>
      <c r="B622" s="120"/>
      <c r="C622" s="121">
        <v>709</v>
      </c>
      <c r="D622" s="123"/>
      <c r="E622" s="121"/>
      <c r="F622" s="122"/>
      <c r="G622" s="330">
        <v>48603391</v>
      </c>
      <c r="H622" s="330">
        <f>H623+H636+H702+H706+H697+H689</f>
        <v>234000</v>
      </c>
      <c r="I622" s="330">
        <f t="shared" ref="I622" si="140">I623+I636+I702+I706+I697+I689</f>
        <v>48837391</v>
      </c>
    </row>
    <row r="623" spans="1:9" ht="63" hidden="1" x14ac:dyDescent="0.25">
      <c r="A623" s="779" t="str">
        <f>IF(B623&gt;0,VLOOKUP(B623,КВСР!A161:B1326,2),IF(C623&gt;0,VLOOKUP(C623,КФСР!A161:B1673,2),IF(D623&gt;0,VLOOKUP(D623,Программа!A$1:B$5124,2),IF(F623&gt;0,VLOOKUP(F623,КВР!A$1:B$5001,2),IF(E623&gt;0,VLOOKUP(E623,Направление!A$1:B$4812,2))))))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623" s="120"/>
      <c r="C623" s="121"/>
      <c r="D623" s="123" t="s">
        <v>396</v>
      </c>
      <c r="E623" s="121"/>
      <c r="F623" s="122"/>
      <c r="G623" s="117">
        <v>0</v>
      </c>
      <c r="H623" s="330">
        <f>H624+H630</f>
        <v>0</v>
      </c>
      <c r="I623" s="117">
        <f t="shared" si="129"/>
        <v>0</v>
      </c>
    </row>
    <row r="624" spans="1:9" ht="94.5" hidden="1" x14ac:dyDescent="0.25">
      <c r="A624" s="779" t="str">
        <f>IF(B624&gt;0,VLOOKUP(B624,КВСР!A162:B1327,2),IF(C624&gt;0,VLOOKUP(C624,КФСР!A162:B1674,2),IF(D624&gt;0,VLOOKUP(D624,Программа!A$1:B$5124,2),IF(F624&gt;0,VLOOKUP(F624,КВР!A$1:B$5001,2),IF(E624&gt;0,VLOOKUP(E624,Направление!A$1:B$4812,2))))))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24" s="120"/>
      <c r="C624" s="121"/>
      <c r="D624" s="123" t="s">
        <v>398</v>
      </c>
      <c r="E624" s="121"/>
      <c r="F624" s="122"/>
      <c r="G624" s="117">
        <v>0</v>
      </c>
      <c r="H624" s="330">
        <f t="shared" ref="H624:H626" si="141">H625</f>
        <v>0</v>
      </c>
      <c r="I624" s="117">
        <f t="shared" si="129"/>
        <v>0</v>
      </c>
    </row>
    <row r="625" spans="1:9" ht="78.75" hidden="1" x14ac:dyDescent="0.25">
      <c r="A625" s="779" t="str">
        <f>IF(B625&gt;0,VLOOKUP(B625,КВСР!A163:B1328,2),IF(C625&gt;0,VLOOKUP(C625,КФСР!A163:B1675,2),IF(D625&gt;0,VLOOKUP(D625,Программа!A$1:B$5124,2),IF(F625&gt;0,VLOOKUP(F625,КВР!A$1:B$5001,2),IF(E625&gt;0,VLOOKUP(E625,Направление!A$1:B$4812,2))))))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25" s="120"/>
      <c r="C625" s="121"/>
      <c r="D625" s="123" t="s">
        <v>400</v>
      </c>
      <c r="E625" s="121"/>
      <c r="F625" s="122"/>
      <c r="G625" s="117">
        <v>0</v>
      </c>
      <c r="H625" s="330">
        <f t="shared" ref="H625:I625" si="142">H626+H628</f>
        <v>0</v>
      </c>
      <c r="I625" s="117">
        <f t="shared" si="142"/>
        <v>0</v>
      </c>
    </row>
    <row r="626" spans="1:9" ht="31.5" hidden="1" x14ac:dyDescent="0.25">
      <c r="A626" s="780" t="str">
        <f>IF(B626&gt;0,VLOOKUP(B626,КВСР!A164:B1329,2),IF(C626&gt;0,VLOOKUP(C626,КФСР!A164:B1676,2),IF(D626&gt;0,VLOOKUP(D626,Программа!A$1:B$5124,2),IF(F626&gt;0,VLOOKUP(F626,КВР!A$1:B$5001,2),IF(E626&gt;0,VLOOKUP(E626,Направление!A$1:B$4812,2))))))</f>
        <v>Мероприятия по патриотическому воспитанию граждан</v>
      </c>
      <c r="B626" s="364"/>
      <c r="C626" s="365"/>
      <c r="D626" s="366"/>
      <c r="E626" s="365">
        <v>14880</v>
      </c>
      <c r="F626" s="358"/>
      <c r="G626" s="117">
        <v>0</v>
      </c>
      <c r="H626" s="330">
        <f t="shared" si="141"/>
        <v>0</v>
      </c>
      <c r="I626" s="117">
        <f t="shared" si="129"/>
        <v>0</v>
      </c>
    </row>
    <row r="627" spans="1:9" ht="47.25" hidden="1" x14ac:dyDescent="0.25">
      <c r="A627" s="780" t="str">
        <f>IF(B627&gt;0,VLOOKUP(B627,КВСР!A165:B1330,2),IF(C627&gt;0,VLOOKUP(C627,КФСР!A165:B1677,2),IF(D627&gt;0,VLOOKUP(D627,Программа!A$1:B$5124,2),IF(F627&gt;0,VLOOKUP(F627,КВР!A$1:B$5001,2),IF(E627&gt;0,VLOOKUP(E627,Направление!A$1:B$4812,2))))))</f>
        <v>Предоставление субсидий бюджетным, автономным учреждениям и иным некоммерческим организациям</v>
      </c>
      <c r="B627" s="364"/>
      <c r="C627" s="365"/>
      <c r="D627" s="366"/>
      <c r="E627" s="365"/>
      <c r="F627" s="358">
        <v>600</v>
      </c>
      <c r="G627" s="369">
        <v>0</v>
      </c>
      <c r="H627" s="330"/>
      <c r="I627" s="117">
        <f t="shared" si="129"/>
        <v>0</v>
      </c>
    </row>
    <row r="628" spans="1:9" ht="31.5" hidden="1" x14ac:dyDescent="0.25">
      <c r="A628" s="780" t="str">
        <f>IF(B628&gt;0,VLOOKUP(B628,КВСР!A166:B1331,2),IF(C628&gt;0,VLOOKUP(C628,КФСР!A166:B1678,2),IF(D628&gt;0,VLOOKUP(D628,Программа!A$1:B$5124,2),IF(F628&gt;0,VLOOKUP(F628,КВР!A$1:B$5001,2),IF(E628&gt;0,VLOOKUP(E628,Направление!A$1:B$4812,2))))))</f>
        <v>Мероприятия по патриотическому воспитанию граждан</v>
      </c>
      <c r="B628" s="364"/>
      <c r="C628" s="365"/>
      <c r="D628" s="366"/>
      <c r="E628" s="365">
        <v>74880</v>
      </c>
      <c r="F628" s="358"/>
      <c r="G628" s="369">
        <v>0</v>
      </c>
      <c r="H628" s="374">
        <f t="shared" ref="H628:I628" si="143">H629</f>
        <v>0</v>
      </c>
      <c r="I628" s="369">
        <f t="shared" si="143"/>
        <v>0</v>
      </c>
    </row>
    <row r="629" spans="1:9" ht="47.25" hidden="1" x14ac:dyDescent="0.25">
      <c r="A629" s="780" t="str">
        <f>IF(B629&gt;0,VLOOKUP(B629,КВСР!A167:B1332,2),IF(C629&gt;0,VLOOKUP(C629,КФСР!A167:B1679,2),IF(D629&gt;0,VLOOKUP(D629,Программа!A$1:B$5124,2),IF(F629&gt;0,VLOOKUP(F629,КВР!A$1:B$5001,2),IF(E629&gt;0,VLOOKUP(E629,Направление!A$1:B$4812,2))))))</f>
        <v>Предоставление субсидий бюджетным, автономным учреждениям и иным некоммерческим организациям</v>
      </c>
      <c r="B629" s="364"/>
      <c r="C629" s="365"/>
      <c r="D629" s="366"/>
      <c r="E629" s="365"/>
      <c r="F629" s="358">
        <v>600</v>
      </c>
      <c r="G629" s="369">
        <v>0</v>
      </c>
      <c r="H629" s="330"/>
      <c r="I629" s="117">
        <f>G629+H629</f>
        <v>0</v>
      </c>
    </row>
    <row r="630" spans="1:9" ht="63" hidden="1" x14ac:dyDescent="0.25">
      <c r="A630" s="779" t="str">
        <f>IF(B630&gt;0,VLOOKUP(B630,КВСР!A166:B1331,2),IF(C630&gt;0,VLOOKUP(C630,КФСР!A166:B1678,2),IF(D630&gt;0,VLOOKUP(D630,Программа!A$1:B$5124,2),IF(F630&gt;0,VLOOKUP(F630,КВР!A$1:B$5001,2),IF(E630&gt;0,VLOOKUP(E630,Направление!A$1:B$4812,2))))))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30" s="120"/>
      <c r="C630" s="121"/>
      <c r="D630" s="123" t="s">
        <v>403</v>
      </c>
      <c r="E630" s="121"/>
      <c r="F630" s="122"/>
      <c r="G630" s="117">
        <v>0</v>
      </c>
      <c r="H630" s="330">
        <f>H631</f>
        <v>0</v>
      </c>
      <c r="I630" s="117">
        <f t="shared" si="129"/>
        <v>0</v>
      </c>
    </row>
    <row r="631" spans="1:9" ht="47.25" hidden="1" x14ac:dyDescent="0.25">
      <c r="A631" s="779" t="str">
        <f>IF(B631&gt;0,VLOOKUP(B631,КВСР!A167:B1332,2),IF(C631&gt;0,VLOOKUP(C631,КФСР!A167:B1679,2),IF(D631&gt;0,VLOOKUP(D631,Программа!A$1:B$5124,2),IF(F631&gt;0,VLOOKUP(F631,КВР!A$1:B$5001,2),IF(E631&gt;0,VLOOKUP(E631,Направление!A$1:B$4812,2))))))</f>
        <v>Развитие системы профилактики немедицинского потребления наркотиков</v>
      </c>
      <c r="B631" s="120"/>
      <c r="C631" s="121"/>
      <c r="D631" s="123" t="s">
        <v>405</v>
      </c>
      <c r="E631" s="121"/>
      <c r="F631" s="122"/>
      <c r="G631" s="117">
        <v>0</v>
      </c>
      <c r="H631" s="330">
        <f>H632+H634</f>
        <v>0</v>
      </c>
      <c r="I631" s="117">
        <f t="shared" si="129"/>
        <v>0</v>
      </c>
    </row>
    <row r="632" spans="1:9" ht="63" hidden="1" x14ac:dyDescent="0.25">
      <c r="A632" s="779" t="str">
        <f>IF(B632&gt;0,VLOOKUP(B632,КВСР!A168:B1333,2),IF(C632&gt;0,VLOOKUP(C632,КФСР!A168:B1680,2),IF(D632&gt;0,VLOOKUP(D632,Программа!A$1:B$5124,2),IF(F632&gt;0,VLOOKUP(F632,КВР!A$1:B$5001,2),IF(E632&gt;0,VLOOKUP(E632,Направление!A$1:B$4812,2))))))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32" s="120"/>
      <c r="C632" s="121"/>
      <c r="D632" s="123"/>
      <c r="E632" s="121" t="s">
        <v>407</v>
      </c>
      <c r="F632" s="122"/>
      <c r="G632" s="117">
        <v>0</v>
      </c>
      <c r="H632" s="330">
        <f>H633</f>
        <v>0</v>
      </c>
      <c r="I632" s="117">
        <f t="shared" si="129"/>
        <v>0</v>
      </c>
    </row>
    <row r="633" spans="1:9" ht="47.25" hidden="1" x14ac:dyDescent="0.25">
      <c r="A633" s="779" t="str">
        <f>IF(B633&gt;0,VLOOKUP(B633,КВСР!A169:B1334,2),IF(C633&gt;0,VLOOKUP(C633,КФСР!A169:B1681,2),IF(D633&gt;0,VLOOKUP(D633,Программа!A$1:B$5124,2),IF(F633&gt;0,VLOOKUP(F633,КВР!A$1:B$5001,2),IF(E633&gt;0,VLOOKUP(E633,Направление!A$1:B$4812,2))))))</f>
        <v>Предоставление субсидий бюджетным, автономным учреждениям и иным некоммерческим организациям</v>
      </c>
      <c r="B633" s="120"/>
      <c r="C633" s="121"/>
      <c r="D633" s="123"/>
      <c r="E633" s="121"/>
      <c r="F633" s="122">
        <v>600</v>
      </c>
      <c r="G633" s="268">
        <v>0</v>
      </c>
      <c r="H633" s="330"/>
      <c r="I633" s="117">
        <f t="shared" si="129"/>
        <v>0</v>
      </c>
    </row>
    <row r="634" spans="1:9" ht="78.75" hidden="1" x14ac:dyDescent="0.25">
      <c r="A634" s="779" t="str">
        <f>IF(B634&gt;0,VLOOKUP(B634,КВСР!A170:B1335,2),IF(C634&gt;0,VLOOKUP(C634,КФСР!A170:B1682,2),IF(D634&gt;0,VLOOKUP(D634,Программа!A$1:B$5124,2),IF(F634&gt;0,VLOOKUP(F634,КВР!A$1:B$5001,2),IF(E634&gt;0,VLOOKUP(E634,Направление!A$1:B$4812,2))))))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34" s="120"/>
      <c r="C634" s="121"/>
      <c r="D634" s="123"/>
      <c r="E634" s="121">
        <v>71430</v>
      </c>
      <c r="F634" s="122"/>
      <c r="G634" s="117">
        <v>0</v>
      </c>
      <c r="H634" s="330">
        <f>H635</f>
        <v>0</v>
      </c>
      <c r="I634" s="117">
        <f t="shared" si="129"/>
        <v>0</v>
      </c>
    </row>
    <row r="635" spans="1:9" ht="47.25" hidden="1" x14ac:dyDescent="0.25">
      <c r="A635" s="779" t="str">
        <f>IF(B635&gt;0,VLOOKUP(B635,КВСР!A171:B1336,2),IF(C635&gt;0,VLOOKUP(C635,КФСР!A171:B1683,2),IF(D635&gt;0,VLOOKUP(D635,Программа!A$1:B$5124,2),IF(F635&gt;0,VLOOKUP(F635,КВР!A$1:B$5001,2),IF(E635&gt;0,VLOOKUP(E635,Направление!A$1:B$4812,2))))))</f>
        <v>Предоставление субсидий бюджетным, автономным учреждениям и иным некоммерческим организациям</v>
      </c>
      <c r="B635" s="120"/>
      <c r="C635" s="121"/>
      <c r="D635" s="123"/>
      <c r="E635" s="121"/>
      <c r="F635" s="122">
        <v>600</v>
      </c>
      <c r="G635" s="268">
        <v>0</v>
      </c>
      <c r="H635" s="330"/>
      <c r="I635" s="117">
        <f t="shared" si="129"/>
        <v>0</v>
      </c>
    </row>
    <row r="636" spans="1:9" ht="63" x14ac:dyDescent="0.25">
      <c r="A636" s="779" t="str">
        <f>IF(B636&gt;0,VLOOKUP(B636,КВСР!A166:B1331,2),IF(C636&gt;0,VLOOKUP(C636,КФСР!A166:B1678,2),IF(D636&gt;0,VLOOKUP(D636,Программа!A$1:B$5124,2),IF(F636&gt;0,VLOOKUP(F636,КВР!A$1:B$5001,2),IF(E636&gt;0,VLOOKUP(E636,Направление!A$1:B$4812,2))))))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636" s="120"/>
      <c r="C636" s="121"/>
      <c r="D636" s="123" t="s">
        <v>367</v>
      </c>
      <c r="E636" s="121"/>
      <c r="F636" s="122"/>
      <c r="G636" s="330">
        <v>47238631</v>
      </c>
      <c r="H636" s="330">
        <f t="shared" ref="H636" si="144">H637+H685</f>
        <v>135000</v>
      </c>
      <c r="I636" s="330">
        <f t="shared" ref="I636" si="145">I637+I685</f>
        <v>47373631</v>
      </c>
    </row>
    <row r="637" spans="1:9" ht="63" x14ac:dyDescent="0.25">
      <c r="A637" s="779" t="str">
        <f>IF(B637&gt;0,VLOOKUP(B637,КВСР!A167:B1332,2),IF(C637&gt;0,VLOOKUP(C637,КФСР!A167:B1679,2),IF(D637&gt;0,VLOOKUP(D637,Программа!A$1:B$5124,2),IF(F637&gt;0,VLOOKUP(F637,КВР!A$1:B$5001,2),IF(E637&gt;0,VLOOKUP(E637,Направление!A$1:B$4812,2))))))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637" s="120"/>
      <c r="C637" s="121"/>
      <c r="D637" s="123" t="s">
        <v>369</v>
      </c>
      <c r="E637" s="121"/>
      <c r="F637" s="122"/>
      <c r="G637" s="330">
        <v>47233631</v>
      </c>
      <c r="H637" s="330">
        <f t="shared" ref="H637" si="146">H644+H649+H666+H638+H661</f>
        <v>135000</v>
      </c>
      <c r="I637" s="330">
        <f t="shared" ref="I637" si="147">I644+I649+I666+I638+I661</f>
        <v>47368631</v>
      </c>
    </row>
    <row r="638" spans="1:9" ht="47.25" x14ac:dyDescent="0.25">
      <c r="A638" s="779" t="str">
        <f>IF(B638&gt;0,VLOOKUP(B638,КВСР!A168:B1333,2),IF(C638&gt;0,VLOOKUP(C638,КФСР!A168:B1680,2),IF(D638&gt;0,VLOOKUP(D638,Программа!A$1:B$5124,2),IF(F638&gt;0,VLOOKUP(F638,КВР!A$1:B$5001,2),IF(E638&gt;0,VLOOKUP(E638,Направление!A$1:B$4812,2))))))</f>
        <v>Обеспечение качества и доступности образовательных услуг в сфере дополнительного образования</v>
      </c>
      <c r="B638" s="120"/>
      <c r="C638" s="121"/>
      <c r="D638" s="123" t="s">
        <v>431</v>
      </c>
      <c r="E638" s="121"/>
      <c r="F638" s="122"/>
      <c r="G638" s="117">
        <v>95000</v>
      </c>
      <c r="H638" s="330">
        <f>H640+H641+H642+H643</f>
        <v>44000</v>
      </c>
      <c r="I638" s="330">
        <f>I640+I641+I642+I643</f>
        <v>139000</v>
      </c>
    </row>
    <row r="639" spans="1:9" x14ac:dyDescent="0.25">
      <c r="A639" s="779" t="str">
        <f>IF(B639&gt;0,VLOOKUP(B639,КВСР!A169:B1334,2),IF(C639&gt;0,VLOOKUP(C639,КФСР!A169:B1681,2),IF(D639&gt;0,VLOOKUP(D639,Программа!A$1:B$5124,2),IF(F639&gt;0,VLOOKUP(F639,КВР!A$1:B$5001,2),IF(E639&gt;0,VLOOKUP(E639,Направление!A$1:B$4812,2))))))</f>
        <v>Мероприятия в сфере образования</v>
      </c>
      <c r="B639" s="120"/>
      <c r="C639" s="121"/>
      <c r="D639" s="123"/>
      <c r="E639" s="121">
        <v>13320</v>
      </c>
      <c r="F639" s="122"/>
      <c r="G639" s="117">
        <v>95000</v>
      </c>
      <c r="H639" s="330">
        <f>H640+H641+H642+H643</f>
        <v>44000</v>
      </c>
      <c r="I639" s="330">
        <f>I640+I641+I642+I643</f>
        <v>139000</v>
      </c>
    </row>
    <row r="640" spans="1:9" ht="110.25" hidden="1" x14ac:dyDescent="0.25">
      <c r="A640" s="779" t="str">
        <f>IF(B640&gt;0,VLOOKUP(B640,КВСР!A169:B1334,2),IF(C640&gt;0,VLOOKUP(C640,КФСР!A169:B1681,2),IF(D640&gt;0,VLOOKUP(D640,Программа!A$1:B$5124,2),IF(F640&gt;0,VLOOKUP(F640,КВР!A$1:B$5001,2),IF(E640&gt;0,VLOOKUP(E640,Направление!A$1:B$4812,2))))))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0" s="120"/>
      <c r="C640" s="121"/>
      <c r="D640" s="123"/>
      <c r="E640" s="121"/>
      <c r="F640" s="122">
        <v>100</v>
      </c>
      <c r="G640" s="268">
        <v>0</v>
      </c>
      <c r="H640" s="330"/>
      <c r="I640" s="117">
        <f t="shared" si="129"/>
        <v>0</v>
      </c>
    </row>
    <row r="641" spans="1:9" ht="63" x14ac:dyDescent="0.25">
      <c r="A641" s="779" t="str">
        <f>IF(B641&gt;0,VLOOKUP(B641,КВСР!A170:B1335,2),IF(C641&gt;0,VLOOKUP(C641,КФСР!A170:B1682,2),IF(D641&gt;0,VLOOKUP(D641,Программа!A$1:B$5124,2),IF(F641&gt;0,VLOOKUP(F641,КВР!A$1:B$5001,2),IF(E641&gt;0,VLOOKUP(E641,Направление!A$1:B$4812,2))))))</f>
        <v xml:space="preserve">Закупка товаров, работ и услуг для обеспечения государственных (муниципальных) нужд
</v>
      </c>
      <c r="B641" s="120"/>
      <c r="C641" s="121"/>
      <c r="D641" s="123"/>
      <c r="E641" s="121"/>
      <c r="F641" s="122">
        <v>200</v>
      </c>
      <c r="G641" s="268">
        <v>95000</v>
      </c>
      <c r="H641" s="330">
        <v>44000</v>
      </c>
      <c r="I641" s="117">
        <f t="shared" si="129"/>
        <v>139000</v>
      </c>
    </row>
    <row r="642" spans="1:9" ht="47.25" hidden="1" x14ac:dyDescent="0.25">
      <c r="A642" s="779" t="str">
        <f>IF(B642&gt;0,VLOOKUP(B642,КВСР!A171:B1336,2),IF(C642&gt;0,VLOOKUP(C642,КФСР!A171:B1683,2),IF(D642&gt;0,VLOOKUP(D642,Программа!A$1:B$5124,2),IF(F642&gt;0,VLOOKUP(F642,КВР!A$1:B$5001,2),IF(E642&gt;0,VLOOKUP(E642,Направление!A$1:B$4812,2))))))</f>
        <v>Предоставление субсидий бюджетным, автономным учреждениям и иным некоммерческим организациям</v>
      </c>
      <c r="B642" s="120"/>
      <c r="C642" s="121"/>
      <c r="D642" s="123"/>
      <c r="E642" s="121"/>
      <c r="F642" s="122">
        <v>600</v>
      </c>
      <c r="G642" s="268">
        <v>0</v>
      </c>
      <c r="H642" s="330"/>
      <c r="I642" s="117">
        <f t="shared" si="129"/>
        <v>0</v>
      </c>
    </row>
    <row r="643" spans="1:9" hidden="1" x14ac:dyDescent="0.25">
      <c r="A643" s="779" t="str">
        <f>IF(B643&gt;0,VLOOKUP(B643,КВСР!A172:B1337,2),IF(C643&gt;0,VLOOKUP(C643,КФСР!A172:B1684,2),IF(D643&gt;0,VLOOKUP(D643,Программа!A$1:B$5124,2),IF(F643&gt;0,VLOOKUP(F643,КВР!A$1:B$5001,2),IF(E643&gt;0,VLOOKUP(E643,Направление!A$1:B$4812,2))))))</f>
        <v>Иные бюджетные ассигнования</v>
      </c>
      <c r="B643" s="120"/>
      <c r="C643" s="121"/>
      <c r="D643" s="123"/>
      <c r="E643" s="121"/>
      <c r="F643" s="122">
        <v>800</v>
      </c>
      <c r="G643" s="268">
        <v>0</v>
      </c>
      <c r="H643" s="330"/>
      <c r="I643" s="117">
        <f t="shared" si="129"/>
        <v>0</v>
      </c>
    </row>
    <row r="644" spans="1:9" ht="31.5" x14ac:dyDescent="0.25">
      <c r="A644" s="779" t="str">
        <f>IF(B644&gt;0,VLOOKUP(B644,КВСР!A168:B1333,2),IF(C644&gt;0,VLOOKUP(C644,КФСР!A168:B1680,2),IF(D644&gt;0,VLOOKUP(D644,Программа!A$1:B$5124,2),IF(F644&gt;0,VLOOKUP(F644,КВР!A$1:B$5001,2),IF(E644&gt;0,VLOOKUP(E644,Направление!A$1:B$4812,2))))))</f>
        <v>Повышение мотивации участников образовательного процесса</v>
      </c>
      <c r="B644" s="120"/>
      <c r="C644" s="121"/>
      <c r="D644" s="123" t="s">
        <v>411</v>
      </c>
      <c r="E644" s="121"/>
      <c r="F644" s="122"/>
      <c r="G644" s="117">
        <v>382000</v>
      </c>
      <c r="H644" s="330">
        <f>H645+H647</f>
        <v>-69000</v>
      </c>
      <c r="I644" s="330">
        <f>I645+I647</f>
        <v>313000</v>
      </c>
    </row>
    <row r="645" spans="1:9" ht="31.5" x14ac:dyDescent="0.25">
      <c r="A645" s="779" t="str">
        <f>IF(B645&gt;0,VLOOKUP(B645,КВСР!A169:B1334,2),IF(C645&gt;0,VLOOKUP(C645,КФСР!A169:B1681,2),IF(D645&gt;0,VLOOKUP(D645,Программа!A$1:B$5124,2),IF(F645&gt;0,VLOOKUP(F645,КВР!A$1:B$5001,2),IF(E645&gt;0,VLOOKUP(E645,Направление!A$1:B$4812,2))))))</f>
        <v xml:space="preserve">Выплата ежемесячных разовых стипендий главы </v>
      </c>
      <c r="B645" s="120"/>
      <c r="C645" s="121"/>
      <c r="D645" s="123"/>
      <c r="E645" s="121">
        <v>12700</v>
      </c>
      <c r="F645" s="122"/>
      <c r="G645" s="117">
        <v>232000</v>
      </c>
      <c r="H645" s="330">
        <f>H646</f>
        <v>6000</v>
      </c>
      <c r="I645" s="330">
        <f>I646</f>
        <v>238000</v>
      </c>
    </row>
    <row r="646" spans="1:9" ht="31.5" x14ac:dyDescent="0.25">
      <c r="A646" s="779" t="str">
        <f>IF(B646&gt;0,VLOOKUP(B646,КВСР!A170:B1335,2),IF(C646&gt;0,VLOOKUP(C646,КФСР!A170:B1682,2),IF(D646&gt;0,VLOOKUP(D646,Программа!A$1:B$5124,2),IF(F646&gt;0,VLOOKUP(F646,КВР!A$1:B$5001,2),IF(E646&gt;0,VLOOKUP(E646,Направление!A$1:B$4812,2))))))</f>
        <v>Социальное обеспечение и иные выплаты населению</v>
      </c>
      <c r="B646" s="120"/>
      <c r="C646" s="121"/>
      <c r="D646" s="123"/>
      <c r="E646" s="121"/>
      <c r="F646" s="122">
        <v>300</v>
      </c>
      <c r="G646" s="268">
        <v>232000</v>
      </c>
      <c r="H646" s="330">
        <v>6000</v>
      </c>
      <c r="I646" s="117">
        <f t="shared" si="129"/>
        <v>238000</v>
      </c>
    </row>
    <row r="647" spans="1:9" ht="63" x14ac:dyDescent="0.25">
      <c r="A647" s="779" t="str">
        <f>IF(B647&gt;0,VLOOKUP(B647,КВСР!A171:B1336,2),IF(C647&gt;0,VLOOKUP(C647,КФСР!A171:B1683,2),IF(D647&gt;0,VLOOKUP(D647,Программа!A$1:B$5124,2),IF(F647&gt;0,VLOOKUP(F647,КВР!A$1:B$5001,2),IF(E647&gt;0,VLOOKUP(E647,Направление!A$1:B$4812,2))))))</f>
        <v>Денежное поощрение лучших руководящих и педагогических работников за заслуги в сфере образования</v>
      </c>
      <c r="B647" s="120"/>
      <c r="C647" s="121"/>
      <c r="D647" s="123"/>
      <c r="E647" s="121">
        <v>12710</v>
      </c>
      <c r="F647" s="122"/>
      <c r="G647" s="117">
        <v>150000</v>
      </c>
      <c r="H647" s="330">
        <f>H648</f>
        <v>-75000</v>
      </c>
      <c r="I647" s="330">
        <f>I648</f>
        <v>75000</v>
      </c>
    </row>
    <row r="648" spans="1:9" ht="31.5" x14ac:dyDescent="0.25">
      <c r="A648" s="779" t="str">
        <f>IF(B648&gt;0,VLOOKUP(B648,КВСР!A172:B1337,2),IF(C648&gt;0,VLOOKUP(C648,КФСР!A172:B1684,2),IF(D648&gt;0,VLOOKUP(D648,Программа!A$1:B$5124,2),IF(F648&gt;0,VLOOKUP(F648,КВР!A$1:B$5001,2),IF(E648&gt;0,VLOOKUP(E648,Направление!A$1:B$4812,2))))))</f>
        <v>Социальное обеспечение и иные выплаты населению</v>
      </c>
      <c r="B648" s="120"/>
      <c r="C648" s="121"/>
      <c r="D648" s="123"/>
      <c r="E648" s="121"/>
      <c r="F648" s="122">
        <v>300</v>
      </c>
      <c r="G648" s="268">
        <v>150000</v>
      </c>
      <c r="H648" s="330">
        <v>-75000</v>
      </c>
      <c r="I648" s="117">
        <f t="shared" si="129"/>
        <v>75000</v>
      </c>
    </row>
    <row r="649" spans="1:9" ht="78.75" x14ac:dyDescent="0.25">
      <c r="A649" s="779" t="str">
        <f>IF(B649&gt;0,VLOOKUP(B649,КВСР!A173:B1338,2),IF(C649&gt;0,VLOOKUP(C649,КФСР!A173:B1685,2),IF(D649&gt;0,VLOOKUP(D649,Программа!A$1:B$5124,2),IF(F649&gt;0,VLOOKUP(F649,КВР!A$1:B$5001,2),IF(E649&gt;0,VLOOKUP(E649,Направление!A$1:B$4812,2))))))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9" s="120"/>
      <c r="C649" s="121"/>
      <c r="D649" s="123" t="s">
        <v>388</v>
      </c>
      <c r="E649" s="121"/>
      <c r="F649" s="122"/>
      <c r="G649" s="117">
        <v>12250234</v>
      </c>
      <c r="H649" s="330">
        <f>H650+H653+H659+H655+H657</f>
        <v>160000</v>
      </c>
      <c r="I649" s="330">
        <f>I650+I653+I659+I655+I657</f>
        <v>12410234</v>
      </c>
    </row>
    <row r="650" spans="1:9" ht="31.5" x14ac:dyDescent="0.25">
      <c r="A650" s="779" t="str">
        <f>IF(B650&gt;0,VLOOKUP(B650,КВСР!A174:B1339,2),IF(C650&gt;0,VLOOKUP(C650,КФСР!A174:B1686,2),IF(D650&gt;0,VLOOKUP(D650,Программа!A$1:B$5124,2),IF(F650&gt;0,VLOOKUP(F650,КВР!A$1:B$5001,2),IF(E650&gt;0,VLOOKUP(E650,Направление!A$1:B$4812,2))))))</f>
        <v>Обеспечение деятельности прочих учреждений в сфере образования</v>
      </c>
      <c r="B650" s="120"/>
      <c r="C650" s="121"/>
      <c r="D650" s="123"/>
      <c r="E650" s="121">
        <v>13310</v>
      </c>
      <c r="F650" s="122"/>
      <c r="G650" s="117">
        <v>11025996</v>
      </c>
      <c r="H650" s="330">
        <f>H651+H652</f>
        <v>160000</v>
      </c>
      <c r="I650" s="330">
        <f>I651+I652</f>
        <v>11185996</v>
      </c>
    </row>
    <row r="651" spans="1:9" ht="63" hidden="1" x14ac:dyDescent="0.25">
      <c r="A651" s="779" t="str">
        <f>IF(B651&gt;0,VLOOKUP(B651,КВСР!A175:B1340,2),IF(C651&gt;0,VLOOKUP(C651,КФСР!A175:B1687,2),IF(D651&gt;0,VLOOKUP(D651,Программа!A$1:B$5124,2),IF(F651&gt;0,VLOOKUP(F651,КВР!A$1:B$5001,2),IF(E651&gt;0,VLOOKUP(E651,Направление!A$1:B$4812,2))))))</f>
        <v xml:space="preserve">Закупка товаров, работ и услуг для обеспечения государственных (муниципальных) нужд
</v>
      </c>
      <c r="B651" s="120"/>
      <c r="C651" s="121"/>
      <c r="D651" s="123"/>
      <c r="E651" s="121"/>
      <c r="F651" s="122">
        <v>200</v>
      </c>
      <c r="G651" s="268">
        <v>0</v>
      </c>
      <c r="H651" s="330"/>
      <c r="I651" s="117">
        <f t="shared" si="129"/>
        <v>0</v>
      </c>
    </row>
    <row r="652" spans="1:9" ht="47.25" x14ac:dyDescent="0.25">
      <c r="A652" s="779" t="str">
        <f>IF(B652&gt;0,VLOOKUP(B652,КВСР!A176:B1341,2),IF(C652&gt;0,VLOOKUP(C652,КФСР!A176:B1688,2),IF(D652&gt;0,VLOOKUP(D652,Программа!A$1:B$5124,2),IF(F652&gt;0,VLOOKUP(F652,КВР!A$1:B$5001,2),IF(E652&gt;0,VLOOKUP(E652,Направление!A$1:B$4812,2))))))</f>
        <v>Предоставление субсидий бюджетным, автономным учреждениям и иным некоммерческим организациям</v>
      </c>
      <c r="B652" s="120"/>
      <c r="C652" s="121"/>
      <c r="D652" s="123"/>
      <c r="E652" s="121"/>
      <c r="F652" s="122">
        <v>600</v>
      </c>
      <c r="G652" s="268">
        <v>11025996</v>
      </c>
      <c r="H652" s="330">
        <v>160000</v>
      </c>
      <c r="I652" s="117">
        <f t="shared" si="129"/>
        <v>11185996</v>
      </c>
    </row>
    <row r="653" spans="1:9" ht="47.25" x14ac:dyDescent="0.25">
      <c r="A653" s="779" t="str">
        <f>IF(B653&gt;0,VLOOKUP(B653,КВСР!A177:B1342,2),IF(C653&gt;0,VLOOKUP(C653,КФСР!A177:B1689,2),IF(D653&gt;0,VLOOKUP(D653,Программа!A$1:B$5124,2),IF(F653&gt;0,VLOOKUP(F653,КВР!A$1:B$5001,2),IF(E653&gt;0,VLOOKUP(E653,Направление!A$1:B$4812,2))))))</f>
        <v>Расходы на реализацию мероприятий инициативного бюджетирования на территории Ярославской области</v>
      </c>
      <c r="B653" s="120"/>
      <c r="C653" s="121"/>
      <c r="D653" s="123"/>
      <c r="E653" s="121">
        <v>15350</v>
      </c>
      <c r="F653" s="122"/>
      <c r="G653" s="268">
        <v>47758</v>
      </c>
      <c r="H653" s="330">
        <f t="shared" ref="H653:I653" si="148">H654</f>
        <v>0</v>
      </c>
      <c r="I653" s="268">
        <f t="shared" si="148"/>
        <v>47758</v>
      </c>
    </row>
    <row r="654" spans="1:9" ht="47.25" x14ac:dyDescent="0.25">
      <c r="A654" s="779" t="str">
        <f>IF(B654&gt;0,VLOOKUP(B654,КВСР!A178:B1343,2),IF(C654&gt;0,VLOOKUP(C654,КФСР!A178:B1690,2),IF(D654&gt;0,VLOOKUP(D654,Программа!A$1:B$5124,2),IF(F654&gt;0,VLOOKUP(F654,КВР!A$1:B$5001,2),IF(E654&gt;0,VLOOKUP(E654,Направление!A$1:B$4812,2))))))</f>
        <v>Предоставление субсидий бюджетным, автономным учреждениям и иным некоммерческим организациям</v>
      </c>
      <c r="B654" s="120"/>
      <c r="C654" s="121"/>
      <c r="D654" s="123"/>
      <c r="E654" s="121"/>
      <c r="F654" s="122">
        <v>600</v>
      </c>
      <c r="G654" s="268">
        <v>47758</v>
      </c>
      <c r="H654" s="330"/>
      <c r="I654" s="117">
        <f t="shared" si="129"/>
        <v>47758</v>
      </c>
    </row>
    <row r="655" spans="1:9" ht="63" x14ac:dyDescent="0.25">
      <c r="A655" s="779" t="str">
        <f>IF(B655&gt;0,VLOOKUP(B655,КВСР!A179:B1344,2),IF(C655&gt;0,VLOOKUP(C655,КФСР!A179:B1691,2),IF(D655&gt;0,VLOOKUP(D655,Программа!A$1:B$5124,2),IF(F655&gt;0,VLOOKUP(F655,КВР!A$1:B$5001,2),IF(E655&gt;0,VLOOKUP(E655,Направление!A$1:B$4812,2))))))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655" s="120"/>
      <c r="C655" s="121"/>
      <c r="D655" s="123"/>
      <c r="E655" s="121">
        <v>15890</v>
      </c>
      <c r="F655" s="122"/>
      <c r="G655" s="268">
        <v>184484</v>
      </c>
      <c r="H655" s="268">
        <f t="shared" ref="H655:I655" si="149">H656</f>
        <v>0</v>
      </c>
      <c r="I655" s="268">
        <f t="shared" si="149"/>
        <v>184484</v>
      </c>
    </row>
    <row r="656" spans="1:9" ht="47.25" x14ac:dyDescent="0.25">
      <c r="A656" s="779" t="str">
        <f>IF(B656&gt;0,VLOOKUP(B656,КВСР!A180:B1345,2),IF(C656&gt;0,VLOOKUP(C656,КФСР!A180:B1692,2),IF(D656&gt;0,VLOOKUP(D656,Программа!A$1:B$5124,2),IF(F656&gt;0,VLOOKUP(F656,КВР!A$1:B$5001,2),IF(E656&gt;0,VLOOKUP(E656,Направление!A$1:B$4812,2))))))</f>
        <v>Предоставление субсидий бюджетным, автономным учреждениям и иным некоммерческим организациям</v>
      </c>
      <c r="B656" s="120"/>
      <c r="C656" s="121"/>
      <c r="D656" s="123"/>
      <c r="E656" s="121"/>
      <c r="F656" s="122">
        <v>600</v>
      </c>
      <c r="G656" s="268">
        <v>184484</v>
      </c>
      <c r="H656" s="330"/>
      <c r="I656" s="117">
        <f>G656+H656</f>
        <v>184484</v>
      </c>
    </row>
    <row r="657" spans="1:9" ht="47.25" x14ac:dyDescent="0.25">
      <c r="A657" s="779" t="str">
        <f>IF(B657&gt;0,VLOOKUP(B657,КВСР!A181:B1346,2),IF(C657&gt;0,VLOOKUP(C657,КФСР!A181:B1693,2),IF(D657&gt;0,VLOOKUP(D657,Программа!A$1:B$5124,2),IF(F657&gt;0,VLOOKUP(F657,КВР!A$1:B$5001,2),IF(E657&gt;0,VLOOKUP(E657,Направление!A$1:B$4812,2))))))</f>
        <v>Расходы на реализацию мероприятий инициативного бюджетирования на территории Ярославской области</v>
      </c>
      <c r="B657" s="120"/>
      <c r="C657" s="121"/>
      <c r="D657" s="123"/>
      <c r="E657" s="121">
        <v>75350</v>
      </c>
      <c r="F657" s="122"/>
      <c r="G657" s="268">
        <v>907396</v>
      </c>
      <c r="H657" s="268">
        <f t="shared" ref="H657:I657" si="150">H658</f>
        <v>0</v>
      </c>
      <c r="I657" s="268">
        <f t="shared" si="150"/>
        <v>907396</v>
      </c>
    </row>
    <row r="658" spans="1:9" ht="47.25" x14ac:dyDescent="0.25">
      <c r="A658" s="779" t="str">
        <f>IF(B658&gt;0,VLOOKUP(B658,КВСР!A182:B1347,2),IF(C658&gt;0,VLOOKUP(C658,КФСР!A182:B1694,2),IF(D658&gt;0,VLOOKUP(D658,Программа!A$1:B$5124,2),IF(F658&gt;0,VLOOKUP(F658,КВР!A$1:B$5001,2),IF(E658&gt;0,VLOOKUP(E658,Направление!A$1:B$4812,2))))))</f>
        <v>Предоставление субсидий бюджетным, автономным учреждениям и иным некоммерческим организациям</v>
      </c>
      <c r="B658" s="120"/>
      <c r="C658" s="121"/>
      <c r="D658" s="123"/>
      <c r="E658" s="121"/>
      <c r="F658" s="122">
        <v>600</v>
      </c>
      <c r="G658" s="268">
        <v>907396</v>
      </c>
      <c r="H658" s="330"/>
      <c r="I658" s="117">
        <f t="shared" ref="I658" si="151">G658+H658</f>
        <v>907396</v>
      </c>
    </row>
    <row r="659" spans="1:9" ht="63" x14ac:dyDescent="0.25">
      <c r="A659" s="779" t="str">
        <f>IF(B659&gt;0,VLOOKUP(B659,КВСР!A179:B1344,2),IF(C659&gt;0,VLOOKUP(C659,КФСР!A179:B1691,2),IF(D659&gt;0,VLOOKUP(D659,Программа!A$1:B$5124,2),IF(F659&gt;0,VLOOKUP(F659,КВР!A$1:B$5001,2),IF(E659&gt;0,VLOOKUP(E659,Направление!A$1:B$4812,2))))))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659" s="120"/>
      <c r="C659" s="121"/>
      <c r="D659" s="123"/>
      <c r="E659" s="121">
        <v>75890</v>
      </c>
      <c r="F659" s="122"/>
      <c r="G659" s="268">
        <v>84600</v>
      </c>
      <c r="H659" s="330">
        <f t="shared" ref="H659:I659" si="152">H660</f>
        <v>0</v>
      </c>
      <c r="I659" s="268">
        <f t="shared" si="152"/>
        <v>84600</v>
      </c>
    </row>
    <row r="660" spans="1:9" ht="47.25" x14ac:dyDescent="0.25">
      <c r="A660" s="779" t="str">
        <f>IF(B660&gt;0,VLOOKUP(B660,КВСР!A180:B1345,2),IF(C660&gt;0,VLOOKUP(C660,КФСР!A180:B1692,2),IF(D660&gt;0,VLOOKUP(D660,Программа!A$1:B$5124,2),IF(F660&gt;0,VLOOKUP(F660,КВР!A$1:B$5001,2),IF(E660&gt;0,VLOOKUP(E660,Направление!A$1:B$4812,2))))))</f>
        <v>Предоставление субсидий бюджетным, автономным учреждениям и иным некоммерческим организациям</v>
      </c>
      <c r="B660" s="120"/>
      <c r="C660" s="121"/>
      <c r="D660" s="123"/>
      <c r="E660" s="121"/>
      <c r="F660" s="122">
        <v>600</v>
      </c>
      <c r="G660" s="268">
        <v>84600</v>
      </c>
      <c r="H660" s="330"/>
      <c r="I660" s="117">
        <f t="shared" si="129"/>
        <v>84600</v>
      </c>
    </row>
    <row r="661" spans="1:9" ht="31.5" hidden="1" x14ac:dyDescent="0.25">
      <c r="A661" s="779" t="str">
        <f>IF(B661&gt;0,VLOOKUP(B661,КВСР!A177:B1342,2),IF(C661&gt;0,VLOOKUP(C661,КФСР!A177:B1689,2),IF(D661&gt;0,VLOOKUP(D661,Программа!A$1:B$5124,2),IF(F661&gt;0,VLOOKUP(F661,КВР!A$1:B$5001,2),IF(E661&gt;0,VLOOKUP(E661,Направление!A$1:B$4812,2))))))</f>
        <v>Обеспечение детей организованными формами отдыха и оздоровления</v>
      </c>
      <c r="B661" s="120"/>
      <c r="C661" s="121"/>
      <c r="D661" s="123" t="s">
        <v>1055</v>
      </c>
      <c r="E661" s="121"/>
      <c r="F661" s="122"/>
      <c r="G661" s="268">
        <v>0</v>
      </c>
      <c r="H661" s="330">
        <f>H662</f>
        <v>0</v>
      </c>
      <c r="I661" s="117">
        <f t="shared" si="129"/>
        <v>0</v>
      </c>
    </row>
    <row r="662" spans="1:9" ht="78.75" hidden="1" x14ac:dyDescent="0.25">
      <c r="A662" s="779" t="str">
        <f>IF(B662&gt;0,VLOOKUP(B662,КВСР!A177:B1342,2),IF(C662&gt;0,VLOOKUP(C662,КФСР!A177:B1689,2),IF(D662&gt;0,VLOOKUP(D662,Программа!A$1:B$5124,2),IF(F662&gt;0,VLOOKUP(F662,КВР!A$1:B$5001,2),IF(E662&gt;0,VLOOKUP(E662,Направление!A$1:B$4812,2))))))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62" s="120"/>
      <c r="C662" s="121"/>
      <c r="D662" s="123"/>
      <c r="E662" s="121" t="s">
        <v>414</v>
      </c>
      <c r="F662" s="122"/>
      <c r="G662" s="117">
        <v>0</v>
      </c>
      <c r="H662" s="330">
        <f>H663</f>
        <v>0</v>
      </c>
      <c r="I662" s="117">
        <f t="shared" si="129"/>
        <v>0</v>
      </c>
    </row>
    <row r="663" spans="1:9" ht="47.25" hidden="1" x14ac:dyDescent="0.25">
      <c r="A663" s="779" t="str">
        <f>IF(B663&gt;0,VLOOKUP(B663,КВСР!A178:B1343,2),IF(C663&gt;0,VLOOKUP(C663,КФСР!A178:B1690,2),IF(D663&gt;0,VLOOKUP(D663,Программа!A$1:B$5124,2),IF(F663&gt;0,VLOOKUP(F663,КВР!A$1:B$5001,2),IF(E663&gt;0,VLOOKUP(E663,Направление!A$1:B$4812,2))))))</f>
        <v>Предоставление субсидий бюджетным, автономным учреждениям и иным некоммерческим организациям</v>
      </c>
      <c r="B663" s="120"/>
      <c r="C663" s="121"/>
      <c r="D663" s="123"/>
      <c r="E663" s="121"/>
      <c r="F663" s="122">
        <v>600</v>
      </c>
      <c r="G663" s="268">
        <v>0</v>
      </c>
      <c r="H663" s="330"/>
      <c r="I663" s="117">
        <f t="shared" si="129"/>
        <v>0</v>
      </c>
    </row>
    <row r="664" spans="1:9" ht="78.75" hidden="1" x14ac:dyDescent="0.25">
      <c r="A664" s="779" t="str">
        <f>IF(B664&gt;0,VLOOKUP(B664,КВСР!A179:B1344,2),IF(C664&gt;0,VLOOKUP(C664,КФСР!A179:B1691,2),IF(D664&gt;0,VLOOKUP(D664,Программа!A$1:B$5124,2),IF(F664&gt;0,VLOOKUP(F664,КВР!A$1:B$5001,2),IF(E664&gt;0,VLOOKUP(E664,Направление!A$1:B$4812,2))))))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64" s="120"/>
      <c r="C664" s="121"/>
      <c r="D664" s="123"/>
      <c r="E664" s="121">
        <v>70470</v>
      </c>
      <c r="F664" s="122"/>
      <c r="G664" s="117">
        <v>0</v>
      </c>
      <c r="H664" s="330">
        <f>H665</f>
        <v>0</v>
      </c>
      <c r="I664" s="117">
        <f t="shared" si="129"/>
        <v>0</v>
      </c>
    </row>
    <row r="665" spans="1:9" ht="47.25" hidden="1" x14ac:dyDescent="0.25">
      <c r="A665" s="779" t="str">
        <f>IF(B665&gt;0,VLOOKUP(B665,КВСР!A180:B1345,2),IF(C665&gt;0,VLOOKUP(C665,КФСР!A180:B1692,2),IF(D665&gt;0,VLOOKUP(D665,Программа!A$1:B$5124,2),IF(F665&gt;0,VLOOKUP(F665,КВР!A$1:B$5001,2),IF(E665&gt;0,VLOOKUP(E665,Направление!A$1:B$4812,2))))))</f>
        <v>Предоставление субсидий бюджетным, автономным учреждениям и иным некоммерческим организациям</v>
      </c>
      <c r="B665" s="120"/>
      <c r="C665" s="121"/>
      <c r="D665" s="123"/>
      <c r="E665" s="121"/>
      <c r="F665" s="122">
        <v>600</v>
      </c>
      <c r="G665" s="268">
        <v>0</v>
      </c>
      <c r="H665" s="330"/>
      <c r="I665" s="117">
        <f t="shared" si="129"/>
        <v>0</v>
      </c>
    </row>
    <row r="666" spans="1:9" ht="31.5" x14ac:dyDescent="0.25">
      <c r="A666" s="779" t="str">
        <f>IF(B666&gt;0,VLOOKUP(B666,КВСР!A168:B1333,2),IF(C666&gt;0,VLOOKUP(C666,КФСР!A168:B1680,2),IF(D666&gt;0,VLOOKUP(D666,Программа!A$1:B$5124,2),IF(F666&gt;0,VLOOKUP(F666,КВР!A$1:B$5001,2),IF(E666&gt;0,VLOOKUP(E666,Направление!A$1:B$4812,2))))))</f>
        <v>Обеспечение эффективности управления системой образования</v>
      </c>
      <c r="B666" s="120"/>
      <c r="C666" s="121"/>
      <c r="D666" s="123" t="s">
        <v>1057</v>
      </c>
      <c r="E666" s="121"/>
      <c r="F666" s="122"/>
      <c r="G666" s="117">
        <v>34506397</v>
      </c>
      <c r="H666" s="330">
        <f>H667+H671+H673+H678+H681</f>
        <v>0</v>
      </c>
      <c r="I666" s="330">
        <f>I667+I671+I673+I678+I681</f>
        <v>34506397</v>
      </c>
    </row>
    <row r="667" spans="1:9" x14ac:dyDescent="0.25">
      <c r="A667" s="779" t="str">
        <f>IF(B667&gt;0,VLOOKUP(B667,КВСР!A169:B1334,2),IF(C667&gt;0,VLOOKUP(C667,КФСР!A169:B1681,2),IF(D667&gt;0,VLOOKUP(D667,Программа!A$1:B$5124,2),IF(F667&gt;0,VLOOKUP(F667,КВР!A$1:B$5001,2),IF(E667&gt;0,VLOOKUP(E667,Направление!A$1:B$4812,2))))))</f>
        <v>Содержание центрального аппарата</v>
      </c>
      <c r="B667" s="120"/>
      <c r="C667" s="121"/>
      <c r="D667" s="123"/>
      <c r="E667" s="121">
        <v>12010</v>
      </c>
      <c r="F667" s="111"/>
      <c r="G667" s="115">
        <v>6641176</v>
      </c>
      <c r="H667" s="275">
        <f>H668+H669+H670</f>
        <v>0</v>
      </c>
      <c r="I667" s="275">
        <f>I668+I669+I670</f>
        <v>6641176</v>
      </c>
    </row>
    <row r="668" spans="1:9" ht="110.25" x14ac:dyDescent="0.25">
      <c r="A668" s="779" t="str">
        <f>IF(B668&gt;0,VLOOKUP(B668,КВСР!A164:B1329,2),IF(C668&gt;0,VLOOKUP(C668,КФСР!A164:B1676,2),IF(D668&gt;0,VLOOKUP(D668,Программа!A$1:B$5124,2),IF(F668&gt;0,VLOOKUP(F668,КВР!A$1:B$5001,2),IF(E668&gt;0,VLOOKUP(E668,Направление!A$1:B$4812,2))))))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68" s="120"/>
      <c r="C668" s="121"/>
      <c r="D668" s="122"/>
      <c r="E668" s="121"/>
      <c r="F668" s="111">
        <v>100</v>
      </c>
      <c r="G668" s="286">
        <v>5742952</v>
      </c>
      <c r="H668" s="275">
        <f>-15572.08+17972.08-2400</f>
        <v>0</v>
      </c>
      <c r="I668" s="117">
        <f t="shared" si="129"/>
        <v>5742952</v>
      </c>
    </row>
    <row r="669" spans="1:9" ht="63" x14ac:dyDescent="0.25">
      <c r="A669" s="779" t="str">
        <f>IF(B669&gt;0,VLOOKUP(B669,КВСР!A165:B1330,2),IF(C669&gt;0,VLOOKUP(C669,КФСР!A165:B1677,2),IF(D669&gt;0,VLOOKUP(D669,Программа!A$1:B$5124,2),IF(F669&gt;0,VLOOKUP(F669,КВР!A$1:B$5001,2),IF(E669&gt;0,VLOOKUP(E669,Направление!A$1:B$4812,2))))))</f>
        <v xml:space="preserve">Закупка товаров, работ и услуг для обеспечения государственных (муниципальных) нужд
</v>
      </c>
      <c r="B669" s="120"/>
      <c r="C669" s="121"/>
      <c r="D669" s="122"/>
      <c r="E669" s="121"/>
      <c r="F669" s="111">
        <v>200</v>
      </c>
      <c r="G669" s="286">
        <v>878224</v>
      </c>
      <c r="H669" s="275"/>
      <c r="I669" s="117">
        <f t="shared" si="129"/>
        <v>878224</v>
      </c>
    </row>
    <row r="670" spans="1:9" x14ac:dyDescent="0.25">
      <c r="A670" s="779" t="str">
        <f>IF(B670&gt;0,VLOOKUP(B670,КВСР!A166:B1331,2),IF(C670&gt;0,VLOOKUP(C670,КФСР!A166:B1678,2),IF(D670&gt;0,VLOOKUP(D670,Программа!A$1:B$5124,2),IF(F670&gt;0,VLOOKUP(F670,КВР!A$1:B$5001,2),IF(E670&gt;0,VLOOKUP(E670,Направление!A$1:B$4812,2))))))</f>
        <v>Иные бюджетные ассигнования</v>
      </c>
      <c r="B670" s="120"/>
      <c r="C670" s="121"/>
      <c r="D670" s="122"/>
      <c r="E670" s="121"/>
      <c r="F670" s="111">
        <v>800</v>
      </c>
      <c r="G670" s="286">
        <v>20000</v>
      </c>
      <c r="H670" s="275"/>
      <c r="I670" s="117">
        <f t="shared" si="129"/>
        <v>20000</v>
      </c>
    </row>
    <row r="671" spans="1:9" ht="31.5" hidden="1" x14ac:dyDescent="0.25">
      <c r="A671" s="779" t="str">
        <f>IF(B671&gt;0,VLOOKUP(B671,КВСР!A166:B1331,2),IF(C671&gt;0,VLOOKUP(C671,КФСР!A166:B1678,2),IF(D671&gt;0,VLOOKUP(D671,Программа!A$1:B$5124,2),IF(F671&gt;0,VLOOKUP(F671,КВР!A$1:B$5001,2),IF(E671&gt;0,VLOOKUP(E671,Направление!A$1:B$4812,2))))))</f>
        <v>Выполнение других обязательств органов местного самоуправления</v>
      </c>
      <c r="B671" s="120"/>
      <c r="C671" s="121"/>
      <c r="D671" s="123"/>
      <c r="E671" s="121">
        <v>12080</v>
      </c>
      <c r="F671" s="111"/>
      <c r="G671" s="115">
        <v>0</v>
      </c>
      <c r="H671" s="275">
        <f>H672</f>
        <v>0</v>
      </c>
      <c r="I671" s="117">
        <f t="shared" si="129"/>
        <v>0</v>
      </c>
    </row>
    <row r="672" spans="1:9" ht="63" hidden="1" x14ac:dyDescent="0.25">
      <c r="A672" s="779" t="str">
        <f>IF(B672&gt;0,VLOOKUP(B672,КВСР!A167:B1332,2),IF(C672&gt;0,VLOOKUP(C672,КФСР!A167:B1679,2),IF(D672&gt;0,VLOOKUP(D672,Программа!A$1:B$5124,2),IF(F672&gt;0,VLOOKUP(F672,КВР!A$1:B$5001,2),IF(E672&gt;0,VLOOKUP(E672,Направление!A$1:B$4812,2))))))</f>
        <v xml:space="preserve">Закупка товаров, работ и услуг для обеспечения государственных (муниципальных) нужд
</v>
      </c>
      <c r="B672" s="120"/>
      <c r="C672" s="121"/>
      <c r="D672" s="122"/>
      <c r="E672" s="121"/>
      <c r="F672" s="111">
        <v>200</v>
      </c>
      <c r="G672" s="286">
        <v>0</v>
      </c>
      <c r="H672" s="275"/>
      <c r="I672" s="117">
        <f t="shared" si="129"/>
        <v>0</v>
      </c>
    </row>
    <row r="673" spans="1:9" ht="31.5" x14ac:dyDescent="0.25">
      <c r="A673" s="779" t="str">
        <f>IF(B673&gt;0,VLOOKUP(B673,КВСР!A168:B1333,2),IF(C673&gt;0,VLOOKUP(C673,КФСР!A168:B1680,2),IF(D673&gt;0,VLOOKUP(D673,Программа!A$1:B$5124,2),IF(F673&gt;0,VLOOKUP(F673,КВР!A$1:B$5001,2),IF(E673&gt;0,VLOOKUP(E673,Направление!A$1:B$4812,2))))))</f>
        <v>Обеспечение деятельности прочих учреждений в сфере образования</v>
      </c>
      <c r="B673" s="120"/>
      <c r="C673" s="121"/>
      <c r="D673" s="123"/>
      <c r="E673" s="121">
        <v>13310</v>
      </c>
      <c r="F673" s="122"/>
      <c r="G673" s="117">
        <v>23549563</v>
      </c>
      <c r="H673" s="330">
        <f>H674+H675+H676+H677</f>
        <v>0</v>
      </c>
      <c r="I673" s="330">
        <f>I674+I675+I676+I677</f>
        <v>23549563</v>
      </c>
    </row>
    <row r="674" spans="1:9" ht="110.25" x14ac:dyDescent="0.25">
      <c r="A674" s="779" t="str">
        <f>IF(B674&gt;0,VLOOKUP(B674,КВСР!A169:B1334,2),IF(C674&gt;0,VLOOKUP(C674,КФСР!A169:B1681,2),IF(D674&gt;0,VLOOKUP(D674,Программа!A$1:B$5124,2),IF(F674&gt;0,VLOOKUP(F674,КВР!A$1:B$5001,2),IF(E674&gt;0,VLOOKUP(E674,Направление!A$1:B$4812,2))))))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4" s="120"/>
      <c r="C674" s="121"/>
      <c r="D674" s="122"/>
      <c r="E674" s="121"/>
      <c r="F674" s="122">
        <v>100</v>
      </c>
      <c r="G674" s="268">
        <v>22045257</v>
      </c>
      <c r="H674" s="330"/>
      <c r="I674" s="117">
        <f t="shared" si="129"/>
        <v>22045257</v>
      </c>
    </row>
    <row r="675" spans="1:9" ht="63" x14ac:dyDescent="0.25">
      <c r="A675" s="779" t="str">
        <f>IF(B675&gt;0,VLOOKUP(B675,КВСР!A170:B1335,2),IF(C675&gt;0,VLOOKUP(C675,КФСР!A170:B1682,2),IF(D675&gt;0,VLOOKUP(D675,Программа!A$1:B$5124,2),IF(F675&gt;0,VLOOKUP(F675,КВР!A$1:B$5001,2),IF(E675&gt;0,VLOOKUP(E675,Направление!A$1:B$4812,2))))))</f>
        <v xml:space="preserve">Закупка товаров, работ и услуг для обеспечения государственных (муниципальных) нужд
</v>
      </c>
      <c r="B675" s="120"/>
      <c r="C675" s="121"/>
      <c r="D675" s="122"/>
      <c r="E675" s="121"/>
      <c r="F675" s="122">
        <v>200</v>
      </c>
      <c r="G675" s="268">
        <v>1478241</v>
      </c>
      <c r="H675" s="330"/>
      <c r="I675" s="117">
        <f t="shared" ref="I675:I744" si="153">SUM(G675:H675)</f>
        <v>1478241</v>
      </c>
    </row>
    <row r="676" spans="1:9" ht="47.25" hidden="1" x14ac:dyDescent="0.25">
      <c r="A676" s="779" t="str">
        <f>IF(B676&gt;0,VLOOKUP(B676,КВСР!A171:B1336,2),IF(C676&gt;0,VLOOKUP(C676,КФСР!A171:B1683,2),IF(D676&gt;0,VLOOKUP(D676,Программа!A$1:B$5124,2),IF(F676&gt;0,VLOOKUP(F676,КВР!A$1:B$5001,2),IF(E676&gt;0,VLOOKUP(E676,Направление!A$1:B$4812,2))))))</f>
        <v>Предоставление субсидий бюджетным, автономным учреждениям и иным некоммерческим организациям</v>
      </c>
      <c r="B676" s="120"/>
      <c r="C676" s="121"/>
      <c r="D676" s="122"/>
      <c r="E676" s="121"/>
      <c r="F676" s="122">
        <v>600</v>
      </c>
      <c r="G676" s="268">
        <v>0</v>
      </c>
      <c r="H676" s="330"/>
      <c r="I676" s="117">
        <f t="shared" si="153"/>
        <v>0</v>
      </c>
    </row>
    <row r="677" spans="1:9" x14ac:dyDescent="0.25">
      <c r="A677" s="779" t="str">
        <f>IF(B677&gt;0,VLOOKUP(B677,КВСР!A172:B1337,2),IF(C677&gt;0,VLOOKUP(C677,КФСР!A172:B1684,2),IF(D677&gt;0,VLOOKUP(D677,Программа!A$1:B$5124,2),IF(F677&gt;0,VLOOKUP(F677,КВР!A$1:B$5001,2),IF(E677&gt;0,VLOOKUP(E677,Направление!A$1:B$4812,2))))))</f>
        <v>Иные бюджетные ассигнования</v>
      </c>
      <c r="B677" s="120"/>
      <c r="C677" s="121"/>
      <c r="D677" s="122"/>
      <c r="E677" s="121"/>
      <c r="F677" s="122">
        <v>800</v>
      </c>
      <c r="G677" s="268">
        <v>26065</v>
      </c>
      <c r="H677" s="330"/>
      <c r="I677" s="117">
        <f t="shared" si="153"/>
        <v>26065</v>
      </c>
    </row>
    <row r="678" spans="1:9" ht="47.25" hidden="1" x14ac:dyDescent="0.25">
      <c r="A678" s="779" t="str">
        <f>IF(B678&gt;0,VLOOKUP(B678,КВСР!A168:B1333,2),IF(C678&gt;0,VLOOKUP(C678,КФСР!A168:B1680,2),IF(D678&gt;0,VLOOKUP(D678,Программа!A$1:B$5124,2),IF(F678&gt;0,VLOOKUP(F678,КВР!A$1:B$5001,2),IF(E678&gt;0,VLOOKUP(E678,Направление!A$1:B$4812,2))))))</f>
        <v>Содержание органов местного самоуправления за счет средств поселений</v>
      </c>
      <c r="B678" s="120"/>
      <c r="C678" s="121"/>
      <c r="D678" s="123"/>
      <c r="E678" s="121">
        <v>29016</v>
      </c>
      <c r="F678" s="111"/>
      <c r="G678" s="286">
        <v>0</v>
      </c>
      <c r="H678" s="275">
        <f>H680+H679</f>
        <v>0</v>
      </c>
      <c r="I678" s="117">
        <f t="shared" si="153"/>
        <v>0</v>
      </c>
    </row>
    <row r="679" spans="1:9" ht="110.25" hidden="1" x14ac:dyDescent="0.25">
      <c r="A679" s="779" t="str">
        <f>IF(B679&gt;0,VLOOKUP(B679,КВСР!A169:B1334,2),IF(C679&gt;0,VLOOKUP(C679,КФСР!A169:B1681,2),IF(D679&gt;0,VLOOKUP(D679,Программа!A$1:B$5124,2),IF(F679&gt;0,VLOOKUP(F679,КВР!A$1:B$5001,2),IF(E679&gt;0,VLOOKUP(E679,Направление!A$1:B$4812,2))))))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9" s="120"/>
      <c r="C679" s="121"/>
      <c r="D679" s="123"/>
      <c r="E679" s="121"/>
      <c r="F679" s="111">
        <v>100</v>
      </c>
      <c r="G679" s="286">
        <v>0</v>
      </c>
      <c r="H679" s="275"/>
      <c r="I679" s="117">
        <f t="shared" si="153"/>
        <v>0</v>
      </c>
    </row>
    <row r="680" spans="1:9" ht="63" hidden="1" x14ac:dyDescent="0.25">
      <c r="A680" s="779" t="str">
        <f>IF(B680&gt;0,VLOOKUP(B680,КВСР!A170:B1335,2),IF(C680&gt;0,VLOOKUP(C680,КФСР!A170:B1682,2),IF(D680&gt;0,VLOOKUP(D680,Программа!A$1:B$5124,2),IF(F680&gt;0,VLOOKUP(F680,КВР!A$1:B$5001,2),IF(E680&gt;0,VLOOKUP(E680,Направление!A$1:B$4812,2))))))</f>
        <v xml:space="preserve">Закупка товаров, работ и услуг для обеспечения государственных (муниципальных) нужд
</v>
      </c>
      <c r="B680" s="120"/>
      <c r="C680" s="121"/>
      <c r="D680" s="122"/>
      <c r="E680" s="121"/>
      <c r="F680" s="111">
        <v>200</v>
      </c>
      <c r="G680" s="286">
        <v>0</v>
      </c>
      <c r="H680" s="275"/>
      <c r="I680" s="117">
        <f t="shared" si="153"/>
        <v>0</v>
      </c>
    </row>
    <row r="681" spans="1:9" ht="47.25" x14ac:dyDescent="0.25">
      <c r="A681" s="779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IF(B681&gt;0,VLOOKUP(B681,КВСР!A168:B1333,2),IF(C681&gt;0,VLOOKUP(C681,КФСР!A168:B1680,2),IF(D681&gt;0,VLOOKUP(D681,Программа!A$1:B$5124,2),IF(F681&gt;0,VLOOKUP(F681,КВР!A$1:B$5001,2),IF(E681&gt;0,VLOOKUP(E681,Направление!A$1:B$4812,2))))))</f>
        <v>Расходы на обеспечение деятельности органов опеки и попечительства за счет средств областного бюджета</v>
      </c>
      <c r="B681" s="120"/>
      <c r="C681" s="121"/>
      <c r="D681" s="123"/>
      <c r="E681" s="121">
        <v>70550</v>
      </c>
      <c r="F681" s="111"/>
      <c r="G681" s="268">
        <v>4315658</v>
      </c>
      <c r="H681" s="330">
        <f>H682+H683+H684</f>
        <v>0</v>
      </c>
      <c r="I681" s="330">
        <f>I682+I683+I684</f>
        <v>4315658</v>
      </c>
    </row>
    <row r="682" spans="1:9" ht="110.25" x14ac:dyDescent="0.25">
      <c r="A682" s="779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2" s="120"/>
      <c r="C682" s="121"/>
      <c r="D682" s="122"/>
      <c r="E682" s="121"/>
      <c r="F682" s="111">
        <v>100</v>
      </c>
      <c r="G682" s="268">
        <v>3422851</v>
      </c>
      <c r="H682" s="330">
        <f>306659+63178.5</f>
        <v>369837.5</v>
      </c>
      <c r="I682" s="117">
        <f t="shared" si="153"/>
        <v>3792688.5</v>
      </c>
    </row>
    <row r="683" spans="1:9" ht="63" x14ac:dyDescent="0.25">
      <c r="A683" s="779" t="str">
        <f>IF(B683&gt;0,VLOOKUP(B683,КВСР!A170:B1335,2),IF(C683&gt;0,VLOOKUP(C683,КФСР!A170:B1682,2),IF(D683&gt;0,VLOOKUP(D683,Программа!A$1:B$5124,2),IF(F683&gt;0,VLOOKUP(F683,КВР!A$1:B$5001,2),IF(E683&gt;0,VLOOKUP(E683,Направление!A$1:B$4812,2))))))</f>
        <v xml:space="preserve">Закупка товаров, работ и услуг для обеспечения государственных (муниципальных) нужд
</v>
      </c>
      <c r="B683" s="120"/>
      <c r="C683" s="121"/>
      <c r="D683" s="122"/>
      <c r="E683" s="121"/>
      <c r="F683" s="111">
        <v>200</v>
      </c>
      <c r="G683" s="286">
        <v>889507</v>
      </c>
      <c r="H683" s="275">
        <v>-369837.5</v>
      </c>
      <c r="I683" s="117">
        <f t="shared" si="153"/>
        <v>519669.5</v>
      </c>
    </row>
    <row r="684" spans="1:9" x14ac:dyDescent="0.25">
      <c r="A684" s="779" t="str">
        <f>IF(B684&gt;0,VLOOKUP(B684,КВСР!A171:B1336,2),IF(C684&gt;0,VLOOKUP(C684,КФСР!A171:B1683,2),IF(D684&gt;0,VLOOKUP(D684,Программа!A$1:B$5124,2),IF(F684&gt;0,VLOOKUP(F684,КВР!A$1:B$5001,2),IF(E684&gt;0,VLOOKUP(E684,Направление!A$1:B$4812,2))))))</f>
        <v>Иные бюджетные ассигнования</v>
      </c>
      <c r="B684" s="120"/>
      <c r="C684" s="121"/>
      <c r="D684" s="122"/>
      <c r="E684" s="121"/>
      <c r="F684" s="111">
        <v>800</v>
      </c>
      <c r="G684" s="286">
        <v>3300</v>
      </c>
      <c r="H684" s="275"/>
      <c r="I684" s="117">
        <f t="shared" si="153"/>
        <v>3300</v>
      </c>
    </row>
    <row r="685" spans="1:9" ht="63" x14ac:dyDescent="0.25">
      <c r="A685" s="779" t="str">
        <f>IF(B685&gt;0,VLOOKUP(B685,КВСР!A176:B1341,2),IF(C685&gt;0,VLOOKUP(C685,КФСР!A176:B1688,2),IF(D685&gt;0,VLOOKUP(D685,Программа!A$1:B$5124,2),IF(F685&gt;0,VLOOKUP(F685,КВР!A$1:B$5001,2),IF(E685&gt;0,VLOOKUP(E685,Направление!A$1:B$4812,2))))))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85" s="120"/>
      <c r="C685" s="121"/>
      <c r="D685" s="123" t="s">
        <v>418</v>
      </c>
      <c r="E685" s="121"/>
      <c r="F685" s="122"/>
      <c r="G685" s="268">
        <v>5000</v>
      </c>
      <c r="H685" s="330">
        <f>H687</f>
        <v>0</v>
      </c>
      <c r="I685" s="330">
        <f>I687</f>
        <v>5000</v>
      </c>
    </row>
    <row r="686" spans="1:9" ht="47.25" x14ac:dyDescent="0.25">
      <c r="A686" s="779" t="str">
        <f>IF(B686&gt;0,VLOOKUP(B686,КВСР!A177:B1342,2),IF(C686&gt;0,VLOOKUP(C686,КФСР!A177:B1689,2),IF(D686&gt;0,VLOOKUP(D686,Программа!A$1:B$5124,2),IF(F686&gt;0,VLOOKUP(F686,КВР!A$1:B$5001,2),IF(E686&gt;0,VLOOKUP(E686,Направление!A$1:B$4812,2))))))</f>
        <v>Реализация мер по созданию целостной системы духовно-нравственного воспитания и просвещения населения</v>
      </c>
      <c r="B686" s="120"/>
      <c r="C686" s="121"/>
      <c r="D686" s="123" t="s">
        <v>420</v>
      </c>
      <c r="E686" s="121"/>
      <c r="F686" s="122"/>
      <c r="G686" s="268">
        <v>5000</v>
      </c>
      <c r="H686" s="330">
        <f>H687</f>
        <v>0</v>
      </c>
      <c r="I686" s="330">
        <f>I687</f>
        <v>5000</v>
      </c>
    </row>
    <row r="687" spans="1:9" ht="47.25" x14ac:dyDescent="0.25">
      <c r="A687" s="779" t="str">
        <f>IF(B687&gt;0,VLOOKUP(B687,КВСР!A177:B1342,2),IF(C687&gt;0,VLOOKUP(C687,КФСР!A177:B1689,2),IF(D687&gt;0,VLOOKUP(D687,Программа!A$1:B$5124,2),IF(F687&gt;0,VLOOKUP(F687,КВР!A$1:B$5001,2),IF(E687&gt;0,VLOOKUP(E687,Направление!A$1:B$4812,2))))))</f>
        <v>Расходы на реализацию МЦП "Духовно - нравственное воспитание и просвещение населения ТМР"</v>
      </c>
      <c r="B687" s="120"/>
      <c r="C687" s="121"/>
      <c r="D687" s="123"/>
      <c r="E687" s="121">
        <v>13810</v>
      </c>
      <c r="F687" s="122"/>
      <c r="G687" s="268">
        <v>5000</v>
      </c>
      <c r="H687" s="330">
        <f>H688</f>
        <v>0</v>
      </c>
      <c r="I687" s="330">
        <f>I688</f>
        <v>5000</v>
      </c>
    </row>
    <row r="688" spans="1:9" ht="47.25" x14ac:dyDescent="0.25">
      <c r="A688" s="779" t="str">
        <f>IF(B688&gt;0,VLOOKUP(B688,КВСР!A178:B1343,2),IF(C688&gt;0,VLOOKUP(C688,КФСР!A178:B1690,2),IF(D688&gt;0,VLOOKUP(D688,Программа!A$1:B$5124,2),IF(F688&gt;0,VLOOKUP(F688,КВР!A$1:B$5001,2),IF(E688&gt;0,VLOOKUP(E688,Направление!A$1:B$4812,2))))))</f>
        <v>Предоставление субсидий бюджетным, автономным учреждениям и иным некоммерческим организациям</v>
      </c>
      <c r="B688" s="120"/>
      <c r="C688" s="121"/>
      <c r="D688" s="123"/>
      <c r="E688" s="121"/>
      <c r="F688" s="122">
        <v>600</v>
      </c>
      <c r="G688" s="268">
        <v>5000</v>
      </c>
      <c r="H688" s="330"/>
      <c r="I688" s="117">
        <f t="shared" si="153"/>
        <v>5000</v>
      </c>
    </row>
    <row r="689" spans="1:9" ht="47.25" hidden="1" x14ac:dyDescent="0.25">
      <c r="A689" s="779" t="str">
        <f>IF(B689&gt;0,VLOOKUP(B689,КВСР!A179:B1344,2),IF(C689&gt;0,VLOOKUP(C689,КФСР!A179:B1691,2),IF(D689&gt;0,VLOOKUP(D689,Программа!A$1:B$5124,2),IF(F689&gt;0,VLOOKUP(F689,КВР!A$1:B$5001,2),IF(E689&gt;0,VLOOKUP(E689,Направление!A$1:B$4812,2))))))</f>
        <v>Муниципальная программа "Социальная поддержка населения Тутаевского муниципального района"</v>
      </c>
      <c r="B689" s="120"/>
      <c r="C689" s="121"/>
      <c r="D689" s="123" t="s">
        <v>376</v>
      </c>
      <c r="E689" s="121"/>
      <c r="F689" s="122"/>
      <c r="G689" s="268">
        <v>0</v>
      </c>
      <c r="H689" s="330">
        <f t="shared" ref="H689:H692" si="154">H690</f>
        <v>0</v>
      </c>
      <c r="I689" s="117">
        <f t="shared" si="153"/>
        <v>0</v>
      </c>
    </row>
    <row r="690" spans="1:9" ht="47.25" hidden="1" x14ac:dyDescent="0.25">
      <c r="A690" s="779" t="str">
        <f>IF(B690&gt;0,VLOOKUP(B690,КВСР!A182:B1347,2),IF(C690&gt;0,VLOOKUP(C690,КФСР!A182:B1694,2),IF(D690&gt;0,VLOOKUP(D690,Программа!A$1:B$5124,2),IF(F690&gt;0,VLOOKUP(F690,КВР!A$1:B$5001,2),IF(E690&gt;0,VLOOKUP(E690,Направление!A$1:B$4812,2))))))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690" s="120"/>
      <c r="C690" s="121"/>
      <c r="D690" s="123" t="s">
        <v>378</v>
      </c>
      <c r="E690" s="121"/>
      <c r="F690" s="122"/>
      <c r="G690" s="268">
        <v>0</v>
      </c>
      <c r="H690" s="330">
        <f>H692</f>
        <v>0</v>
      </c>
      <c r="I690" s="117">
        <f t="shared" si="153"/>
        <v>0</v>
      </c>
    </row>
    <row r="691" spans="1:9" ht="63" hidden="1" x14ac:dyDescent="0.25">
      <c r="A691" s="779" t="str">
        <f>IF(B691&gt;0,VLOOKUP(B691,КВСР!A183:B1348,2),IF(C691&gt;0,VLOOKUP(C691,КФСР!A183:B1695,2),IF(D691&gt;0,VLOOKUP(D691,Программа!A$1:B$5124,2),IF(F691&gt;0,VLOOKUP(F691,КВР!A$1:B$5001,2),IF(E691&gt;0,VLOOKUP(E691,Направление!A$1:B$4812,2))))))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91" s="120"/>
      <c r="C691" s="121"/>
      <c r="D691" s="123" t="s">
        <v>379</v>
      </c>
      <c r="E691" s="121"/>
      <c r="F691" s="122"/>
      <c r="G691" s="268">
        <v>0</v>
      </c>
      <c r="H691" s="330">
        <f t="shared" ref="H691:I691" si="155">H692</f>
        <v>0</v>
      </c>
      <c r="I691" s="330">
        <f t="shared" si="155"/>
        <v>0</v>
      </c>
    </row>
    <row r="692" spans="1:9" ht="31.5" hidden="1" x14ac:dyDescent="0.25">
      <c r="A692" s="779" t="str">
        <f>IF(B692&gt;0,VLOOKUP(B692,КВСР!A183:B1348,2),IF(C692&gt;0,VLOOKUP(C692,КФСР!A183:B1695,2),IF(D692&gt;0,VLOOKUP(D692,Программа!A$1:B$5124,2),IF(F692&gt;0,VLOOKUP(F692,КВР!A$1:B$5001,2),IF(E692&gt;0,VLOOKUP(E692,Направление!A$1:B$4812,2))))))</f>
        <v>Расходы на реализацию мероприятий по улучшению условий и охраны труда</v>
      </c>
      <c r="B692" s="120"/>
      <c r="C692" s="121"/>
      <c r="D692" s="123"/>
      <c r="E692" s="121">
        <v>16150</v>
      </c>
      <c r="F692" s="122"/>
      <c r="G692" s="268">
        <v>0</v>
      </c>
      <c r="H692" s="330">
        <f t="shared" si="154"/>
        <v>0</v>
      </c>
      <c r="I692" s="117">
        <f t="shared" si="153"/>
        <v>0</v>
      </c>
    </row>
    <row r="693" spans="1:9" ht="47.25" hidden="1" x14ac:dyDescent="0.25">
      <c r="A693" s="779" t="str">
        <f>IF(B693&gt;0,VLOOKUP(B693,КВСР!A184:B1349,2),IF(C693&gt;0,VLOOKUP(C693,КФСР!A184:B1696,2),IF(D693&gt;0,VLOOKUP(D693,Программа!A$1:B$5124,2),IF(F693&gt;0,VLOOKUP(F693,КВР!A$1:B$5001,2),IF(E693&gt;0,VLOOKUP(E693,Направление!A$1:B$4812,2))))))</f>
        <v>Предоставление субсидий бюджетным, автономным учреждениям и иным некоммерческим организациям</v>
      </c>
      <c r="B693" s="120"/>
      <c r="C693" s="121"/>
      <c r="D693" s="123"/>
      <c r="E693" s="121"/>
      <c r="F693" s="122">
        <v>600</v>
      </c>
      <c r="G693" s="268">
        <v>0</v>
      </c>
      <c r="H693" s="330"/>
      <c r="I693" s="117">
        <f t="shared" si="153"/>
        <v>0</v>
      </c>
    </row>
    <row r="694" spans="1:9" ht="47.25" hidden="1" x14ac:dyDescent="0.25">
      <c r="A694" s="779" t="str">
        <f>IF(B694&gt;0,VLOOKUP(B694,КВСР!A185:B1350,2),IF(C694&gt;0,VLOOKUP(C694,КФСР!A185:B1697,2),IF(D694&gt;0,VLOOKUP(D694,Программа!A$1:B$5124,2),IF(F694&gt;0,VLOOKUP(F694,КВР!A$1:B$5001,2),IF(E694&gt;0,VLOOKUP(E694,Направление!A$1:B$4812,2))))))</f>
        <v>Обучение по охране труда работников организаций Тутаевского муниципального района</v>
      </c>
      <c r="B694" s="120"/>
      <c r="C694" s="121"/>
      <c r="D694" s="123" t="s">
        <v>1036</v>
      </c>
      <c r="E694" s="121"/>
      <c r="F694" s="122"/>
      <c r="G694" s="268">
        <v>0</v>
      </c>
      <c r="H694" s="330">
        <f t="shared" ref="H694:H695" si="156">H695</f>
        <v>0</v>
      </c>
      <c r="I694" s="117">
        <f t="shared" si="153"/>
        <v>0</v>
      </c>
    </row>
    <row r="695" spans="1:9" ht="31.5" hidden="1" x14ac:dyDescent="0.25">
      <c r="A695" s="779" t="str">
        <f>IF(B695&gt;0,VLOOKUP(B695,КВСР!A186:B1351,2),IF(C695&gt;0,VLOOKUP(C695,КФСР!A186:B1698,2),IF(D695&gt;0,VLOOKUP(D695,Программа!A$1:B$5124,2),IF(F695&gt;0,VLOOKUP(F695,КВР!A$1:B$5001,2),IF(E695&gt;0,VLOOKUP(E695,Направление!A$1:B$4812,2))))))</f>
        <v>Расходы на реализацию мероприятий по улучшению условий и охраны труда</v>
      </c>
      <c r="B695" s="120"/>
      <c r="C695" s="121"/>
      <c r="D695" s="123"/>
      <c r="E695" s="121">
        <v>16150</v>
      </c>
      <c r="F695" s="122"/>
      <c r="G695" s="268">
        <v>0</v>
      </c>
      <c r="H695" s="330">
        <f t="shared" si="156"/>
        <v>0</v>
      </c>
      <c r="I695" s="117">
        <f t="shared" si="153"/>
        <v>0</v>
      </c>
    </row>
    <row r="696" spans="1:9" ht="47.25" hidden="1" x14ac:dyDescent="0.25">
      <c r="A696" s="779" t="str">
        <f>IF(B696&gt;0,VLOOKUP(B696,КВСР!A187:B1352,2),IF(C696&gt;0,VLOOKUP(C696,КФСР!A187:B1699,2),IF(D696&gt;0,VLOOKUP(D696,Программа!A$1:B$5124,2),IF(F696&gt;0,VLOOKUP(F696,КВР!A$1:B$5001,2),IF(E696&gt;0,VLOOKUP(E696,Направление!A$1:B$4812,2))))))</f>
        <v>Предоставление субсидий бюджетным, автономным учреждениям и иным некоммерческим организациям</v>
      </c>
      <c r="B696" s="120"/>
      <c r="C696" s="121"/>
      <c r="D696" s="123"/>
      <c r="E696" s="121"/>
      <c r="F696" s="122">
        <v>600</v>
      </c>
      <c r="G696" s="268">
        <v>0</v>
      </c>
      <c r="H696" s="330"/>
      <c r="I696" s="117">
        <f t="shared" si="153"/>
        <v>0</v>
      </c>
    </row>
    <row r="697" spans="1:9" ht="94.5" x14ac:dyDescent="0.25">
      <c r="A697" s="779" t="str">
        <f>IF(B697&gt;0,VLOOKUP(B697,КВСР!A185:B1350,2),IF(C697&gt;0,VLOOKUP(C697,КФСР!A185:B1697,2),IF(D697&gt;0,VLOOKUP(D697,Программа!A$1:B$5124,2),IF(F697&gt;0,VLOOKUP(F697,КВР!A$1:B$5001,2),IF(E697&gt;0,VLOOKUP(E697,Направление!A$1:B$4812,2))))))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97" s="120"/>
      <c r="C697" s="121"/>
      <c r="D697" s="123" t="s">
        <v>322</v>
      </c>
      <c r="E697" s="121"/>
      <c r="F697" s="122"/>
      <c r="G697" s="268">
        <v>564760</v>
      </c>
      <c r="H697" s="330">
        <f>H698</f>
        <v>0</v>
      </c>
      <c r="I697" s="330">
        <f>I698</f>
        <v>564760</v>
      </c>
    </row>
    <row r="698" spans="1:9" ht="94.5" x14ac:dyDescent="0.25">
      <c r="A698" s="779" t="str">
        <f>IF(B698&gt;0,VLOOKUP(B698,КВСР!A186:B1351,2),IF(C698&gt;0,VLOOKUP(C698,КФСР!A186:B1698,2),IF(D698&gt;0,VLOOKUP(D698,Программа!A$1:B$5124,2),IF(F698&gt;0,VLOOKUP(F698,КВР!A$1:B$5001,2),IF(E698&gt;0,VLOOKUP(E698,Направление!A$1:B$4812,2))))))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98" s="120"/>
      <c r="C698" s="121"/>
      <c r="D698" s="123" t="s">
        <v>1518</v>
      </c>
      <c r="E698" s="121"/>
      <c r="F698" s="122"/>
      <c r="G698" s="268">
        <v>564760</v>
      </c>
      <c r="H698" s="330">
        <f>H699</f>
        <v>0</v>
      </c>
      <c r="I698" s="330">
        <f>I699</f>
        <v>564760</v>
      </c>
    </row>
    <row r="699" spans="1:9" ht="31.5" x14ac:dyDescent="0.25">
      <c r="A699" s="779" t="str">
        <f>IF(B699&gt;0,VLOOKUP(B699,КВСР!A187:B1352,2),IF(C699&gt;0,VLOOKUP(C699,КФСР!A187:B1699,2),IF(D699&gt;0,VLOOKUP(D699,Программа!A$1:B$5124,2),IF(F699&gt;0,VLOOKUP(F699,КВР!A$1:B$5001,2),IF(E699&gt;0,VLOOKUP(E699,Направление!A$1:B$4812,2))))))</f>
        <v>Внедрение проектной деятельности и бережливых технологий</v>
      </c>
      <c r="B699" s="120"/>
      <c r="C699" s="121"/>
      <c r="D699" s="123"/>
      <c r="E699" s="121">
        <v>12300</v>
      </c>
      <c r="F699" s="122"/>
      <c r="G699" s="268">
        <v>564760</v>
      </c>
      <c r="H699" s="330">
        <f>H700+H701</f>
        <v>0</v>
      </c>
      <c r="I699" s="330">
        <f>I700+I701</f>
        <v>564760</v>
      </c>
    </row>
    <row r="700" spans="1:9" ht="110.25" x14ac:dyDescent="0.25">
      <c r="A700" s="779" t="str">
        <f>IF(B700&gt;0,VLOOKUP(B700,КВСР!A188:B1353,2),IF(C700&gt;0,VLOOKUP(C700,КФСР!A188:B1700,2),IF(D700&gt;0,VLOOKUP(D700,Программа!A$1:B$5124,2),IF(F700&gt;0,VLOOKUP(F700,КВР!A$1:B$5001,2),IF(E700&gt;0,VLOOKUP(E700,Направление!A$1:B$4812,2))))))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00" s="120"/>
      <c r="C700" s="121"/>
      <c r="D700" s="123"/>
      <c r="E700" s="121"/>
      <c r="F700" s="122">
        <v>100</v>
      </c>
      <c r="G700" s="268">
        <v>564760</v>
      </c>
      <c r="H700" s="330"/>
      <c r="I700" s="117">
        <f t="shared" si="153"/>
        <v>564760</v>
      </c>
    </row>
    <row r="701" spans="1:9" ht="47.25" hidden="1" x14ac:dyDescent="0.25">
      <c r="A701" s="779" t="str">
        <f>IF(B701&gt;0,VLOOKUP(B701,КВСР!A189:B1354,2),IF(C701&gt;0,VLOOKUP(C701,КФСР!A189:B1701,2),IF(D701&gt;0,VLOOKUP(D701,Программа!A$1:B$5124,2),IF(F701&gt;0,VLOOKUP(F701,КВР!A$1:B$5001,2),IF(E701&gt;0,VLOOKUP(E701,Направление!A$1:B$4812,2))))))</f>
        <v>Предоставление субсидий бюджетным, автономным учреждениям и иным некоммерческим организациям</v>
      </c>
      <c r="B701" s="120"/>
      <c r="C701" s="121"/>
      <c r="D701" s="123"/>
      <c r="E701" s="121"/>
      <c r="F701" s="122">
        <v>600</v>
      </c>
      <c r="G701" s="268">
        <v>0</v>
      </c>
      <c r="H701" s="330"/>
      <c r="I701" s="117">
        <f t="shared" si="153"/>
        <v>0</v>
      </c>
    </row>
    <row r="702" spans="1:9" ht="63" x14ac:dyDescent="0.25">
      <c r="A702" s="779" t="str">
        <f>IF(B702&gt;0,VLOOKUP(B702,КВСР!A185:B1350,2),IF(C702&gt;0,VLOOKUP(C702,КФСР!A185:B1697,2),IF(D702&gt;0,VLOOKUP(D702,Программа!A$1:B$5124,2),IF(F702&gt;0,VLOOKUP(F702,КВР!A$1:B$5001,2),IF(E702&gt;0,VLOOKUP(E702,Направление!A$1:B$4812,2))))))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2" s="120"/>
      <c r="C702" s="121"/>
      <c r="D702" s="123" t="s">
        <v>426</v>
      </c>
      <c r="E702" s="121"/>
      <c r="F702" s="122"/>
      <c r="G702" s="268">
        <v>0</v>
      </c>
      <c r="H702" s="330">
        <f>H703</f>
        <v>99000</v>
      </c>
      <c r="I702" s="117">
        <f t="shared" si="153"/>
        <v>99000</v>
      </c>
    </row>
    <row r="703" spans="1:9" ht="31.5" x14ac:dyDescent="0.25">
      <c r="A703" s="779" t="str">
        <f>IF(B703&gt;0,VLOOKUP(B703,КВСР!A186:B1351,2),IF(C703&gt;0,VLOOKUP(C703,КФСР!A186:B1698,2),IF(D703&gt;0,VLOOKUP(D703,Программа!A$1:B$5124,2),IF(F703&gt;0,VLOOKUP(F703,КВР!A$1:B$5001,2),IF(E703&gt;0,VLOOKUP(E703,Направление!A$1:B$4812,2))))))</f>
        <v>Реализация мероприятий по профилактике правонарушений</v>
      </c>
      <c r="B703" s="120"/>
      <c r="C703" s="121"/>
      <c r="D703" s="123" t="s">
        <v>428</v>
      </c>
      <c r="E703" s="121"/>
      <c r="F703" s="122"/>
      <c r="G703" s="268">
        <v>0</v>
      </c>
      <c r="H703" s="330">
        <f>H704</f>
        <v>99000</v>
      </c>
      <c r="I703" s="117">
        <f t="shared" si="153"/>
        <v>99000</v>
      </c>
    </row>
    <row r="704" spans="1:9" ht="47.25" x14ac:dyDescent="0.25">
      <c r="A704" s="779" t="str">
        <f>IF(B704&gt;0,VLOOKUP(B704,КВСР!A187:B1352,2),IF(C704&gt;0,VLOOKUP(C704,КФСР!A187:B1699,2),IF(D704&gt;0,VLOOKUP(D704,Программа!A$1:B$5124,2),IF(F704&gt;0,VLOOKUP(F704,КВР!A$1:B$5001,2),IF(E704&gt;0,VLOOKUP(E704,Направление!A$1:B$4812,2))))))</f>
        <v>Расходы на профилактику правонарушений и усиления борьбы с преступностью</v>
      </c>
      <c r="B704" s="120"/>
      <c r="C704" s="121"/>
      <c r="D704" s="123"/>
      <c r="E704" s="121">
        <v>12250</v>
      </c>
      <c r="F704" s="122"/>
      <c r="G704" s="268">
        <v>0</v>
      </c>
      <c r="H704" s="330">
        <f t="shared" ref="H704" si="157">H705</f>
        <v>99000</v>
      </c>
      <c r="I704" s="117">
        <f t="shared" si="153"/>
        <v>99000</v>
      </c>
    </row>
    <row r="705" spans="1:9" ht="47.25" x14ac:dyDescent="0.25">
      <c r="A705" s="779" t="str">
        <f>IF(B705&gt;0,VLOOKUP(B705,КВСР!A188:B1353,2),IF(C705&gt;0,VLOOKUP(C705,КФСР!A188:B1700,2),IF(D705&gt;0,VLOOKUP(D705,Программа!A$1:B$5124,2),IF(F705&gt;0,VLOOKUP(F705,КВР!A$1:B$5001,2),IF(E705&gt;0,VLOOKUP(E705,Направление!A$1:B$4812,2))))))</f>
        <v>Предоставление субсидий бюджетным, автономным учреждениям и иным некоммерческим организациям</v>
      </c>
      <c r="B705" s="120"/>
      <c r="C705" s="121"/>
      <c r="D705" s="123"/>
      <c r="E705" s="121"/>
      <c r="F705" s="122">
        <v>600</v>
      </c>
      <c r="G705" s="268">
        <v>0</v>
      </c>
      <c r="H705" s="330">
        <v>99000</v>
      </c>
      <c r="I705" s="117">
        <f t="shared" si="153"/>
        <v>99000</v>
      </c>
    </row>
    <row r="706" spans="1:9" x14ac:dyDescent="0.25">
      <c r="A706" s="779" t="str">
        <f>IF(B706&gt;0,VLOOKUP(B706,КВСР!A194:B1359,2),IF(C706&gt;0,VLOOKUP(C706,КФСР!A194:B1706,2),IF(D706&gt;0,VLOOKUP(D706,Программа!A$1:B$5124,2),IF(F706&gt;0,VLOOKUP(F706,КВР!A$1:B$5001,2),IF(E706&gt;0,VLOOKUP(E706,Направление!A$1:B$4812,2))))))</f>
        <v>Непрограммные расходы бюджета</v>
      </c>
      <c r="B706" s="114"/>
      <c r="C706" s="109"/>
      <c r="D706" s="110" t="s">
        <v>311</v>
      </c>
      <c r="E706" s="109"/>
      <c r="F706" s="111"/>
      <c r="G706" s="286">
        <v>800000</v>
      </c>
      <c r="H706" s="886">
        <f>H707</f>
        <v>0</v>
      </c>
      <c r="I706" s="275">
        <f>I707</f>
        <v>800000</v>
      </c>
    </row>
    <row r="707" spans="1:9" ht="31.5" x14ac:dyDescent="0.25">
      <c r="A707" s="779" t="str">
        <f>IF(B707&gt;0,VLOOKUP(B707,КВСР!A195:B1360,2),IF(C707&gt;0,VLOOKUP(C707,КФСР!A195:B1707,2),IF(D707&gt;0,VLOOKUP(D707,Программа!A$1:B$5124,2),IF(F707&gt;0,VLOOKUP(F707,КВР!A$1:B$5001,2),IF(E707&gt;0,VLOOKUP(E707,Направление!A$1:B$4812,2))))))</f>
        <v>Государственная поддержка в сфере образования</v>
      </c>
      <c r="B707" s="114"/>
      <c r="C707" s="109"/>
      <c r="D707" s="110"/>
      <c r="E707" s="109">
        <v>13710</v>
      </c>
      <c r="F707" s="111"/>
      <c r="G707" s="268">
        <v>800000</v>
      </c>
      <c r="H707" s="330">
        <f>H708</f>
        <v>0</v>
      </c>
      <c r="I707" s="330">
        <f>I708</f>
        <v>800000</v>
      </c>
    </row>
    <row r="708" spans="1:9" ht="47.25" x14ac:dyDescent="0.25">
      <c r="A708" s="779" t="str">
        <f>IF(B708&gt;0,VLOOKUP(B708,КВСР!A196:B1361,2),IF(C708&gt;0,VLOOKUP(C708,КФСР!A196:B1708,2),IF(D708&gt;0,VLOOKUP(D708,Программа!A$1:B$5124,2),IF(F708&gt;0,VLOOKUP(F708,КВР!A$1:B$5001,2),IF(E708&gt;0,VLOOKUP(E708,Направление!A$1:B$4812,2))))))</f>
        <v>Предоставление субсидий бюджетным, автономным учреждениям и иным некоммерческим организациям</v>
      </c>
      <c r="B708" s="114"/>
      <c r="C708" s="109"/>
      <c r="D708" s="111"/>
      <c r="E708" s="109"/>
      <c r="F708" s="111">
        <v>600</v>
      </c>
      <c r="G708" s="286">
        <v>800000</v>
      </c>
      <c r="H708" s="275"/>
      <c r="I708" s="117">
        <f t="shared" si="153"/>
        <v>800000</v>
      </c>
    </row>
    <row r="709" spans="1:9" x14ac:dyDescent="0.25">
      <c r="A709" s="779" t="str">
        <f>IF(B709&gt;0,VLOOKUP(B709,КВСР!A197:B1362,2),IF(C709&gt;0,VLOOKUP(C709,КФСР!A197:B1709,2),IF(D709&gt;0,VLOOKUP(D709,Программа!A$1:B$5124,2),IF(F709&gt;0,VLOOKUP(F709,КВР!A$1:B$5001,2),IF(E709&gt;0,VLOOKUP(E709,Направление!A$1:B$4812,2))))))</f>
        <v>Социальное обеспечение населения</v>
      </c>
      <c r="B709" s="114"/>
      <c r="C709" s="109">
        <v>1003</v>
      </c>
      <c r="D709" s="111"/>
      <c r="E709" s="109"/>
      <c r="F709" s="111"/>
      <c r="G709" s="286">
        <v>149601</v>
      </c>
      <c r="H709" s="275">
        <f t="shared" ref="H709:I713" si="158">H710</f>
        <v>100000</v>
      </c>
      <c r="I709" s="274">
        <f t="shared" si="158"/>
        <v>249601</v>
      </c>
    </row>
    <row r="710" spans="1:9" ht="63" x14ac:dyDescent="0.25">
      <c r="A710" s="779" t="str">
        <f>IF(B710&gt;0,VLOOKUP(B710,КВСР!A198:B1363,2),IF(C710&gt;0,VLOOKUP(C710,КФСР!A198:B1710,2),IF(D710&gt;0,VLOOKUP(D710,Программа!A$1:B$5124,2),IF(F710&gt;0,VLOOKUP(F710,КВР!A$1:B$5001,2),IF(E710&gt;0,VLOOKUP(E710,Направление!A$1:B$4812,2))))))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710" s="114"/>
      <c r="C710" s="109"/>
      <c r="D710" s="110" t="s">
        <v>367</v>
      </c>
      <c r="E710" s="109"/>
      <c r="F710" s="111"/>
      <c r="G710" s="286">
        <v>149601</v>
      </c>
      <c r="H710" s="275">
        <f t="shared" si="158"/>
        <v>100000</v>
      </c>
      <c r="I710" s="274">
        <f t="shared" si="158"/>
        <v>249601</v>
      </c>
    </row>
    <row r="711" spans="1:9" ht="63" x14ac:dyDescent="0.25">
      <c r="A711" s="779" t="str">
        <f>IF(B711&gt;0,VLOOKUP(B711,КВСР!A199:B1364,2),IF(C711&gt;0,VLOOKUP(C711,КФСР!A199:B1711,2),IF(D711&gt;0,VLOOKUP(D711,Программа!A$1:B$5124,2),IF(F711&gt;0,VLOOKUP(F711,КВР!A$1:B$5001,2),IF(E711&gt;0,VLOOKUP(E711,Направление!A$1:B$4812,2))))))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711" s="114"/>
      <c r="C711" s="109"/>
      <c r="D711" s="110" t="s">
        <v>369</v>
      </c>
      <c r="E711" s="109"/>
      <c r="F711" s="111"/>
      <c r="G711" s="286">
        <v>149601</v>
      </c>
      <c r="H711" s="275">
        <f t="shared" si="158"/>
        <v>100000</v>
      </c>
      <c r="I711" s="274">
        <f t="shared" si="158"/>
        <v>249601</v>
      </c>
    </row>
    <row r="712" spans="1:9" x14ac:dyDescent="0.25">
      <c r="A712" s="779" t="str">
        <f>IF(B712&gt;0,VLOOKUP(B712,КВСР!A200:B1365,2),IF(C712&gt;0,VLOOKUP(C712,КФСР!A200:B1712,2),IF(D712&gt;0,VLOOKUP(D712,Программа!A$1:B$5124,2),IF(F712&gt;0,VLOOKUP(F712,КВР!A$1:B$5001,2),IF(E712&gt;0,VLOOKUP(E712,Направление!A$1:B$4812,2))))))</f>
        <v>Обеспечение компенсационных выплат</v>
      </c>
      <c r="B712" s="114"/>
      <c r="C712" s="109"/>
      <c r="D712" s="110" t="s">
        <v>1060</v>
      </c>
      <c r="E712" s="109"/>
      <c r="F712" s="111"/>
      <c r="G712" s="286">
        <v>149601</v>
      </c>
      <c r="H712" s="275">
        <f t="shared" si="158"/>
        <v>100000</v>
      </c>
      <c r="I712" s="274">
        <f t="shared" si="158"/>
        <v>249601</v>
      </c>
    </row>
    <row r="713" spans="1:9" ht="47.25" x14ac:dyDescent="0.25">
      <c r="A713" s="779" t="str">
        <f>IF(B713&gt;0,VLOOKUP(B713,КВСР!A201:B1366,2),IF(C713&gt;0,VLOOKUP(C713,КФСР!A201:B1713,2),IF(D713&gt;0,VLOOKUP(D713,Программа!A$1:B$5124,2),IF(F713&gt;0,VLOOKUP(F713,КВР!A$1:B$5001,2),IF(E713&gt;0,VLOOKUP(E713,Направление!A$1:B$4812,2))))))</f>
        <v>Компенсация части расходов на приобретение путевки в организации отдыха детей и их оздоровления</v>
      </c>
      <c r="B713" s="114"/>
      <c r="C713" s="109"/>
      <c r="D713" s="110"/>
      <c r="E713" s="109">
        <v>74390</v>
      </c>
      <c r="F713" s="111"/>
      <c r="G713" s="286">
        <v>149601</v>
      </c>
      <c r="H713" s="275">
        <f t="shared" si="158"/>
        <v>100000</v>
      </c>
      <c r="I713" s="274">
        <f t="shared" si="158"/>
        <v>249601</v>
      </c>
    </row>
    <row r="714" spans="1:9" ht="31.5" x14ac:dyDescent="0.25">
      <c r="A714" s="779" t="str">
        <f>IF(B714&gt;0,VLOOKUP(B714,КВСР!A202:B1367,2),IF(C714&gt;0,VLOOKUP(C714,КФСР!A202:B1714,2),IF(D714&gt;0,VLOOKUP(D714,Программа!A$1:B$5124,2),IF(F714&gt;0,VLOOKUP(F714,КВР!A$1:B$5001,2),IF(E714&gt;0,VLOOKUP(E714,Направление!A$1:B$4812,2))))))</f>
        <v>Социальное обеспечение и иные выплаты населению</v>
      </c>
      <c r="B714" s="114"/>
      <c r="C714" s="109"/>
      <c r="D714" s="110"/>
      <c r="E714" s="109"/>
      <c r="F714" s="111">
        <v>300</v>
      </c>
      <c r="G714" s="286">
        <v>149601</v>
      </c>
      <c r="H714" s="275">
        <v>100000</v>
      </c>
      <c r="I714" s="117">
        <f>G714+H714</f>
        <v>249601</v>
      </c>
    </row>
    <row r="715" spans="1:9" x14ac:dyDescent="0.25">
      <c r="A715" s="779" t="str">
        <f>IF(B715&gt;0,VLOOKUP(B715,КВСР!A201:B1366,2),IF(C715&gt;0,VLOOKUP(C715,КФСР!A201:B1713,2),IF(D715&gt;0,VLOOKUP(D715,Программа!A$1:B$5124,2),IF(F715&gt;0,VLOOKUP(F715,КВР!A$1:B$5001,2),IF(E715&gt;0,VLOOKUP(E715,Направление!A$1:B$4812,2))))))</f>
        <v>Охрана семьи и детства</v>
      </c>
      <c r="B715" s="120"/>
      <c r="C715" s="109">
        <v>1004</v>
      </c>
      <c r="D715" s="124"/>
      <c r="E715" s="125"/>
      <c r="F715" s="122"/>
      <c r="G715" s="268">
        <v>40047061</v>
      </c>
      <c r="H715" s="330">
        <f>H716</f>
        <v>0</v>
      </c>
      <c r="I715" s="330">
        <f>I716</f>
        <v>40047061</v>
      </c>
    </row>
    <row r="716" spans="1:9" ht="63" x14ac:dyDescent="0.25">
      <c r="A716" s="779" t="str">
        <f>IF(B716&gt;0,VLOOKUP(B716,КВСР!A202:B1367,2),IF(C716&gt;0,VLOOKUP(C716,КФСР!A202:B1714,2),IF(D716&gt;0,VLOOKUP(D716,Программа!A$1:B$5124,2),IF(F716&gt;0,VLOOKUP(F716,КВР!A$1:B$5001,2),IF(E716&gt;0,VLOOKUP(E716,Направление!A$1:B$4812,2))))))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716" s="114"/>
      <c r="C716" s="109"/>
      <c r="D716" s="126" t="s">
        <v>367</v>
      </c>
      <c r="E716" s="127"/>
      <c r="F716" s="122"/>
      <c r="G716" s="268">
        <v>40047061</v>
      </c>
      <c r="H716" s="330">
        <f>H717</f>
        <v>0</v>
      </c>
      <c r="I716" s="330">
        <f>I717</f>
        <v>40047061</v>
      </c>
    </row>
    <row r="717" spans="1:9" ht="63" x14ac:dyDescent="0.25">
      <c r="A717" s="779" t="str">
        <f>IF(B717&gt;0,VLOOKUP(B717,КВСР!A203:B1368,2),IF(C717&gt;0,VLOOKUP(C717,КФСР!A203:B1715,2),IF(D717&gt;0,VLOOKUP(D717,Программа!A$1:B$5124,2),IF(F717&gt;0,VLOOKUP(F717,КВР!A$1:B$5001,2),IF(E717&gt;0,VLOOKUP(E717,Направление!A$1:B$4812,2))))))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717" s="114"/>
      <c r="C717" s="109"/>
      <c r="D717" s="126" t="s">
        <v>369</v>
      </c>
      <c r="E717" s="127"/>
      <c r="F717" s="122"/>
      <c r="G717" s="268">
        <v>40047061</v>
      </c>
      <c r="H717" s="330">
        <f t="shared" ref="H717" si="159">H723+H741+H718+H745</f>
        <v>0</v>
      </c>
      <c r="I717" s="330">
        <f t="shared" ref="I717" si="160">I723+I741+I718+I745</f>
        <v>40047061</v>
      </c>
    </row>
    <row r="718" spans="1:9" ht="47.25" x14ac:dyDescent="0.25">
      <c r="A718" s="779" t="str">
        <f>IF(B718&gt;0,VLOOKUP(B718,КВСР!A204:B1369,2),IF(C718&gt;0,VLOOKUP(C718,КФСР!A204:B1716,2),IF(D718&gt;0,VLOOKUP(D718,Программа!A$1:B$5124,2),IF(F718&gt;0,VLOOKUP(F718,КВР!A$1:B$5001,2),IF(E718&gt;0,VLOOKUP(E718,Направление!A$1:B$4812,2))))))</f>
        <v>Обеспечение качества и доступности образовательных услуг в сфере дошкольного образования</v>
      </c>
      <c r="B718" s="114"/>
      <c r="C718" s="109"/>
      <c r="D718" s="110" t="s">
        <v>370</v>
      </c>
      <c r="E718" s="127"/>
      <c r="F718" s="122"/>
      <c r="G718" s="268">
        <v>5600</v>
      </c>
      <c r="H718" s="330">
        <f t="shared" ref="H718" si="161">H719+H721</f>
        <v>0</v>
      </c>
      <c r="I718" s="330">
        <f t="shared" ref="I718" si="162">I719+I721</f>
        <v>5600</v>
      </c>
    </row>
    <row r="719" spans="1:9" ht="31.5" x14ac:dyDescent="0.25">
      <c r="A719" s="779" t="str">
        <f>IF(B719&gt;0,VLOOKUP(B719,КВСР!A205:B1370,2),IF(C719&gt;0,VLOOKUP(C719,КФСР!A205:B1717,2),IF(D719&gt;0,VLOOKUP(D719,Программа!A$1:B$5124,2),IF(F719&gt;0,VLOOKUP(F719,КВР!A$1:B$5001,2),IF(E719&gt;0,VLOOKUP(E719,Направление!A$1:B$4812,2))))))</f>
        <v>Обеспечение деятельности дошкольных учреждений</v>
      </c>
      <c r="B719" s="114"/>
      <c r="C719" s="109"/>
      <c r="D719" s="126"/>
      <c r="E719" s="127">
        <v>13010</v>
      </c>
      <c r="F719" s="122"/>
      <c r="G719" s="268">
        <v>600</v>
      </c>
      <c r="H719" s="330">
        <f t="shared" ref="H719:I719" si="163">H720</f>
        <v>0</v>
      </c>
      <c r="I719" s="330">
        <f t="shared" si="163"/>
        <v>600</v>
      </c>
    </row>
    <row r="720" spans="1:9" ht="110.25" x14ac:dyDescent="0.25">
      <c r="A720" s="779" t="str">
        <f>IF(B720&gt;0,VLOOKUP(B720,КВСР!A206:B1371,2),IF(C720&gt;0,VLOOKUP(C720,КФСР!A206:B1718,2),IF(D720&gt;0,VLOOKUP(D720,Программа!A$1:B$5124,2),IF(F720&gt;0,VLOOKUP(F720,КВР!A$1:B$5001,2),IF(E720&gt;0,VLOOKUP(E720,Направление!A$1:B$4812,2))))))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0" s="114"/>
      <c r="C720" s="109"/>
      <c r="D720" s="126"/>
      <c r="E720" s="127"/>
      <c r="F720" s="122">
        <v>100</v>
      </c>
      <c r="G720" s="268">
        <v>600</v>
      </c>
      <c r="H720" s="330"/>
      <c r="I720" s="117">
        <f>G720+H720</f>
        <v>600</v>
      </c>
    </row>
    <row r="721" spans="1:9" ht="63" x14ac:dyDescent="0.25">
      <c r="A721" s="779" t="str">
        <f>IF(B721&gt;0,VLOOKUP(B721,КВСР!A207:B1372,2),IF(C721&gt;0,VLOOKUP(C721,КФСР!A207:B1719,2),IF(D721&gt;0,VLOOKUP(D721,Программа!A$1:B$5124,2),IF(F721&gt;0,VLOOKUP(F721,КВР!A$1:B$5001,2),IF(E721&gt;0,VLOOKUP(E721,Направление!A$1:B$4812,2))))))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21" s="114"/>
      <c r="C721" s="109"/>
      <c r="D721" s="126"/>
      <c r="E721" s="127">
        <v>73110</v>
      </c>
      <c r="F721" s="122"/>
      <c r="G721" s="268">
        <v>5000</v>
      </c>
      <c r="H721" s="330">
        <f t="shared" ref="H721:I721" si="164">H722</f>
        <v>0</v>
      </c>
      <c r="I721" s="268">
        <f t="shared" si="164"/>
        <v>5000</v>
      </c>
    </row>
    <row r="722" spans="1:9" ht="110.25" x14ac:dyDescent="0.25">
      <c r="A722" s="779" t="str">
        <f>IF(B722&gt;0,VLOOKUP(B722,КВСР!A208:B1373,2),IF(C722&gt;0,VLOOKUP(C722,КФСР!A208:B1720,2),IF(D722&gt;0,VLOOKUP(D722,Программа!A$1:B$5124,2),IF(F722&gt;0,VLOOKUP(F722,КВР!A$1:B$5001,2),IF(E722&gt;0,VLOOKUP(E722,Направление!A$1:B$4812,2))))))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2" s="114"/>
      <c r="C722" s="109"/>
      <c r="D722" s="126"/>
      <c r="E722" s="127"/>
      <c r="F722" s="122">
        <v>100</v>
      </c>
      <c r="G722" s="268">
        <v>5000</v>
      </c>
      <c r="H722" s="330"/>
      <c r="I722" s="117">
        <f>G722+H722</f>
        <v>5000</v>
      </c>
    </row>
    <row r="723" spans="1:9" ht="63" x14ac:dyDescent="0.25">
      <c r="A723" s="779" t="str">
        <f>IF(B723&gt;0,VLOOKUP(B723,КВСР!A204:B1369,2),IF(C723&gt;0,VLOOKUP(C723,КФСР!A204:B1716,2),IF(D723&gt;0,VLOOKUP(D723,Программа!A$1:B$5124,2),IF(F723&gt;0,VLOOKUP(F723,КВР!A$1:B$5001,2),IF(E723&gt;0,VLOOKUP(E723,Направление!A$1:B$4812,2))))))</f>
        <v>Обеспечение качества реализации мер по социальной поддержке детей-сирот и детей, оставшихся без попечения родителей</v>
      </c>
      <c r="B723" s="114"/>
      <c r="C723" s="109"/>
      <c r="D723" s="110" t="s">
        <v>416</v>
      </c>
      <c r="E723" s="127"/>
      <c r="F723" s="122"/>
      <c r="G723" s="268">
        <v>30835562</v>
      </c>
      <c r="H723" s="330">
        <f>H726+H728+H730+H733+H736+H724</f>
        <v>0</v>
      </c>
      <c r="I723" s="330">
        <f>I726+I728+I730+I733+I736+I724</f>
        <v>30835562</v>
      </c>
    </row>
    <row r="724" spans="1:9" ht="31.5" hidden="1" x14ac:dyDescent="0.25">
      <c r="A724" s="779" t="str">
        <f>IF(B724&gt;0,VLOOKUP(B724,КВСР!A205:B1370,2),IF(C724&gt;0,VLOOKUP(C724,КФСР!A205:B1717,2),IF(D724&gt;0,VLOOKUP(D724,Программа!A$1:B$5124,2),IF(F724&gt;0,VLOOKUP(F724,КВР!A$1:B$5001,2),IF(E724&gt;0,VLOOKUP(E724,Направление!A$1:B$4812,2))))))</f>
        <v xml:space="preserve">Государственная поддержка опеки и попечительства </v>
      </c>
      <c r="B724" s="114"/>
      <c r="C724" s="109"/>
      <c r="D724" s="126"/>
      <c r="E724" s="127">
        <v>13750</v>
      </c>
      <c r="F724" s="122"/>
      <c r="G724" s="268">
        <v>0</v>
      </c>
      <c r="H724" s="330">
        <f>H725</f>
        <v>0</v>
      </c>
      <c r="I724" s="117">
        <f t="shared" si="153"/>
        <v>0</v>
      </c>
    </row>
    <row r="725" spans="1:9" ht="31.5" hidden="1" x14ac:dyDescent="0.25">
      <c r="A725" s="779" t="str">
        <f>IF(B725&gt;0,VLOOKUP(B725,КВСР!A205:B1370,2),IF(C725&gt;0,VLOOKUP(C725,КФСР!A205:B1717,2),IF(D725&gt;0,VLOOKUP(D725,Программа!A$1:B$5124,2),IF(F725&gt;0,VLOOKUP(F725,КВР!A$1:B$5001,2),IF(E725&gt;0,VLOOKUP(E725,Направление!A$1:B$4812,2))))))</f>
        <v>Социальное обеспечение и иные выплаты населению</v>
      </c>
      <c r="B725" s="114"/>
      <c r="C725" s="109"/>
      <c r="D725" s="126"/>
      <c r="E725" s="127"/>
      <c r="F725" s="122">
        <v>300</v>
      </c>
      <c r="G725" s="268">
        <v>0</v>
      </c>
      <c r="H725" s="330"/>
      <c r="I725" s="117">
        <f t="shared" si="153"/>
        <v>0</v>
      </c>
    </row>
    <row r="726" spans="1:9" ht="47.25" hidden="1" x14ac:dyDescent="0.25">
      <c r="A726" s="779" t="str">
        <f>IF(B726&gt;0,VLOOKUP(B726,КВСР!A204:B1369,2),IF(C726&gt;0,VLOOKUP(C726,КФСР!A204:B1716,2),IF(D726&gt;0,VLOOKUP(D726,Программа!A$1:B$5124,2),IF(F726&gt;0,VLOOKUP(F726,КВР!A$1:B$5001,2),IF(E726&gt;0,VLOOKUP(E726,Направление!A$1:B$4812,2))))))</f>
        <v xml:space="preserve">Расходы на укрепление института семьи, повышение качества жизни семей с несовершеннолетними детьми </v>
      </c>
      <c r="B726" s="114"/>
      <c r="C726" s="109"/>
      <c r="D726" s="126"/>
      <c r="E726" s="127" t="s">
        <v>434</v>
      </c>
      <c r="F726" s="122"/>
      <c r="G726" s="268">
        <v>0</v>
      </c>
      <c r="H726" s="330">
        <f>H727</f>
        <v>0</v>
      </c>
      <c r="I726" s="117">
        <f t="shared" si="153"/>
        <v>0</v>
      </c>
    </row>
    <row r="727" spans="1:9" ht="63" hidden="1" x14ac:dyDescent="0.25">
      <c r="A727" s="779" t="str">
        <f>IF(B727&gt;0,VLOOKUP(B727,КВСР!A205:B1370,2),IF(C727&gt;0,VLOOKUP(C727,КФСР!A205:B1717,2),IF(D727&gt;0,VLOOKUP(D727,Программа!A$1:B$5124,2),IF(F727&gt;0,VLOOKUP(F727,КВР!A$1:B$5001,2),IF(E727&gt;0,VLOOKUP(E727,Направление!A$1:B$4812,2))))))</f>
        <v xml:space="preserve">Закупка товаров, работ и услуг для обеспечения государственных (муниципальных) нужд
</v>
      </c>
      <c r="B727" s="114"/>
      <c r="C727" s="109"/>
      <c r="D727" s="128"/>
      <c r="E727" s="125"/>
      <c r="F727" s="122">
        <v>200</v>
      </c>
      <c r="G727" s="286">
        <v>0</v>
      </c>
      <c r="H727" s="275"/>
      <c r="I727" s="117">
        <f t="shared" si="153"/>
        <v>0</v>
      </c>
    </row>
    <row r="728" spans="1:9" ht="78.75" hidden="1" x14ac:dyDescent="0.25">
      <c r="A728" s="779" t="str">
        <f>IF(B728&gt;0,VLOOKUP(B728,КВСР!A207:B1372,2),IF(C728&gt;0,VLOOKUP(C728,КФСР!A207:B1719,2),IF(D728&gt;0,VLOOKUP(D728,Программа!A$1:B$5124,2),IF(F728&gt;0,VLOOKUP(F728,КВР!A$1:B$5001,2),IF(E728&gt;0,VLOOKUP(E728,Направление!A$1:B$4812,2))))))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28" s="114"/>
      <c r="C728" s="109"/>
      <c r="D728" s="126"/>
      <c r="E728" s="127">
        <v>52600</v>
      </c>
      <c r="F728" s="122"/>
      <c r="G728" s="286">
        <v>0</v>
      </c>
      <c r="H728" s="275">
        <f>H729</f>
        <v>0</v>
      </c>
      <c r="I728" s="275">
        <f>I729</f>
        <v>0</v>
      </c>
    </row>
    <row r="729" spans="1:9" ht="31.5" hidden="1" x14ac:dyDescent="0.25">
      <c r="A729" s="779" t="str">
        <f>IF(B729&gt;0,VLOOKUP(B729,КВСР!A208:B1373,2),IF(C729&gt;0,VLOOKUP(C729,КФСР!A208:B1720,2),IF(D729&gt;0,VLOOKUP(D729,Программа!A$1:B$5124,2),IF(F729&gt;0,VLOOKUP(F729,КВР!A$1:B$5001,2),IF(E729&gt;0,VLOOKUP(E729,Направление!A$1:B$4812,2))))))</f>
        <v>Социальное обеспечение и иные выплаты населению</v>
      </c>
      <c r="B729" s="114"/>
      <c r="C729" s="109"/>
      <c r="D729" s="129"/>
      <c r="E729" s="127"/>
      <c r="F729" s="122">
        <v>300</v>
      </c>
      <c r="G729" s="286">
        <v>0</v>
      </c>
      <c r="H729" s="275"/>
      <c r="I729" s="117">
        <f t="shared" si="153"/>
        <v>0</v>
      </c>
    </row>
    <row r="730" spans="1:9" ht="94.5" hidden="1" x14ac:dyDescent="0.25">
      <c r="A730" s="779" t="str">
        <f>IF(B730&gt;0,VLOOKUP(B730,КВСР!A209:B1374,2),IF(C730&gt;0,VLOOKUP(C730,КФСР!A209:B1721,2),IF(D730&gt;0,VLOOKUP(D730,Программа!A$1:B$5124,2),IF(F730&gt;0,VLOOKUP(F730,КВР!A$1:B$5001,2),IF(E730&gt;0,VLOOKUP(E730,Направление!A$1:B$4812,2))))))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30" s="114"/>
      <c r="C730" s="109"/>
      <c r="D730" s="126"/>
      <c r="E730" s="127">
        <v>70430</v>
      </c>
      <c r="F730" s="122"/>
      <c r="G730" s="286">
        <v>0</v>
      </c>
      <c r="H730" s="275">
        <f t="shared" ref="H730:I730" si="165">H732+H731</f>
        <v>0</v>
      </c>
      <c r="I730" s="275">
        <f t="shared" si="165"/>
        <v>0</v>
      </c>
    </row>
    <row r="731" spans="1:9" ht="63" hidden="1" x14ac:dyDescent="0.25">
      <c r="A731" s="779" t="str">
        <f>IF(B731&gt;0,VLOOKUP(B731,КВСР!A210:B1375,2),IF(C731&gt;0,VLOOKUP(C731,КФСР!A210:B1722,2),IF(D731&gt;0,VLOOKUP(D731,Программа!A$1:B$5124,2),IF(F731&gt;0,VLOOKUP(F731,КВР!A$1:B$5001,2),IF(E731&gt;0,VLOOKUP(E731,Направление!A$1:B$4812,2))))))</f>
        <v xml:space="preserve">Закупка товаров, работ и услуг для обеспечения государственных (муниципальных) нужд
</v>
      </c>
      <c r="B731" s="114"/>
      <c r="C731" s="109"/>
      <c r="D731" s="126"/>
      <c r="E731" s="127"/>
      <c r="F731" s="122">
        <v>200</v>
      </c>
      <c r="G731" s="286">
        <v>0</v>
      </c>
      <c r="H731" s="275"/>
      <c r="I731" s="117">
        <f t="shared" si="153"/>
        <v>0</v>
      </c>
    </row>
    <row r="732" spans="1:9" ht="31.5" hidden="1" x14ac:dyDescent="0.25">
      <c r="A732" s="779" t="str">
        <f>IF(B732&gt;0,VLOOKUP(B732,КВСР!A210:B1375,2),IF(C732&gt;0,VLOOKUP(C732,КФСР!A210:B1722,2),IF(D732&gt;0,VLOOKUP(D732,Программа!A$1:B$5124,2),IF(F732&gt;0,VLOOKUP(F732,КВР!A$1:B$5001,2),IF(E732&gt;0,VLOOKUP(E732,Направление!A$1:B$4812,2))))))</f>
        <v>Социальное обеспечение и иные выплаты населению</v>
      </c>
      <c r="B732" s="114"/>
      <c r="C732" s="109"/>
      <c r="D732" s="129"/>
      <c r="E732" s="127"/>
      <c r="F732" s="122">
        <v>300</v>
      </c>
      <c r="G732" s="286">
        <v>0</v>
      </c>
      <c r="H732" s="275"/>
      <c r="I732" s="117">
        <f t="shared" si="153"/>
        <v>0</v>
      </c>
    </row>
    <row r="733" spans="1:9" ht="78.75" x14ac:dyDescent="0.25">
      <c r="A733" s="779" t="str">
        <f>IF(B733&gt;0,VLOOKUP(B733,КВСР!A211:B1376,2),IF(C733&gt;0,VLOOKUP(C733,КФСР!A211:B1723,2),IF(D733&gt;0,VLOOKUP(D733,Программа!A$1:B$5124,2),IF(F733&gt;0,VLOOKUP(F733,КВР!A$1:B$5001,2),IF(E733&gt;0,VLOOKUP(E733,Направление!A$1:B$4812,2))))))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33" s="114"/>
      <c r="C733" s="109"/>
      <c r="D733" s="126"/>
      <c r="E733" s="127">
        <v>70460</v>
      </c>
      <c r="F733" s="122"/>
      <c r="G733" s="286">
        <v>27292878</v>
      </c>
      <c r="H733" s="275">
        <f>H734+H735</f>
        <v>0</v>
      </c>
      <c r="I733" s="275">
        <f>I734+I735</f>
        <v>27292878</v>
      </c>
    </row>
    <row r="734" spans="1:9" ht="63" x14ac:dyDescent="0.25">
      <c r="A734" s="779" t="str">
        <f>IF(B734&gt;0,VLOOKUP(B734,КВСР!A212:B1377,2),IF(C734&gt;0,VLOOKUP(C734,КФСР!A212:B1724,2),IF(D734&gt;0,VLOOKUP(D734,Программа!A$1:B$5124,2),IF(F734&gt;0,VLOOKUP(F734,КВР!A$1:B$5001,2),IF(E734&gt;0,VLOOKUP(E734,Направление!A$1:B$4812,2))))))</f>
        <v xml:space="preserve">Закупка товаров, работ и услуг для обеспечения государственных (муниципальных) нужд
</v>
      </c>
      <c r="B734" s="114"/>
      <c r="C734" s="109"/>
      <c r="D734" s="129"/>
      <c r="E734" s="127"/>
      <c r="F734" s="122">
        <v>200</v>
      </c>
      <c r="G734" s="286">
        <v>80815</v>
      </c>
      <c r="H734" s="275"/>
      <c r="I734" s="117">
        <f t="shared" si="153"/>
        <v>80815</v>
      </c>
    </row>
    <row r="735" spans="1:9" ht="31.5" x14ac:dyDescent="0.25">
      <c r="A735" s="779" t="str">
        <f>IF(B735&gt;0,VLOOKUP(B735,КВСР!A213:B1378,2),IF(C735&gt;0,VLOOKUP(C735,КФСР!A213:B1725,2),IF(D735&gt;0,VLOOKUP(D735,Программа!A$1:B$5124,2),IF(F735&gt;0,VLOOKUP(F735,КВР!A$1:B$5001,2),IF(E735&gt;0,VLOOKUP(E735,Направление!A$1:B$4812,2))))))</f>
        <v>Социальное обеспечение и иные выплаты населению</v>
      </c>
      <c r="B735" s="114"/>
      <c r="C735" s="109"/>
      <c r="D735" s="129"/>
      <c r="E735" s="127"/>
      <c r="F735" s="122">
        <v>300</v>
      </c>
      <c r="G735" s="286">
        <v>27212063</v>
      </c>
      <c r="H735" s="275"/>
      <c r="I735" s="117">
        <f t="shared" si="153"/>
        <v>27212063</v>
      </c>
    </row>
    <row r="736" spans="1:9" ht="47.25" x14ac:dyDescent="0.25">
      <c r="A736" s="779" t="str">
        <f>IF(B736&gt;0,VLOOKUP(B736,КВСР!A214:B1379,2),IF(C736&gt;0,VLOOKUP(C736,КФСР!A214:B1726,2),IF(D736&gt;0,VLOOKUP(D736,Программа!A$1:B$5124,2),IF(F736&gt;0,VLOOKUP(F736,КВР!A$1:B$5001,2),IF(E736&gt;0,VLOOKUP(E736,Направление!A$1:B$4812,2))))))</f>
        <v>Государственная поддержка опеки и попечительства за счет средств областного бюджета</v>
      </c>
      <c r="B736" s="114"/>
      <c r="C736" s="109"/>
      <c r="D736" s="126"/>
      <c r="E736" s="127">
        <v>70500</v>
      </c>
      <c r="F736" s="122"/>
      <c r="G736" s="286">
        <v>3542684</v>
      </c>
      <c r="H736" s="275">
        <f>H738+H739+H740+H737</f>
        <v>0</v>
      </c>
      <c r="I736" s="275">
        <f>I738+I739+I740+I737</f>
        <v>3542684</v>
      </c>
    </row>
    <row r="737" spans="1:9" ht="110.25" hidden="1" x14ac:dyDescent="0.25">
      <c r="A737" s="779" t="str">
        <f>IF(B737&gt;0,VLOOKUP(B737,КВСР!A215:B1380,2),IF(C737&gt;0,VLOOKUP(C737,КФСР!A215:B1727,2),IF(D737&gt;0,VLOOKUP(D737,Программа!A$1:B$5124,2),IF(F737&gt;0,VLOOKUP(F737,КВР!A$1:B$5001,2),IF(E737&gt;0,VLOOKUP(E737,Направление!A$1:B$4812,2))))))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7" s="114"/>
      <c r="C737" s="109"/>
      <c r="D737" s="126"/>
      <c r="E737" s="127"/>
      <c r="F737" s="122">
        <v>100</v>
      </c>
      <c r="G737" s="286">
        <v>0</v>
      </c>
      <c r="H737" s="275"/>
      <c r="I737" s="117">
        <f t="shared" si="153"/>
        <v>0</v>
      </c>
    </row>
    <row r="738" spans="1:9" ht="63" x14ac:dyDescent="0.25">
      <c r="A738" s="779" t="str">
        <f>IF(B738&gt;0,VLOOKUP(B738,КВСР!A215:B1380,2),IF(C738&gt;0,VLOOKUP(C738,КФСР!A215:B1727,2),IF(D738&gt;0,VLOOKUP(D738,Программа!A$1:B$5124,2),IF(F738&gt;0,VLOOKUP(F738,КВР!A$1:B$5001,2),IF(E738&gt;0,VLOOKUP(E738,Направление!A$1:B$4812,2))))))</f>
        <v xml:space="preserve">Закупка товаров, работ и услуг для обеспечения государственных (муниципальных) нужд
</v>
      </c>
      <c r="B738" s="114"/>
      <c r="C738" s="109"/>
      <c r="D738" s="129"/>
      <c r="E738" s="127"/>
      <c r="F738" s="122">
        <v>200</v>
      </c>
      <c r="G738" s="286">
        <v>2352</v>
      </c>
      <c r="H738" s="275"/>
      <c r="I738" s="117">
        <f t="shared" si="153"/>
        <v>2352</v>
      </c>
    </row>
    <row r="739" spans="1:9" ht="31.5" x14ac:dyDescent="0.25">
      <c r="A739" s="779" t="str">
        <f>IF(B739&gt;0,VLOOKUP(B739,КВСР!A216:B1381,2),IF(C739&gt;0,VLOOKUP(C739,КФСР!A216:B1728,2),IF(D739&gt;0,VLOOKUP(D739,Программа!A$1:B$5124,2),IF(F739&gt;0,VLOOKUP(F739,КВР!A$1:B$5001,2),IF(E739&gt;0,VLOOKUP(E739,Направление!A$1:B$4812,2))))))</f>
        <v>Социальное обеспечение и иные выплаты населению</v>
      </c>
      <c r="B739" s="114"/>
      <c r="C739" s="109"/>
      <c r="D739" s="129"/>
      <c r="E739" s="127"/>
      <c r="F739" s="122">
        <v>300</v>
      </c>
      <c r="G739" s="286">
        <v>1728805</v>
      </c>
      <c r="H739" s="275">
        <f>115622-115622</f>
        <v>0</v>
      </c>
      <c r="I739" s="117">
        <f t="shared" si="153"/>
        <v>1728805</v>
      </c>
    </row>
    <row r="740" spans="1:9" ht="47.25" x14ac:dyDescent="0.25">
      <c r="A740" s="779" t="str">
        <f>IF(B740&gt;0,VLOOKUP(B740,КВСР!A217:B1382,2),IF(C740&gt;0,VLOOKUP(C740,КФСР!A217:B1729,2),IF(D740&gt;0,VLOOKUP(D740,Программа!A$1:B$5124,2),IF(F740&gt;0,VLOOKUP(F740,КВР!A$1:B$5001,2),IF(E740&gt;0,VLOOKUP(E740,Направление!A$1:B$4812,2))))))</f>
        <v>Предоставление субсидий бюджетным, автономным учреждениям и иным некоммерческим организациям</v>
      </c>
      <c r="B740" s="114"/>
      <c r="C740" s="109"/>
      <c r="D740" s="129"/>
      <c r="E740" s="127"/>
      <c r="F740" s="122">
        <v>600</v>
      </c>
      <c r="G740" s="286">
        <v>1811527</v>
      </c>
      <c r="H740" s="275"/>
      <c r="I740" s="117">
        <f t="shared" si="153"/>
        <v>1811527</v>
      </c>
    </row>
    <row r="741" spans="1:9" x14ac:dyDescent="0.25">
      <c r="A741" s="779" t="str">
        <f>IF(B741&gt;0,VLOOKUP(B741,КВСР!A218:B1383,2),IF(C741&gt;0,VLOOKUP(C741,КФСР!A218:B1730,2),IF(D741&gt;0,VLOOKUP(D741,Программа!A$1:B$5124,2),IF(F741&gt;0,VLOOKUP(F741,КВР!A$1:B$5001,2),IF(E741&gt;0,VLOOKUP(E741,Направление!A$1:B$4812,2))))))</f>
        <v>Обеспечение компенсационных выплат</v>
      </c>
      <c r="B741" s="114"/>
      <c r="C741" s="109"/>
      <c r="D741" s="110" t="s">
        <v>1060</v>
      </c>
      <c r="E741" s="127"/>
      <c r="F741" s="122"/>
      <c r="G741" s="286">
        <v>9205899</v>
      </c>
      <c r="H741" s="275">
        <f>H742</f>
        <v>0</v>
      </c>
      <c r="I741" s="275">
        <f>I742</f>
        <v>9205899</v>
      </c>
    </row>
    <row r="742" spans="1:9" ht="94.5" x14ac:dyDescent="0.25">
      <c r="A742" s="779" t="str">
        <f>IF(B742&gt;0,VLOOKUP(B742,КВСР!A207:B1372,2),IF(C742&gt;0,VLOOKUP(C742,КФСР!A207:B1719,2),IF(D742&gt;0,VLOOKUP(D742,Программа!A$1:B$5124,2),IF(F742&gt;0,VLOOKUP(F742,КВР!A$1:B$5001,2),IF(E742&gt;0,VLOOKUP(E742,Направление!A$1:B$4812,2))))))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42" s="114"/>
      <c r="C742" s="109"/>
      <c r="D742" s="126"/>
      <c r="E742" s="127">
        <v>70430</v>
      </c>
      <c r="F742" s="122"/>
      <c r="G742" s="286">
        <v>9205899</v>
      </c>
      <c r="H742" s="275">
        <f>H743+H744</f>
        <v>0</v>
      </c>
      <c r="I742" s="275">
        <f>I743+I744</f>
        <v>9205899</v>
      </c>
    </row>
    <row r="743" spans="1:9" ht="63" x14ac:dyDescent="0.25">
      <c r="A743" s="779" t="str">
        <f>IF(B743&gt;0,VLOOKUP(B743,КВСР!A208:B1373,2),IF(C743&gt;0,VLOOKUP(C743,КФСР!A208:B1720,2),IF(D743&gt;0,VLOOKUP(D743,Программа!A$1:B$5124,2),IF(F743&gt;0,VLOOKUP(F743,КВР!A$1:B$5001,2),IF(E743&gt;0,VLOOKUP(E743,Направление!A$1:B$4812,2))))))</f>
        <v xml:space="preserve">Закупка товаров, работ и услуг для обеспечения государственных (муниципальных) нужд
</v>
      </c>
      <c r="B743" s="114"/>
      <c r="C743" s="109"/>
      <c r="D743" s="129"/>
      <c r="E743" s="127"/>
      <c r="F743" s="122">
        <v>200</v>
      </c>
      <c r="G743" s="268">
        <v>136048</v>
      </c>
      <c r="H743" s="330"/>
      <c r="I743" s="117">
        <f t="shared" si="153"/>
        <v>136048</v>
      </c>
    </row>
    <row r="744" spans="1:9" ht="31.5" x14ac:dyDescent="0.25">
      <c r="A744" s="779" t="str">
        <f>IF(B744&gt;0,VLOOKUP(B744,КВСР!A209:B1374,2),IF(C744&gt;0,VLOOKUP(C744,КФСР!A209:B1721,2),IF(D744&gt;0,VLOOKUP(D744,Программа!A$1:B$5124,2),IF(F744&gt;0,VLOOKUP(F744,КВР!A$1:B$5001,2),IF(E744&gt;0,VLOOKUP(E744,Направление!A$1:B$4812,2))))))</f>
        <v>Социальное обеспечение и иные выплаты населению</v>
      </c>
      <c r="B744" s="114"/>
      <c r="C744" s="109"/>
      <c r="D744" s="129"/>
      <c r="E744" s="127"/>
      <c r="F744" s="122">
        <v>300</v>
      </c>
      <c r="G744" s="268">
        <v>9069851</v>
      </c>
      <c r="H744" s="330"/>
      <c r="I744" s="117">
        <f t="shared" si="153"/>
        <v>9069851</v>
      </c>
    </row>
    <row r="745" spans="1:9" ht="31.5" hidden="1" x14ac:dyDescent="0.25">
      <c r="A745" s="782" t="str">
        <f>IF(B745&gt;0,VLOOKUP(B745,КВСР!A210:B1375,2),IF(C745&gt;0,VLOOKUP(C745,КФСР!A210:B1722,2),IF(D745&gt;0,VLOOKUP(D745,Программа!A$1:B$5124,2),IF(F745&gt;0,VLOOKUP(F745,КВР!A$1:B$5001,2),IF(E745&gt;0,VLOOKUP(E745,Направление!A$1:B$4812,2))))))</f>
        <v>Обеспечение эффективности управления системой образования</v>
      </c>
      <c r="B745" s="110"/>
      <c r="C745" s="110"/>
      <c r="D745" s="110" t="s">
        <v>1057</v>
      </c>
      <c r="E745" s="126"/>
      <c r="F745" s="122"/>
      <c r="G745" s="268">
        <v>0</v>
      </c>
      <c r="H745" s="330">
        <f t="shared" ref="H745:I746" si="166">H746</f>
        <v>0</v>
      </c>
      <c r="I745" s="268">
        <f t="shared" si="166"/>
        <v>0</v>
      </c>
    </row>
    <row r="746" spans="1:9" ht="63" hidden="1" x14ac:dyDescent="0.25">
      <c r="A746" s="782" t="str">
        <f>IF(B746&gt;0,VLOOKUP(B746,КВСР!A211:B1376,2),IF(C746&gt;0,VLOOKUP(C746,КФСР!A211:B1723,2),IF(D746&gt;0,VLOOKUP(D746,Программа!A$1:B$5124,2),IF(F746&gt;0,VLOOKUP(F746,КВР!A$1:B$5001,2),IF(E746&gt;0,VLOOKUP(E746,Направление!A$1:B$4812,2))))))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46" s="110"/>
      <c r="C746" s="110"/>
      <c r="D746" s="126"/>
      <c r="E746" s="110" t="s">
        <v>1169</v>
      </c>
      <c r="F746" s="122"/>
      <c r="G746" s="268">
        <v>0</v>
      </c>
      <c r="H746" s="330">
        <f t="shared" si="166"/>
        <v>0</v>
      </c>
      <c r="I746" s="268">
        <f t="shared" si="166"/>
        <v>0</v>
      </c>
    </row>
    <row r="747" spans="1:9" ht="110.25" hidden="1" x14ac:dyDescent="0.25">
      <c r="A747" s="782" t="str">
        <f>IF(B747&gt;0,VLOOKUP(B747,КВСР!A212:B1377,2),IF(C747&gt;0,VLOOKUP(C747,КФСР!A212:B1724,2),IF(D747&gt;0,VLOOKUP(D747,Программа!A$1:B$5124,2),IF(F747&gt;0,VLOOKUP(F747,КВР!A$1:B$5001,2),IF(E747&gt;0,VLOOKUP(E747,Направление!A$1:B$4812,2))))))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7" s="110"/>
      <c r="C747" s="110"/>
      <c r="D747" s="126"/>
      <c r="E747" s="126"/>
      <c r="F747" s="122">
        <v>100</v>
      </c>
      <c r="G747" s="268">
        <v>0</v>
      </c>
      <c r="H747" s="330"/>
      <c r="I747" s="117">
        <f>G747+H747</f>
        <v>0</v>
      </c>
    </row>
    <row r="748" spans="1:9" s="130" customFormat="1" x14ac:dyDescent="0.25">
      <c r="A748" s="779" t="str">
        <f>IF(B748&gt;0,VLOOKUP(B748,КВСР!A228:B1393,2),IF(C748&gt;0,VLOOKUP(C748,КФСР!A228:B1740,2),IF(D748&gt;0,VLOOKUP(D748,Программа!A$1:B$5124,2),IF(F748&gt;0,VLOOKUP(F748,КВР!A$1:B$5001,2),IF(E748&gt;0,VLOOKUP(E748,Направление!A$1:B$4812,2))))))</f>
        <v>Массовый спорт</v>
      </c>
      <c r="B748" s="120"/>
      <c r="C748" s="121">
        <v>1102</v>
      </c>
      <c r="D748" s="110"/>
      <c r="E748" s="109"/>
      <c r="F748" s="111"/>
      <c r="G748" s="268">
        <v>43576766</v>
      </c>
      <c r="H748" s="330">
        <f>H754+H775+H749</f>
        <v>3064926.46</v>
      </c>
      <c r="I748" s="330">
        <f>I754+I775+I749</f>
        <v>46641692.460000001</v>
      </c>
    </row>
    <row r="749" spans="1:9" s="130" customFormat="1" ht="63" x14ac:dyDescent="0.25">
      <c r="A749" s="779" t="str">
        <f>IF(B749&gt;0,VLOOKUP(B749,КВСР!A229:B1394,2),IF(C749&gt;0,VLOOKUP(C749,КФСР!A229:B1741,2),IF(D749&gt;0,VLOOKUP(D749,Программа!A$1:B$5124,2),IF(F749&gt;0,VLOOKUP(F749,КВР!A$1:B$5001,2),IF(E749&gt;0,VLOOKUP(E749,Направление!A$1:B$4812,2))))))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749" s="120"/>
      <c r="C749" s="121"/>
      <c r="D749" s="110" t="s">
        <v>396</v>
      </c>
      <c r="E749" s="109"/>
      <c r="F749" s="111"/>
      <c r="G749" s="268">
        <v>15000</v>
      </c>
      <c r="H749" s="268">
        <f t="shared" ref="H749:I752" si="167">H750</f>
        <v>0</v>
      </c>
      <c r="I749" s="268">
        <f t="shared" si="167"/>
        <v>15000</v>
      </c>
    </row>
    <row r="750" spans="1:9" s="130" customFormat="1" ht="94.5" x14ac:dyDescent="0.25">
      <c r="A750" s="779" t="str">
        <f>IF(B750&gt;0,VLOOKUP(B750,КВСР!A230:B1395,2),IF(C750&gt;0,VLOOKUP(C750,КФСР!A230:B1742,2),IF(D750&gt;0,VLOOKUP(D750,Программа!A$1:B$5124,2),IF(F750&gt;0,VLOOKUP(F750,КВР!A$1:B$5001,2),IF(E750&gt;0,VLOOKUP(E750,Направление!A$1:B$4812,2))))))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750" s="120"/>
      <c r="C750" s="121"/>
      <c r="D750" s="110" t="s">
        <v>398</v>
      </c>
      <c r="E750" s="109"/>
      <c r="F750" s="111"/>
      <c r="G750" s="268">
        <v>15000</v>
      </c>
      <c r="H750" s="268">
        <f t="shared" si="167"/>
        <v>0</v>
      </c>
      <c r="I750" s="268">
        <f t="shared" si="167"/>
        <v>15000</v>
      </c>
    </row>
    <row r="751" spans="1:9" s="130" customFormat="1" ht="78.75" x14ac:dyDescent="0.25">
      <c r="A751" s="779" t="str">
        <f>IF(B751&gt;0,VLOOKUP(B751,КВСР!A231:B1396,2),IF(C751&gt;0,VLOOKUP(C751,КФСР!A231:B1743,2),IF(D751&gt;0,VLOOKUP(D751,Программа!A$1:B$5124,2),IF(F751&gt;0,VLOOKUP(F751,КВР!A$1:B$5001,2),IF(E751&gt;0,VLOOKUP(E751,Направление!A$1:B$4812,2))))))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751" s="120"/>
      <c r="C751" s="121"/>
      <c r="D751" s="110" t="s">
        <v>400</v>
      </c>
      <c r="E751" s="109"/>
      <c r="F751" s="111"/>
      <c r="G751" s="268">
        <v>15000</v>
      </c>
      <c r="H751" s="268">
        <f t="shared" si="167"/>
        <v>0</v>
      </c>
      <c r="I751" s="268">
        <f t="shared" si="167"/>
        <v>15000</v>
      </c>
    </row>
    <row r="752" spans="1:9" s="130" customFormat="1" ht="31.5" x14ac:dyDescent="0.25">
      <c r="A752" s="779" t="str">
        <f>IF(B752&gt;0,VLOOKUP(B752,КВСР!A232:B1397,2),IF(C752&gt;0,VLOOKUP(C752,КФСР!A232:B1744,2),IF(D752&gt;0,VLOOKUP(D752,Программа!A$1:B$5124,2),IF(F752&gt;0,VLOOKUP(F752,КВР!A$1:B$5001,2),IF(E752&gt;0,VLOOKUP(E752,Направление!A$1:B$4812,2))))))</f>
        <v>Мероприятия по патриотическому воспитанию граждан</v>
      </c>
      <c r="B752" s="120"/>
      <c r="C752" s="121"/>
      <c r="D752" s="110"/>
      <c r="E752" s="109">
        <v>74880</v>
      </c>
      <c r="F752" s="111"/>
      <c r="G752" s="268">
        <v>15000</v>
      </c>
      <c r="H752" s="268">
        <f t="shared" si="167"/>
        <v>0</v>
      </c>
      <c r="I752" s="268">
        <f t="shared" si="167"/>
        <v>15000</v>
      </c>
    </row>
    <row r="753" spans="1:9" s="130" customFormat="1" ht="47.25" x14ac:dyDescent="0.25">
      <c r="A753" s="779" t="str">
        <f>IF(B753&gt;0,VLOOKUP(B753,КВСР!A233:B1398,2),IF(C753&gt;0,VLOOKUP(C753,КФСР!A233:B1745,2),IF(D753&gt;0,VLOOKUP(D753,Программа!A$1:B$5124,2),IF(F753&gt;0,VLOOKUP(F753,КВР!A$1:B$5001,2),IF(E753&gt;0,VLOOKUP(E753,Направление!A$1:B$4812,2))))))</f>
        <v>Предоставление субсидий бюджетным, автономным учреждениям и иным некоммерческим организациям</v>
      </c>
      <c r="B753" s="120"/>
      <c r="C753" s="121"/>
      <c r="D753" s="110"/>
      <c r="E753" s="109"/>
      <c r="F753" s="111">
        <v>600</v>
      </c>
      <c r="G753" s="268">
        <v>15000</v>
      </c>
      <c r="H753" s="330"/>
      <c r="I753" s="268">
        <f>G753+H753</f>
        <v>15000</v>
      </c>
    </row>
    <row r="754" spans="1:9" s="130" customFormat="1" ht="63" x14ac:dyDescent="0.25">
      <c r="A754" s="779" t="str">
        <f>IF(B754&gt;0,VLOOKUP(B754,КВСР!A229:B1394,2),IF(C754&gt;0,VLOOKUP(C754,КФСР!A229:B1741,2),IF(D754&gt;0,VLOOKUP(D754,Программа!A$1:B$5124,2),IF(F754&gt;0,VLOOKUP(F754,КВР!A$1:B$5001,2),IF(E754&gt;0,VLOOKUP(E754,Направление!A$1:B$4812,2))))))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754" s="120"/>
      <c r="C754" s="121"/>
      <c r="D754" s="110" t="s">
        <v>367</v>
      </c>
      <c r="E754" s="109"/>
      <c r="F754" s="111"/>
      <c r="G754" s="268">
        <v>43561766</v>
      </c>
      <c r="H754" s="330">
        <f>H755+H771</f>
        <v>3064926.46</v>
      </c>
      <c r="I754" s="330">
        <f>I755+I771</f>
        <v>46626692.460000001</v>
      </c>
    </row>
    <row r="755" spans="1:9" s="130" customFormat="1" ht="47.25" x14ac:dyDescent="0.25">
      <c r="A755" s="779" t="str">
        <f>IF(B755&gt;0,VLOOKUP(B755,КВСР!A230:B1395,2),IF(C755&gt;0,VLOOKUP(C755,КФСР!A230:B1742,2),IF(D755&gt;0,VLOOKUP(D755,Программа!A$1:B$5124,2),IF(F755&gt;0,VLOOKUP(F755,КВР!A$1:B$5001,2),IF(E755&gt;0,VLOOKUP(E755,Направление!A$1:B$4812,2))))))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755" s="120"/>
      <c r="C755" s="121"/>
      <c r="D755" s="110" t="s">
        <v>386</v>
      </c>
      <c r="E755" s="109"/>
      <c r="F755" s="111"/>
      <c r="G755" s="268">
        <v>42911766</v>
      </c>
      <c r="H755" s="330">
        <f>H756+H765+H768</f>
        <v>2964926.46</v>
      </c>
      <c r="I755" s="330">
        <f>I756+I765+I768</f>
        <v>45876692.460000001</v>
      </c>
    </row>
    <row r="756" spans="1:9" s="130" customFormat="1" ht="94.5" x14ac:dyDescent="0.25">
      <c r="A756" s="779" t="str">
        <f>IF(B756&gt;0,VLOOKUP(B756,КВСР!A231:B1396,2),IF(C756&gt;0,VLOOKUP(C756,КФСР!A231:B1743,2),IF(D756&gt;0,VLOOKUP(D756,Программа!A$1:B$5124,2),IF(F756&gt;0,VLOOKUP(F756,КВР!A$1:B$5001,2),IF(E756&gt;0,VLOOKUP(E756,Направление!A$1:B$4812,2))))))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56" s="120"/>
      <c r="C756" s="121"/>
      <c r="D756" s="110" t="s">
        <v>441</v>
      </c>
      <c r="E756" s="109"/>
      <c r="F756" s="111"/>
      <c r="G756" s="268">
        <v>42535908</v>
      </c>
      <c r="H756" s="330">
        <f>H759+H763+H761+H757</f>
        <v>1211926.46</v>
      </c>
      <c r="I756" s="330">
        <f>I759+I763+I761+I757</f>
        <v>43747834.460000001</v>
      </c>
    </row>
    <row r="757" spans="1:9" s="130" customFormat="1" ht="31.5" x14ac:dyDescent="0.25">
      <c r="A757" s="779" t="str">
        <f>IF(B757&gt;0,VLOOKUP(B757,КВСР!A232:B1397,2),IF(C757&gt;0,VLOOKUP(C757,КФСР!A232:B1744,2),IF(D757&gt;0,VLOOKUP(D757,Программа!A$1:B$5124,2),IF(F757&gt;0,VLOOKUP(F757,КВР!A$1:B$5001,2),IF(E757&gt;0,VLOOKUP(E757,Направление!A$1:B$4812,2))))))</f>
        <v>Мероприятия в области спорта и физической культуры</v>
      </c>
      <c r="B757" s="120"/>
      <c r="C757" s="121"/>
      <c r="D757" s="110"/>
      <c r="E757" s="109">
        <v>14010</v>
      </c>
      <c r="F757" s="111"/>
      <c r="G757" s="268">
        <v>900000</v>
      </c>
      <c r="H757" s="330">
        <f t="shared" ref="H757:I757" si="168">H758</f>
        <v>50000</v>
      </c>
      <c r="I757" s="330">
        <f t="shared" si="168"/>
        <v>950000</v>
      </c>
    </row>
    <row r="758" spans="1:9" s="130" customFormat="1" ht="47.25" x14ac:dyDescent="0.25">
      <c r="A758" s="779" t="str">
        <f>IF(B758&gt;0,VLOOKUP(B758,КВСР!A233:B1398,2),IF(C758&gt;0,VLOOKUP(C758,КФСР!A233:B1745,2),IF(D758&gt;0,VLOOKUP(D758,Программа!A$1:B$5124,2),IF(F758&gt;0,VLOOKUP(F758,КВР!A$1:B$5001,2),IF(E758&gt;0,VLOOKUP(E758,Направление!A$1:B$4812,2))))))</f>
        <v>Предоставление субсидий бюджетным, автономным учреждениям и иным некоммерческим организациям</v>
      </c>
      <c r="B758" s="120"/>
      <c r="C758" s="121"/>
      <c r="D758" s="110"/>
      <c r="E758" s="109"/>
      <c r="F758" s="111">
        <v>600</v>
      </c>
      <c r="G758" s="268">
        <v>900000</v>
      </c>
      <c r="H758" s="330">
        <f>50000</f>
        <v>50000</v>
      </c>
      <c r="I758" s="268">
        <f>G758+H758</f>
        <v>950000</v>
      </c>
    </row>
    <row r="759" spans="1:9" s="130" customFormat="1" ht="31.5" x14ac:dyDescent="0.25">
      <c r="A759" s="779" t="str">
        <f>IF(B759&gt;0,VLOOKUP(B759,КВСР!A232:B1397,2),IF(C759&gt;0,VLOOKUP(C759,КФСР!A232:B1744,2),IF(D759&gt;0,VLOOKUP(D759,Программа!A$1:B$5124,2),IF(F759&gt;0,VLOOKUP(F759,КВР!A$1:B$5001,2),IF(E759&gt;0,VLOOKUP(E759,Направление!A$1:B$4812,2))))))</f>
        <v>Обеспечение деятельности учреждений спорта</v>
      </c>
      <c r="B759" s="120"/>
      <c r="C759" s="121"/>
      <c r="D759" s="110"/>
      <c r="E759" s="109">
        <v>14020</v>
      </c>
      <c r="F759" s="111"/>
      <c r="G759" s="286">
        <v>41285908</v>
      </c>
      <c r="H759" s="275">
        <f>H760</f>
        <v>1161926.46</v>
      </c>
      <c r="I759" s="275">
        <f>I760</f>
        <v>42447834.460000001</v>
      </c>
    </row>
    <row r="760" spans="1:9" s="130" customFormat="1" ht="47.25" x14ac:dyDescent="0.25">
      <c r="A760" s="779" t="str">
        <f>IF(B760&gt;0,VLOOKUP(B760,КВСР!A233:B1398,2),IF(C760&gt;0,VLOOKUP(C760,КФСР!A233:B1745,2),IF(D760&gt;0,VLOOKUP(D760,Программа!A$1:B$5124,2),IF(F760&gt;0,VLOOKUP(F760,КВР!A$1:B$5001,2),IF(E760&gt;0,VLOOKUP(E760,Направление!A$1:B$4812,2))))))</f>
        <v>Предоставление субсидий бюджетным, автономным учреждениям и иным некоммерческим организациям</v>
      </c>
      <c r="B760" s="120"/>
      <c r="C760" s="121"/>
      <c r="D760" s="110"/>
      <c r="E760" s="109"/>
      <c r="F760" s="111">
        <v>600</v>
      </c>
      <c r="G760" s="268">
        <v>41285908</v>
      </c>
      <c r="H760" s="330">
        <f>159146+702780.46+300000</f>
        <v>1161926.46</v>
      </c>
      <c r="I760" s="117">
        <f t="shared" ref="I760:I841" si="169">SUM(G760:H760)</f>
        <v>42447834.460000001</v>
      </c>
    </row>
    <row r="761" spans="1:9" s="130" customFormat="1" ht="31.5" x14ac:dyDescent="0.25">
      <c r="A761" s="779" t="str">
        <f>IF(B761&gt;0,VLOOKUP(B761,КВСР!A234:B1399,2),IF(C761&gt;0,VLOOKUP(C761,КФСР!A234:B1746,2),IF(D761&gt;0,VLOOKUP(D761,Программа!A$1:B$5124,2),IF(F761&gt;0,VLOOKUP(F761,КВР!A$1:B$5001,2),IF(E761&gt;0,VLOOKUP(E761,Направление!A$1:B$4812,2))))))</f>
        <v>Мероприятия в области спорта и физической культуры</v>
      </c>
      <c r="B761" s="120"/>
      <c r="C761" s="121"/>
      <c r="D761" s="110"/>
      <c r="E761" s="109">
        <v>29226</v>
      </c>
      <c r="F761" s="111"/>
      <c r="G761" s="268">
        <v>350000</v>
      </c>
      <c r="H761" s="330">
        <f t="shared" ref="H761:I761" si="170">H762</f>
        <v>0</v>
      </c>
      <c r="I761" s="268">
        <f t="shared" si="170"/>
        <v>350000</v>
      </c>
    </row>
    <row r="762" spans="1:9" s="130" customFormat="1" ht="47.25" x14ac:dyDescent="0.25">
      <c r="A762" s="779" t="str">
        <f>IF(B762&gt;0,VLOOKUP(B762,КВСР!A235:B1400,2),IF(C762&gt;0,VLOOKUP(C762,КФСР!A235:B1747,2),IF(D762&gt;0,VLOOKUP(D762,Программа!A$1:B$5124,2),IF(F762&gt;0,VLOOKUP(F762,КВР!A$1:B$5001,2),IF(E762&gt;0,VLOOKUP(E762,Направление!A$1:B$4812,2))))))</f>
        <v>Предоставление субсидий бюджетным, автономным учреждениям и иным некоммерческим организациям</v>
      </c>
      <c r="B762" s="120"/>
      <c r="C762" s="121"/>
      <c r="D762" s="110"/>
      <c r="E762" s="109"/>
      <c r="F762" s="111">
        <v>600</v>
      </c>
      <c r="G762" s="268">
        <v>350000</v>
      </c>
      <c r="H762" s="330"/>
      <c r="I762" s="117">
        <f>G762+H762</f>
        <v>350000</v>
      </c>
    </row>
    <row r="763" spans="1:9" s="130" customFormat="1" hidden="1" x14ac:dyDescent="0.25">
      <c r="A763" s="779" t="str">
        <f>IF(B763&gt;0,VLOOKUP(B763,КВСР!A234:B1399,2),IF(C763&gt;0,VLOOKUP(C763,КФСР!A234:B1746,2),IF(D763&gt;0,VLOOKUP(D763,Программа!A$1:B$5124,2),IF(F763&gt;0,VLOOKUP(F763,КВР!A$1:B$5001,2),IF(E763&gt;0,VLOOKUP(E763,Направление!A$1:B$4812,2))))))</f>
        <v xml:space="preserve">Иная дотация </v>
      </c>
      <c r="B763" s="120"/>
      <c r="C763" s="121"/>
      <c r="D763" s="110"/>
      <c r="E763" s="109">
        <v>73260</v>
      </c>
      <c r="F763" s="111"/>
      <c r="G763" s="268">
        <v>0</v>
      </c>
      <c r="H763" s="330">
        <f t="shared" ref="H763:I763" si="171">H764</f>
        <v>0</v>
      </c>
      <c r="I763" s="268">
        <f t="shared" si="171"/>
        <v>0</v>
      </c>
    </row>
    <row r="764" spans="1:9" s="130" customFormat="1" ht="47.25" hidden="1" x14ac:dyDescent="0.25">
      <c r="A764" s="779" t="str">
        <f>IF(B764&gt;0,VLOOKUP(B764,КВСР!A235:B1400,2),IF(C764&gt;0,VLOOKUP(C764,КФСР!A235:B1747,2),IF(D764&gt;0,VLOOKUP(D764,Программа!A$1:B$5124,2),IF(F764&gt;0,VLOOKUP(F764,КВР!A$1:B$5001,2),IF(E764&gt;0,VLOOKUP(E764,Направление!A$1:B$4812,2))))))</f>
        <v>Предоставление субсидий бюджетным, автономным учреждениям и иным некоммерческим организациям</v>
      </c>
      <c r="B764" s="120"/>
      <c r="C764" s="121"/>
      <c r="D764" s="110"/>
      <c r="E764" s="109"/>
      <c r="F764" s="111">
        <v>600</v>
      </c>
      <c r="G764" s="268">
        <v>0</v>
      </c>
      <c r="H764" s="330"/>
      <c r="I764" s="117">
        <f>G764+H764</f>
        <v>0</v>
      </c>
    </row>
    <row r="765" spans="1:9" s="130" customFormat="1" ht="47.25" x14ac:dyDescent="0.25">
      <c r="A765" s="779" t="str">
        <f>IF(B765&gt;0,VLOOKUP(B765,КВСР!A234:B1399,2),IF(C765&gt;0,VLOOKUP(C765,КФСР!A234:B1746,2),IF(D765&gt;0,VLOOKUP(D765,Программа!A$1:B$5124,2),IF(F765&gt;0,VLOOKUP(F765,КВР!A$1:B$5001,2),IF(E765&gt;0,VLOOKUP(E765,Направление!A$1:B$4812,2))))))</f>
        <v>Строительство и реконструкция спортивных сооружений и укрепление материальной базы</v>
      </c>
      <c r="B765" s="120"/>
      <c r="C765" s="121"/>
      <c r="D765" s="110" t="s">
        <v>387</v>
      </c>
      <c r="E765" s="109"/>
      <c r="F765" s="111"/>
      <c r="G765" s="268">
        <v>375858</v>
      </c>
      <c r="H765" s="330">
        <f>H766</f>
        <v>0</v>
      </c>
      <c r="I765" s="117">
        <f t="shared" si="169"/>
        <v>375858</v>
      </c>
    </row>
    <row r="766" spans="1:9" s="130" customFormat="1" ht="47.25" x14ac:dyDescent="0.25">
      <c r="A766" s="779" t="str">
        <f>IF(B766&gt;0,VLOOKUP(B766,КВСР!A235:B1400,2),IF(C766&gt;0,VLOOKUP(C766,КФСР!A235:B1747,2),IF(D766&gt;0,VLOOKUP(D766,Программа!A$1:B$5124,2),IF(F766&gt;0,VLOOKUP(F766,КВР!A$1:B$5001,2),IF(E766&gt;0,VLOOKUP(E766,Направление!A$1:B$4812,2))))))</f>
        <v>Мероприятия по строительству, реконструкции и ремонту спортивных объектов</v>
      </c>
      <c r="B766" s="120"/>
      <c r="C766" s="121"/>
      <c r="D766" s="110"/>
      <c r="E766" s="121">
        <v>14100</v>
      </c>
      <c r="F766" s="122"/>
      <c r="G766" s="268">
        <v>375858</v>
      </c>
      <c r="H766" s="330">
        <f>H767</f>
        <v>0</v>
      </c>
      <c r="I766" s="117">
        <f t="shared" si="169"/>
        <v>375858</v>
      </c>
    </row>
    <row r="767" spans="1:9" s="130" customFormat="1" ht="47.25" x14ac:dyDescent="0.25">
      <c r="A767" s="779" t="str">
        <f>IF(B767&gt;0,VLOOKUP(B767,КВСР!A236:B1401,2),IF(C767&gt;0,VLOOKUP(C767,КФСР!A236:B1748,2),IF(D767&gt;0,VLOOKUP(D767,Программа!A$1:B$5124,2),IF(F767&gt;0,VLOOKUP(F767,КВР!A$1:B$5001,2),IF(E767&gt;0,VLOOKUP(E767,Направление!A$1:B$4812,2))))))</f>
        <v>Предоставление субсидий бюджетным, автономным учреждениям и иным некоммерческим организациям</v>
      </c>
      <c r="B767" s="120"/>
      <c r="C767" s="121"/>
      <c r="D767" s="110"/>
      <c r="E767" s="121"/>
      <c r="F767" s="122">
        <v>600</v>
      </c>
      <c r="G767" s="268">
        <v>375858</v>
      </c>
      <c r="H767" s="330">
        <v>0</v>
      </c>
      <c r="I767" s="117">
        <f t="shared" si="169"/>
        <v>375858</v>
      </c>
    </row>
    <row r="768" spans="1:9" s="130" customFormat="1" ht="31.5" x14ac:dyDescent="0.25">
      <c r="A768" s="779" t="str">
        <f>IF(B768&gt;0,VLOOKUP(B768,КВСР!A237:B1402,2),IF(C768&gt;0,VLOOKUP(C768,КФСР!A237:B1749,2),IF(D768&gt;0,VLOOKUP(D768,Программа!A$1:B$5124,2),IF(F768&gt;0,VLOOKUP(F768,КВР!A$1:B$5001,2),IF(E768&gt;0,VLOOKUP(E768,Направление!A$1:B$4812,2))))))</f>
        <v>Развитие сети плоскостных спортивных сооружений</v>
      </c>
      <c r="B768" s="120"/>
      <c r="C768" s="121"/>
      <c r="D768" s="110" t="s">
        <v>422</v>
      </c>
      <c r="E768" s="121"/>
      <c r="F768" s="122"/>
      <c r="G768" s="330">
        <f>G769</f>
        <v>0</v>
      </c>
      <c r="H768" s="330">
        <f>H769</f>
        <v>1753000</v>
      </c>
      <c r="I768" s="330">
        <f>G768+H768</f>
        <v>1753000</v>
      </c>
    </row>
    <row r="769" spans="1:9" s="130" customFormat="1" ht="47.25" x14ac:dyDescent="0.25">
      <c r="A769" s="779" t="str">
        <f>IF(B769&gt;0,VLOOKUP(B769,КВСР!A238:B1403,2),IF(C769&gt;0,VLOOKUP(C769,КФСР!A238:B1750,2),IF(D769&gt;0,VLOOKUP(D769,Программа!A$1:B$5124,2),IF(F769&gt;0,VLOOKUP(F769,КВР!A$1:B$5001,2),IF(E769&gt;0,VLOOKUP(E769,Направление!A$1:B$4812,2))))))</f>
        <v>Мероприятия по строительству, реконструкции и ремонту спортивных объектов</v>
      </c>
      <c r="B769" s="120"/>
      <c r="C769" s="121"/>
      <c r="D769" s="110"/>
      <c r="E769" s="121">
        <v>14100</v>
      </c>
      <c r="F769" s="122"/>
      <c r="G769" s="330">
        <f>G770</f>
        <v>0</v>
      </c>
      <c r="H769" s="330">
        <f>H770</f>
        <v>1753000</v>
      </c>
      <c r="I769" s="330">
        <f t="shared" ref="I769:I770" si="172">G769+H769</f>
        <v>1753000</v>
      </c>
    </row>
    <row r="770" spans="1:9" s="130" customFormat="1" ht="47.25" x14ac:dyDescent="0.25">
      <c r="A770" s="779" t="str">
        <f>IF(B770&gt;0,VLOOKUP(B770,КВСР!A239:B1404,2),IF(C770&gt;0,VLOOKUP(C770,КФСР!A239:B1751,2),IF(D770&gt;0,VLOOKUP(D770,Программа!A$1:B$5124,2),IF(F770&gt;0,VLOOKUP(F770,КВР!A$1:B$5001,2),IF(E770&gt;0,VLOOKUP(E770,Направление!A$1:B$4812,2))))))</f>
        <v>Предоставление субсидий бюджетным, автономным учреждениям и иным некоммерческим организациям</v>
      </c>
      <c r="B770" s="120"/>
      <c r="C770" s="121"/>
      <c r="D770" s="110"/>
      <c r="E770" s="121"/>
      <c r="F770" s="122">
        <v>600</v>
      </c>
      <c r="G770" s="330">
        <f>0</f>
        <v>0</v>
      </c>
      <c r="H770" s="330">
        <f>1753000</f>
        <v>1753000</v>
      </c>
      <c r="I770" s="330">
        <f t="shared" si="172"/>
        <v>1753000</v>
      </c>
    </row>
    <row r="771" spans="1:9" s="130" customFormat="1" ht="78.75" x14ac:dyDescent="0.25">
      <c r="A771" s="779" t="str">
        <f>IF(B771&gt;0,VLOOKUP(B771,КВСР!A237:B1402,2),IF(C771&gt;0,VLOOKUP(C771,КФСР!A237:B1749,2),IF(D771&gt;0,VLOOKUP(D771,Программа!A$1:B$5124,2),IF(F771&gt;0,VLOOKUP(F771,КВР!A$1:B$5001,2),IF(E771&gt;0,VLOOKUP(E771,Направление!A$1:B$4812,2))))))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71" s="120"/>
      <c r="C771" s="121"/>
      <c r="D771" s="110" t="s">
        <v>1764</v>
      </c>
      <c r="E771" s="121"/>
      <c r="F771" s="122"/>
      <c r="G771" s="268">
        <v>650000</v>
      </c>
      <c r="H771" s="268">
        <f t="shared" ref="H771:H773" si="173">H772</f>
        <v>100000</v>
      </c>
      <c r="I771" s="117">
        <f t="shared" si="169"/>
        <v>750000</v>
      </c>
    </row>
    <row r="772" spans="1:9" s="130" customFormat="1" ht="78.75" x14ac:dyDescent="0.25">
      <c r="A772" s="779" t="str">
        <f>IF(B772&gt;0,VLOOKUP(B772,КВСР!A238:B1403,2),IF(C772&gt;0,VLOOKUP(C772,КФСР!A238:B1750,2),IF(D772&gt;0,VLOOKUP(D772,Программа!A$1:B$5124,2),IF(F772&gt;0,VLOOKUP(F772,КВР!A$1:B$5001,2),IF(E772&gt;0,VLOOKUP(E772,Направление!A$1:B$4812,2))))))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72" s="120"/>
      <c r="C772" s="121"/>
      <c r="D772" s="110" t="s">
        <v>1763</v>
      </c>
      <c r="E772" s="121"/>
      <c r="F772" s="122"/>
      <c r="G772" s="268">
        <v>650000</v>
      </c>
      <c r="H772" s="268">
        <f t="shared" si="173"/>
        <v>100000</v>
      </c>
      <c r="I772" s="117">
        <f t="shared" si="169"/>
        <v>750000</v>
      </c>
    </row>
    <row r="773" spans="1:9" s="130" customFormat="1" ht="31.5" x14ac:dyDescent="0.25">
      <c r="A773" s="779" t="str">
        <f>IF(B773&gt;0,VLOOKUP(B773,КВСР!A239:B1404,2),IF(C773&gt;0,VLOOKUP(C773,КФСР!A239:B1751,2),IF(D773&gt;0,VLOOKUP(D773,Программа!A$1:B$5124,2),IF(F773&gt;0,VLOOKUP(F773,КВР!A$1:B$5001,2),IF(E773&gt;0,VLOOKUP(E773,Направление!A$1:B$4812,2))))))</f>
        <v>Мероприятия в области спорта и физической культуры</v>
      </c>
      <c r="B773" s="120"/>
      <c r="C773" s="121"/>
      <c r="D773" s="110"/>
      <c r="E773" s="121">
        <v>14010</v>
      </c>
      <c r="F773" s="122"/>
      <c r="G773" s="268">
        <v>650000</v>
      </c>
      <c r="H773" s="268">
        <f t="shared" si="173"/>
        <v>100000</v>
      </c>
      <c r="I773" s="117">
        <f t="shared" si="169"/>
        <v>750000</v>
      </c>
    </row>
    <row r="774" spans="1:9" s="130" customFormat="1" ht="47.25" x14ac:dyDescent="0.25">
      <c r="A774" s="779" t="str">
        <f>IF(B774&gt;0,VLOOKUP(B774,КВСР!A240:B1405,2),IF(C774&gt;0,VLOOKUP(C774,КФСР!A240:B1752,2),IF(D774&gt;0,VLOOKUP(D774,Программа!A$1:B$5124,2),IF(F774&gt;0,VLOOKUP(F774,КВР!A$1:B$5001,2),IF(E774&gt;0,VLOOKUP(E774,Направление!A$1:B$4812,2))))))</f>
        <v>Предоставление субсидий бюджетным, автономным учреждениям и иным некоммерческим организациям</v>
      </c>
      <c r="B774" s="120"/>
      <c r="C774" s="121"/>
      <c r="D774" s="110"/>
      <c r="E774" s="121"/>
      <c r="F774" s="122">
        <v>600</v>
      </c>
      <c r="G774" s="268">
        <v>650000</v>
      </c>
      <c r="H774" s="330">
        <v>100000</v>
      </c>
      <c r="I774" s="117">
        <f t="shared" si="169"/>
        <v>750000</v>
      </c>
    </row>
    <row r="775" spans="1:9" s="130" customFormat="1" ht="47.25" hidden="1" x14ac:dyDescent="0.25">
      <c r="A775" s="779" t="str">
        <f>IF(B775&gt;0,VLOOKUP(B775,КВСР!A237:B1402,2),IF(C775&gt;0,VLOOKUP(C775,КФСР!A237:B1749,2),IF(D775&gt;0,VLOOKUP(D775,Программа!A$1:B$5124,2),IF(F775&gt;0,VLOOKUP(F775,КВР!A$1:B$5001,2),IF(E775&gt;0,VLOOKUP(E775,Направление!A$1:B$4812,2))))))</f>
        <v>Муниципальная программа "Социальная поддержка населения Тутаевского муниципального района"</v>
      </c>
      <c r="B775" s="120"/>
      <c r="C775" s="121"/>
      <c r="D775" s="110" t="s">
        <v>376</v>
      </c>
      <c r="E775" s="121"/>
      <c r="F775" s="122"/>
      <c r="G775" s="268">
        <v>0</v>
      </c>
      <c r="H775" s="330">
        <f t="shared" ref="H775:I775" si="174">H776</f>
        <v>0</v>
      </c>
      <c r="I775" s="280">
        <f t="shared" si="174"/>
        <v>0</v>
      </c>
    </row>
    <row r="776" spans="1:9" s="130" customFormat="1" ht="47.25" hidden="1" x14ac:dyDescent="0.25">
      <c r="A776" s="779" t="str">
        <f>IF(B776&gt;0,VLOOKUP(B776,КВСР!A238:B1403,2),IF(C776&gt;0,VLOOKUP(C776,КФСР!A238:B1750,2),IF(D776&gt;0,VLOOKUP(D776,Программа!A$1:B$5124,2),IF(F776&gt;0,VLOOKUP(F776,КВР!A$1:B$5001,2),IF(E776&gt;0,VLOOKUP(E776,Направление!A$1:B$4812,2))))))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776" s="120"/>
      <c r="C776" s="121"/>
      <c r="D776" s="110" t="s">
        <v>378</v>
      </c>
      <c r="E776" s="121"/>
      <c r="F776" s="122"/>
      <c r="G776" s="268">
        <v>0</v>
      </c>
      <c r="H776" s="330">
        <f t="shared" ref="H776:I776" si="175">H777</f>
        <v>0</v>
      </c>
      <c r="I776" s="280">
        <f t="shared" si="175"/>
        <v>0</v>
      </c>
    </row>
    <row r="777" spans="1:9" s="130" customFormat="1" ht="63" hidden="1" x14ac:dyDescent="0.25">
      <c r="A777" s="779" t="str">
        <f>IF(B777&gt;0,VLOOKUP(B777,КВСР!A239:B1404,2),IF(C777&gt;0,VLOOKUP(C777,КФСР!A239:B1751,2),IF(D777&gt;0,VLOOKUP(D777,Программа!A$1:B$5124,2),IF(F777&gt;0,VLOOKUP(F777,КВР!A$1:B$5001,2),IF(E777&gt;0,VLOOKUP(E777,Направление!A$1:B$4812,2))))))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77" s="120"/>
      <c r="C777" s="121"/>
      <c r="D777" s="110" t="s">
        <v>379</v>
      </c>
      <c r="E777" s="121"/>
      <c r="F777" s="122"/>
      <c r="G777" s="268">
        <v>0</v>
      </c>
      <c r="H777" s="330">
        <f t="shared" ref="H777:I777" si="176">H778</f>
        <v>0</v>
      </c>
      <c r="I777" s="280">
        <f t="shared" si="176"/>
        <v>0</v>
      </c>
    </row>
    <row r="778" spans="1:9" s="130" customFormat="1" ht="31.5" hidden="1" x14ac:dyDescent="0.25">
      <c r="A778" s="779" t="str">
        <f>IF(B778&gt;0,VLOOKUP(B778,КВСР!A240:B1405,2),IF(C778&gt;0,VLOOKUP(C778,КФСР!A240:B1752,2),IF(D778&gt;0,VLOOKUP(D778,Программа!A$1:B$5124,2),IF(F778&gt;0,VLOOKUP(F778,КВР!A$1:B$5001,2),IF(E778&gt;0,VLOOKUP(E778,Направление!A$1:B$4812,2))))))</f>
        <v>Расходы на реализацию мероприятий по улучшению условий и охраны труда</v>
      </c>
      <c r="B778" s="120"/>
      <c r="C778" s="121"/>
      <c r="D778" s="110"/>
      <c r="E778" s="121">
        <v>16150</v>
      </c>
      <c r="F778" s="122"/>
      <c r="G778" s="268">
        <v>0</v>
      </c>
      <c r="H778" s="330">
        <f t="shared" ref="H778:I778" si="177">H779</f>
        <v>0</v>
      </c>
      <c r="I778" s="280">
        <f t="shared" si="177"/>
        <v>0</v>
      </c>
    </row>
    <row r="779" spans="1:9" s="130" customFormat="1" ht="47.25" hidden="1" x14ac:dyDescent="0.25">
      <c r="A779" s="779" t="str">
        <f>IF(B779&gt;0,VLOOKUP(B779,КВСР!A241:B1406,2),IF(C779&gt;0,VLOOKUP(C779,КФСР!A241:B1753,2),IF(D779&gt;0,VLOOKUP(D779,Программа!A$1:B$5124,2),IF(F779&gt;0,VLOOKUP(F779,КВР!A$1:B$5001,2),IF(E779&gt;0,VLOOKUP(E779,Направление!A$1:B$4812,2))))))</f>
        <v>Предоставление субсидий бюджетным, автономным учреждениям и иным некоммерческим организациям</v>
      </c>
      <c r="B779" s="120"/>
      <c r="C779" s="121"/>
      <c r="D779" s="110"/>
      <c r="E779" s="121"/>
      <c r="F779" s="122">
        <v>600</v>
      </c>
      <c r="G779" s="268">
        <v>0</v>
      </c>
      <c r="H779" s="330"/>
      <c r="I779" s="117">
        <f>G779+H779</f>
        <v>0</v>
      </c>
    </row>
    <row r="780" spans="1:9" s="130" customFormat="1" ht="31.5" x14ac:dyDescent="0.25">
      <c r="A780" s="778" t="str">
        <f>IF(B780&gt;0,VLOOKUP(B780,КВСР!A236:B1401,2),IF(C780&gt;0,VLOOKUP(C780,КФСР!A236:B1748,2),IF(D780&gt;0,VLOOKUP(D780,Программа!A$1:B$5124,2),IF(F780&gt;0,VLOOKUP(F780,КВР!A$1:B$5001,2),IF(E780&gt;0,VLOOKUP(E780,Направление!A$1:B$4812,2))))))</f>
        <v>Департамент труда и соц. развития Администрации ТМР</v>
      </c>
      <c r="B780" s="108">
        <v>954</v>
      </c>
      <c r="C780" s="109"/>
      <c r="D780" s="110"/>
      <c r="E780" s="109"/>
      <c r="F780" s="111"/>
      <c r="G780" s="368">
        <v>594026090</v>
      </c>
      <c r="H780" s="329">
        <f>H781+H791+H800+H863+H898</f>
        <v>-17905618</v>
      </c>
      <c r="I780" s="329">
        <f>I781+I791+I800+I863+I898</f>
        <v>576120472</v>
      </c>
    </row>
    <row r="781" spans="1:9" s="130" customFormat="1" x14ac:dyDescent="0.25">
      <c r="A781" s="779" t="str">
        <f>IF(B781&gt;0,VLOOKUP(B781,КВСР!A241:B1406,2),IF(C781&gt;0,VLOOKUP(C781,КФСР!A241:B1753,2),IF(D781&gt;0,VLOOKUP(D781,Программа!A$1:B$5124,2),IF(F781&gt;0,VLOOKUP(F781,КВР!A$1:B$5001,2),IF(E781&gt;0,VLOOKUP(E781,Направление!A$1:B$4812,2))))))</f>
        <v>Пенсионное обеспечение</v>
      </c>
      <c r="B781" s="114"/>
      <c r="C781" s="109">
        <v>1001</v>
      </c>
      <c r="D781" s="110"/>
      <c r="E781" s="109"/>
      <c r="F781" s="111"/>
      <c r="G781" s="268">
        <v>6451000</v>
      </c>
      <c r="H781" s="330">
        <f>H782</f>
        <v>-474152</v>
      </c>
      <c r="I781" s="330">
        <f>I782</f>
        <v>5976848</v>
      </c>
    </row>
    <row r="782" spans="1:9" s="130" customFormat="1" ht="47.25" x14ac:dyDescent="0.25">
      <c r="A782" s="779" t="str">
        <f>IF(B782&gt;0,VLOOKUP(B782,КВСР!A242:B1407,2),IF(C782&gt;0,VLOOKUP(C782,КФСР!A242:B1754,2),IF(D782&gt;0,VLOOKUP(D782,Программа!A$1:B$5124,2),IF(F782&gt;0,VLOOKUP(F782,КВР!A$1:B$5001,2),IF(E782&gt;0,VLOOKUP(E782,Направление!A$1:B$4812,2))))))</f>
        <v>Муниципальная программа "Социальная поддержка населения Тутаевского муниципального района"</v>
      </c>
      <c r="B782" s="114"/>
      <c r="C782" s="109"/>
      <c r="D782" s="123" t="s">
        <v>376</v>
      </c>
      <c r="E782" s="121"/>
      <c r="F782" s="111"/>
      <c r="G782" s="268">
        <v>6451000</v>
      </c>
      <c r="H782" s="330">
        <f>H784</f>
        <v>-474152</v>
      </c>
      <c r="I782" s="330">
        <f>I784</f>
        <v>5976848</v>
      </c>
    </row>
    <row r="783" spans="1:9" s="130" customFormat="1" ht="47.25" x14ac:dyDescent="0.25">
      <c r="A783" s="779" t="str">
        <f>IF(B783&gt;0,VLOOKUP(B783,КВСР!A243:B1408,2),IF(C783&gt;0,VLOOKUP(C783,КФСР!A243:B1755,2),IF(D783&gt;0,VLOOKUP(D783,Программа!A$1:B$5124,2),IF(F783&gt;0,VLOOKUP(F783,КВР!A$1:B$5001,2),IF(E783&gt;0,VLOOKUP(E783,Направление!A$1:B$4812,2))))))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783" s="114"/>
      <c r="C783" s="109"/>
      <c r="D783" s="123" t="s">
        <v>446</v>
      </c>
      <c r="E783" s="121"/>
      <c r="F783" s="111"/>
      <c r="G783" s="268">
        <v>6451000</v>
      </c>
      <c r="H783" s="330">
        <f>H784</f>
        <v>-474152</v>
      </c>
      <c r="I783" s="330">
        <f>I784</f>
        <v>5976848</v>
      </c>
    </row>
    <row r="784" spans="1:9" s="130" customFormat="1" ht="47.25" x14ac:dyDescent="0.25">
      <c r="A784" s="779" t="str">
        <f>IF(B784&gt;0,VLOOKUP(B784,КВСР!A244:B1409,2),IF(C784&gt;0,VLOOKUP(C784,КФСР!A244:B1756,2),IF(D784&gt;0,VLOOKUP(D784,Программа!A$1:B$5124,2),IF(F784&gt;0,VLOOKUP(F784,КВР!A$1:B$5001,2),IF(E784&gt;0,VLOOKUP(E784,Направление!A$1:B$4812,2))))))</f>
        <v>Исполнение публичных обязательств по предоставлению выплат, пособий и компенсаций</v>
      </c>
      <c r="B784" s="114"/>
      <c r="C784" s="109"/>
      <c r="D784" s="123" t="s">
        <v>448</v>
      </c>
      <c r="E784" s="121"/>
      <c r="F784" s="111"/>
      <c r="G784" s="268">
        <v>6451000</v>
      </c>
      <c r="H784" s="330">
        <f t="shared" ref="H784" si="178">H785+H788</f>
        <v>-474152</v>
      </c>
      <c r="I784" s="330">
        <f t="shared" ref="I784" si="179">I785+I788</f>
        <v>5976848</v>
      </c>
    </row>
    <row r="785" spans="1:9" s="130" customFormat="1" ht="31.5" x14ac:dyDescent="0.25">
      <c r="A785" s="779" t="str">
        <f>IF(B785&gt;0,VLOOKUP(B785,КВСР!A245:B1410,2),IF(C785&gt;0,VLOOKUP(C785,КФСР!A245:B1757,2),IF(D785&gt;0,VLOOKUP(D785,Программа!A$1:B$5124,2),IF(F785&gt;0,VLOOKUP(F785,КВР!A$1:B$5001,2),IF(E785&gt;0,VLOOKUP(E785,Направление!A$1:B$4812,2))))))</f>
        <v>Доплаты к пенсиям муниципальных служащих</v>
      </c>
      <c r="B785" s="114"/>
      <c r="C785" s="109"/>
      <c r="D785" s="110"/>
      <c r="E785" s="109">
        <v>16010</v>
      </c>
      <c r="F785" s="111"/>
      <c r="G785" s="268">
        <v>5800000</v>
      </c>
      <c r="H785" s="330">
        <f>H787+H786</f>
        <v>-410274</v>
      </c>
      <c r="I785" s="330">
        <f>I787+I786</f>
        <v>5389726</v>
      </c>
    </row>
    <row r="786" spans="1:9" s="130" customFormat="1" ht="63" x14ac:dyDescent="0.25">
      <c r="A786" s="779" t="str">
        <f>IF(B786&gt;0,VLOOKUP(B786,КВСР!A244:B1409,2),IF(C786&gt;0,VLOOKUP(C786,КФСР!A244:B1756,2),IF(D786&gt;0,VLOOKUP(D786,Программа!A$1:B$5124,2),IF(F786&gt;0,VLOOKUP(F786,КВР!A$1:B$5001,2),IF(E786&gt;0,VLOOKUP(E786,Направление!A$1:B$4812,2))))))</f>
        <v xml:space="preserve">Закупка товаров, работ и услуг для обеспечения государственных (муниципальных) нужд
</v>
      </c>
      <c r="B786" s="114"/>
      <c r="C786" s="109"/>
      <c r="D786" s="111"/>
      <c r="E786" s="109"/>
      <c r="F786" s="111">
        <v>200</v>
      </c>
      <c r="G786" s="268">
        <v>74560</v>
      </c>
      <c r="H786" s="330">
        <v>-7000</v>
      </c>
      <c r="I786" s="117">
        <f t="shared" si="169"/>
        <v>67560</v>
      </c>
    </row>
    <row r="787" spans="1:9" s="130" customFormat="1" ht="31.5" x14ac:dyDescent="0.25">
      <c r="A787" s="779" t="str">
        <f>IF(B787&gt;0,VLOOKUP(B787,КВСР!A244:B1409,2),IF(C787&gt;0,VLOOKUP(C787,КФСР!A244:B1756,2),IF(D787&gt;0,VLOOKUP(D787,Программа!A$1:B$5124,2),IF(F787&gt;0,VLOOKUP(F787,КВР!A$1:B$5001,2),IF(E787&gt;0,VLOOKUP(E787,Направление!A$1:B$4812,2))))))</f>
        <v>Социальное обеспечение и иные выплаты населению</v>
      </c>
      <c r="B787" s="114"/>
      <c r="C787" s="109"/>
      <c r="D787" s="111"/>
      <c r="E787" s="109"/>
      <c r="F787" s="111">
        <v>300</v>
      </c>
      <c r="G787" s="286">
        <v>5725440</v>
      </c>
      <c r="H787" s="275">
        <f>-290000-113274</f>
        <v>-403274</v>
      </c>
      <c r="I787" s="117">
        <f t="shared" si="169"/>
        <v>5322166</v>
      </c>
    </row>
    <row r="788" spans="1:9" s="130" customFormat="1" ht="31.5" x14ac:dyDescent="0.25">
      <c r="A788" s="779" t="str">
        <f>IF(B788&gt;0,VLOOKUP(B788,КВСР!A245:B1410,2),IF(C788&gt;0,VLOOKUP(C788,КФСР!A245:B1757,2),IF(D788&gt;0,VLOOKUP(D788,Программа!A$1:B$5124,2),IF(F788&gt;0,VLOOKUP(F788,КВР!A$1:B$5001,2),IF(E788&gt;0,VLOOKUP(E788,Направление!A$1:B$4812,2))))))</f>
        <v>Доплаты к пенсиям муниципальным служащим поселений</v>
      </c>
      <c r="B788" s="114"/>
      <c r="C788" s="109"/>
      <c r="D788" s="111"/>
      <c r="E788" s="109">
        <v>29756</v>
      </c>
      <c r="F788" s="111"/>
      <c r="G788" s="286">
        <v>651000</v>
      </c>
      <c r="H788" s="275">
        <f t="shared" ref="H788:I788" si="180">H789+H790</f>
        <v>-63878</v>
      </c>
      <c r="I788" s="286">
        <f t="shared" si="180"/>
        <v>587122</v>
      </c>
    </row>
    <row r="789" spans="1:9" s="130" customFormat="1" ht="63" x14ac:dyDescent="0.25">
      <c r="A789" s="779" t="str">
        <f>IF(B789&gt;0,VLOOKUP(B789,КВСР!A246:B1411,2),IF(C789&gt;0,VLOOKUP(C789,КФСР!A246:B1758,2),IF(D789&gt;0,VLOOKUP(D789,Программа!A$1:B$5124,2),IF(F789&gt;0,VLOOKUP(F789,КВР!A$1:B$5001,2),IF(E789&gt;0,VLOOKUP(E789,Направление!A$1:B$4812,2))))))</f>
        <v xml:space="preserve">Закупка товаров, работ и услуг для обеспечения государственных (муниципальных) нужд
</v>
      </c>
      <c r="B789" s="114"/>
      <c r="C789" s="109"/>
      <c r="D789" s="111"/>
      <c r="E789" s="109"/>
      <c r="F789" s="111">
        <v>200</v>
      </c>
      <c r="G789" s="286">
        <v>9000</v>
      </c>
      <c r="H789" s="275">
        <v>-1466</v>
      </c>
      <c r="I789" s="117">
        <f>G789+H789</f>
        <v>7534</v>
      </c>
    </row>
    <row r="790" spans="1:9" s="130" customFormat="1" ht="31.5" x14ac:dyDescent="0.25">
      <c r="A790" s="779" t="str">
        <f>IF(B790&gt;0,VLOOKUP(B790,КВСР!A247:B1412,2),IF(C790&gt;0,VLOOKUP(C790,КФСР!A247:B1759,2),IF(D790&gt;0,VLOOKUP(D790,Программа!A$1:B$5124,2),IF(F790&gt;0,VLOOKUP(F790,КВР!A$1:B$5001,2),IF(E790&gt;0,VLOOKUP(E790,Направление!A$1:B$4812,2))))))</f>
        <v>Социальное обеспечение и иные выплаты населению</v>
      </c>
      <c r="B790" s="114"/>
      <c r="C790" s="109"/>
      <c r="D790" s="111"/>
      <c r="E790" s="109"/>
      <c r="F790" s="111">
        <v>300</v>
      </c>
      <c r="G790" s="286">
        <v>642000</v>
      </c>
      <c r="H790" s="275">
        <v>-62412</v>
      </c>
      <c r="I790" s="117">
        <f>G790+H790</f>
        <v>579588</v>
      </c>
    </row>
    <row r="791" spans="1:9" s="130" customFormat="1" x14ac:dyDescent="0.25">
      <c r="A791" s="779" t="str">
        <f>IF(B791&gt;0,VLOOKUP(B791,КВСР!A245:B1410,2),IF(C791&gt;0,VLOOKUP(C791,КФСР!A245:B1757,2),IF(D791&gt;0,VLOOKUP(D791,Программа!A$1:B$5124,2),IF(F791&gt;0,VLOOKUP(F791,КВР!A$1:B$5001,2),IF(E791&gt;0,VLOOKUP(E791,Направление!A$1:B$4812,2))))))</f>
        <v>Социальное обслуживание населения</v>
      </c>
      <c r="B791" s="114"/>
      <c r="C791" s="109">
        <v>1002</v>
      </c>
      <c r="D791" s="110"/>
      <c r="E791" s="109"/>
      <c r="F791" s="111"/>
      <c r="G791" s="268">
        <v>84397443</v>
      </c>
      <c r="H791" s="330">
        <f>H792</f>
        <v>0</v>
      </c>
      <c r="I791" s="330">
        <f>I792</f>
        <v>84397443</v>
      </c>
    </row>
    <row r="792" spans="1:9" s="130" customFormat="1" ht="47.25" x14ac:dyDescent="0.25">
      <c r="A792" s="779" t="str">
        <f>IF(B792&gt;0,VLOOKUP(B792,КВСР!A246:B1411,2),IF(C792&gt;0,VLOOKUP(C792,КФСР!A246:B1758,2),IF(D792&gt;0,VLOOKUP(D792,Программа!A$1:B$5124,2),IF(F792&gt;0,VLOOKUP(F792,КВР!A$1:B$5001,2),IF(E792&gt;0,VLOOKUP(E792,Направление!A$1:B$4812,2))))))</f>
        <v>Муниципальная программа "Социальная поддержка населения Тутаевского муниципального района"</v>
      </c>
      <c r="B792" s="114"/>
      <c r="C792" s="109"/>
      <c r="D792" s="110" t="s">
        <v>376</v>
      </c>
      <c r="E792" s="109"/>
      <c r="F792" s="111"/>
      <c r="G792" s="268">
        <v>84397443</v>
      </c>
      <c r="H792" s="330">
        <f t="shared" ref="H792:I792" si="181">H793</f>
        <v>0</v>
      </c>
      <c r="I792" s="268">
        <f t="shared" si="181"/>
        <v>84397443</v>
      </c>
    </row>
    <row r="793" spans="1:9" s="130" customFormat="1" ht="47.25" x14ac:dyDescent="0.25">
      <c r="A793" s="779" t="str">
        <f>IF(B793&gt;0,VLOOKUP(B793,КВСР!A247:B1412,2),IF(C793&gt;0,VLOOKUP(C793,КФСР!A247:B1759,2),IF(D793&gt;0,VLOOKUP(D793,Программа!A$1:B$5124,2),IF(F793&gt;0,VLOOKUP(F793,КВР!A$1:B$5001,2),IF(E793&gt;0,VLOOKUP(E793,Направление!A$1:B$4812,2))))))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793" s="114"/>
      <c r="C793" s="109"/>
      <c r="D793" s="110" t="s">
        <v>446</v>
      </c>
      <c r="E793" s="109"/>
      <c r="F793" s="111"/>
      <c r="G793" s="268">
        <v>84397443</v>
      </c>
      <c r="H793" s="330">
        <f t="shared" ref="H793:I793" si="182">H794+H797</f>
        <v>0</v>
      </c>
      <c r="I793" s="268">
        <f t="shared" si="182"/>
        <v>84397443</v>
      </c>
    </row>
    <row r="794" spans="1:9" s="130" customFormat="1" ht="63" x14ac:dyDescent="0.25">
      <c r="A794" s="779" t="str">
        <f>IF(B794&gt;0,VLOOKUP(B794,КВСР!A248:B1413,2),IF(C794&gt;0,VLOOKUP(C794,КФСР!A248:B1760,2),IF(D794&gt;0,VLOOKUP(D794,Программа!A$1:B$5124,2),IF(F794&gt;0,VLOOKUP(F794,КВР!A$1:B$5001,2),IF(E794&gt;0,VLOOKUP(E794,Направление!A$1:B$4812,2))))))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94" s="114"/>
      <c r="C794" s="109"/>
      <c r="D794" s="110" t="s">
        <v>451</v>
      </c>
      <c r="E794" s="109"/>
      <c r="F794" s="111"/>
      <c r="G794" s="268">
        <v>84397443</v>
      </c>
      <c r="H794" s="330">
        <f t="shared" ref="H794:I795" si="183">H795</f>
        <v>0</v>
      </c>
      <c r="I794" s="330">
        <f t="shared" si="183"/>
        <v>84397443</v>
      </c>
    </row>
    <row r="795" spans="1:9" s="130" customFormat="1" ht="141.75" x14ac:dyDescent="0.25">
      <c r="A795" s="779" t="str">
        <f>IF(B795&gt;0,VLOOKUP(B795,КВСР!A248:B1413,2),IF(C795&gt;0,VLOOKUP(C795,КФСР!A248:B1760,2),IF(D795&gt;0,VLOOKUP(D795,Программа!A$1:B$5124,2),IF(F795&gt;0,VLOOKUP(F795,КВР!A$1:B$5001,2),IF(E795&gt;0,VLOOKUP(E795,Направление!A$1:B$4812,2))))))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95" s="114"/>
      <c r="C795" s="109"/>
      <c r="D795" s="110"/>
      <c r="E795" s="109">
        <v>70850</v>
      </c>
      <c r="F795" s="111"/>
      <c r="G795" s="286">
        <v>84397443</v>
      </c>
      <c r="H795" s="275">
        <f t="shared" si="183"/>
        <v>0</v>
      </c>
      <c r="I795" s="275">
        <f t="shared" si="183"/>
        <v>84397443</v>
      </c>
    </row>
    <row r="796" spans="1:9" s="130" customFormat="1" ht="47.25" x14ac:dyDescent="0.25">
      <c r="A796" s="779" t="str">
        <f>IF(B796&gt;0,VLOOKUP(B796,КВСР!A249:B1414,2),IF(C796&gt;0,VLOOKUP(C796,КФСР!A249:B1761,2),IF(D796&gt;0,VLOOKUP(D796,Программа!A$1:B$5124,2),IF(F796&gt;0,VLOOKUP(F796,КВР!A$1:B$5001,2),IF(E796&gt;0,VLOOKUP(E796,Направление!A$1:B$4812,2))))))</f>
        <v>Предоставление субсидий бюджетным, автономным учреждениям и иным некоммерческим организациям</v>
      </c>
      <c r="B796" s="114"/>
      <c r="C796" s="109"/>
      <c r="D796" s="111"/>
      <c r="E796" s="109"/>
      <c r="F796" s="111">
        <v>600</v>
      </c>
      <c r="G796" s="286">
        <v>84397443</v>
      </c>
      <c r="H796" s="275"/>
      <c r="I796" s="117">
        <f t="shared" si="169"/>
        <v>84397443</v>
      </c>
    </row>
    <row r="797" spans="1:9" s="130" customFormat="1" ht="31.5" hidden="1" x14ac:dyDescent="0.25">
      <c r="A797" s="779" t="str">
        <f>IF(B797&gt;0,VLOOKUP(B797,КВСР!A250:B1415,2),IF(C797&gt;0,VLOOKUP(C797,КФСР!A250:B1762,2),IF(D797&gt;0,VLOOKUP(D797,Программа!A$1:B$5124,2),IF(F797&gt;0,VLOOKUP(F797,КВР!A$1:B$5001,2),IF(E797&gt;0,VLOOKUP(E797,Направление!A$1:B$4812,2))))))</f>
        <v>Федеральный проект "Старшее поколение"</v>
      </c>
      <c r="B797" s="114"/>
      <c r="C797" s="109"/>
      <c r="D797" s="111" t="s">
        <v>1324</v>
      </c>
      <c r="E797" s="109"/>
      <c r="F797" s="111"/>
      <c r="G797" s="286">
        <v>0</v>
      </c>
      <c r="H797" s="275">
        <f t="shared" ref="H797:I798" si="184">H798</f>
        <v>0</v>
      </c>
      <c r="I797" s="286">
        <f t="shared" si="184"/>
        <v>0</v>
      </c>
    </row>
    <row r="798" spans="1:9" s="130" customFormat="1" ht="63" hidden="1" x14ac:dyDescent="0.25">
      <c r="A798" s="779" t="str">
        <f>IF(B798&gt;0,VLOOKUP(B798,КВСР!A251:B1416,2),IF(C798&gt;0,VLOOKUP(C798,КФСР!A251:B1763,2),IF(D798&gt;0,VLOOKUP(D798,Программа!A$1:B$5124,2),IF(F798&gt;0,VLOOKUP(F798,КВР!A$1:B$5001,2),IF(E798&gt;0,VLOOKUP(E798,Направление!A$1:B$4812,2))))))</f>
        <v>Расходы на приобретение автотранспорта в рамках реализации федерального проекта  "Старшее поколение"</v>
      </c>
      <c r="B798" s="114"/>
      <c r="C798" s="109"/>
      <c r="D798" s="111"/>
      <c r="E798" s="109">
        <v>52930</v>
      </c>
      <c r="F798" s="111"/>
      <c r="G798" s="286">
        <v>0</v>
      </c>
      <c r="H798" s="275">
        <f t="shared" si="184"/>
        <v>0</v>
      </c>
      <c r="I798" s="286">
        <f t="shared" si="184"/>
        <v>0</v>
      </c>
    </row>
    <row r="799" spans="1:9" s="130" customFormat="1" ht="47.25" hidden="1" x14ac:dyDescent="0.25">
      <c r="A799" s="779" t="str">
        <f>IF(B799&gt;0,VLOOKUP(B799,КВСР!A252:B1417,2),IF(C799&gt;0,VLOOKUP(C799,КФСР!A252:B1764,2),IF(D799&gt;0,VLOOKUP(D799,Программа!A$1:B$5124,2),IF(F799&gt;0,VLOOKUP(F799,КВР!A$1:B$5001,2),IF(E799&gt;0,VLOOKUP(E799,Направление!A$1:B$4812,2))))))</f>
        <v>Предоставление субсидий бюджетным, автономным учреждениям и иным некоммерческим организациям</v>
      </c>
      <c r="B799" s="114"/>
      <c r="C799" s="109"/>
      <c r="D799" s="111"/>
      <c r="E799" s="109"/>
      <c r="F799" s="111">
        <v>600</v>
      </c>
      <c r="G799" s="286">
        <v>0</v>
      </c>
      <c r="H799" s="275"/>
      <c r="I799" s="117">
        <f>G799+H799</f>
        <v>0</v>
      </c>
    </row>
    <row r="800" spans="1:9" s="130" customFormat="1" x14ac:dyDescent="0.25">
      <c r="A800" s="779" t="str">
        <f>IF(B800&gt;0,VLOOKUP(B800,КВСР!A250:B1415,2),IF(C800&gt;0,VLOOKUP(C800,КФСР!A250:B1762,2),IF(D800&gt;0,VLOOKUP(D800,Программа!A$1:B$5124,2),IF(F800&gt;0,VLOOKUP(F800,КВР!A$1:B$5001,2),IF(E800&gt;0,VLOOKUP(E800,Направление!A$1:B$4812,2))))))</f>
        <v>Социальное обеспечение населения</v>
      </c>
      <c r="B800" s="114"/>
      <c r="C800" s="109">
        <v>1003</v>
      </c>
      <c r="D800" s="110"/>
      <c r="E800" s="109"/>
      <c r="F800" s="111"/>
      <c r="G800" s="268">
        <v>229183020</v>
      </c>
      <c r="H800" s="330">
        <f>H801+H858</f>
        <v>-8544740</v>
      </c>
      <c r="I800" s="330">
        <f>I801+I858</f>
        <v>220638280</v>
      </c>
    </row>
    <row r="801" spans="1:9" s="130" customFormat="1" ht="47.25" x14ac:dyDescent="0.25">
      <c r="A801" s="779" t="str">
        <f>IF(B801&gt;0,VLOOKUP(B801,КВСР!A251:B1416,2),IF(C801&gt;0,VLOOKUP(C801,КФСР!A251:B1763,2),IF(D801&gt;0,VLOOKUP(D801,Программа!A$1:B$5124,2),IF(F801&gt;0,VLOOKUP(F801,КВР!A$1:B$5001,2),IF(E801&gt;0,VLOOKUP(E801,Направление!A$1:B$4812,2))))))</f>
        <v>Муниципальная программа "Социальная поддержка населения Тутаевского муниципального района"</v>
      </c>
      <c r="B801" s="114"/>
      <c r="C801" s="109"/>
      <c r="D801" s="110" t="s">
        <v>376</v>
      </c>
      <c r="E801" s="109"/>
      <c r="F801" s="111"/>
      <c r="G801" s="330">
        <v>229073530</v>
      </c>
      <c r="H801" s="330">
        <f t="shared" ref="H801:I801" si="185">H802</f>
        <v>-8574740</v>
      </c>
      <c r="I801" s="330">
        <f t="shared" si="185"/>
        <v>220498790</v>
      </c>
    </row>
    <row r="802" spans="1:9" s="130" customFormat="1" ht="47.25" x14ac:dyDescent="0.25">
      <c r="A802" s="779" t="str">
        <f>IF(B802&gt;0,VLOOKUP(B802,КВСР!A251:B1416,2),IF(C802&gt;0,VLOOKUP(C802,КФСР!A251:B1763,2),IF(D802&gt;0,VLOOKUP(D802,Программа!A$1:B$5124,2),IF(F802&gt;0,VLOOKUP(F802,КВР!A$1:B$5001,2),IF(E802&gt;0,VLOOKUP(E802,Направление!A$1:B$4812,2))))))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802" s="114"/>
      <c r="C802" s="109"/>
      <c r="D802" s="110" t="s">
        <v>446</v>
      </c>
      <c r="E802" s="109"/>
      <c r="F802" s="111"/>
      <c r="G802" s="330">
        <v>229073530</v>
      </c>
      <c r="H802" s="330">
        <f t="shared" ref="H802:I802" si="186">H803+H846</f>
        <v>-8574740</v>
      </c>
      <c r="I802" s="330">
        <f t="shared" si="186"/>
        <v>220498790</v>
      </c>
    </row>
    <row r="803" spans="1:9" s="130" customFormat="1" ht="47.25" x14ac:dyDescent="0.25">
      <c r="A803" s="779" t="str">
        <f>IF(B803&gt;0,VLOOKUP(B803,КВСР!A252:B1417,2),IF(C803&gt;0,VLOOKUP(C803,КФСР!A252:B1764,2),IF(D803&gt;0,VLOOKUP(D803,Программа!A$1:B$5124,2),IF(F803&gt;0,VLOOKUP(F803,КВР!A$1:B$5001,2),IF(E803&gt;0,VLOOKUP(E803,Направление!A$1:B$4812,2))))))</f>
        <v>Исполнение публичных обязательств по предоставлению выплат, пособий и компенсаций</v>
      </c>
      <c r="B803" s="114"/>
      <c r="C803" s="109"/>
      <c r="D803" s="110" t="s">
        <v>448</v>
      </c>
      <c r="E803" s="109"/>
      <c r="F803" s="111"/>
      <c r="G803" s="268">
        <v>207234081</v>
      </c>
      <c r="H803" s="330">
        <f>H804+H807+H810+H812+H815+H817+H819+H822+H825+H828+H831+H839+H842+H844+H834+H836</f>
        <v>-7505890</v>
      </c>
      <c r="I803" s="330">
        <f t="shared" ref="I803" si="187">I804+I807+I810+I812+I815+I817+I819+I822+I825+I828+I831+I839+I842+I844+I834+I836</f>
        <v>199728191</v>
      </c>
    </row>
    <row r="804" spans="1:9" s="130" customFormat="1" ht="47.25" hidden="1" x14ac:dyDescent="0.25">
      <c r="A804" s="779" t="str">
        <f>IF(B804&gt;0,VLOOKUP(B804,КВСР!A254:B1419,2),IF(C804&gt;0,VLOOKUP(C804,КФСР!A254:B1766,2),IF(D804&gt;0,VLOOKUP(D804,Программа!A$1:B$5124,2),IF(F804&gt;0,VLOOKUP(F804,КВР!A$1:B$5001,2),IF(E804&gt;0,VLOOKUP(E804,Направление!A$1:B$4812,2))))))</f>
        <v>Субвенция на социальную поддержку граждан, подвергшихся воздействию радиации</v>
      </c>
      <c r="B804" s="114"/>
      <c r="C804" s="109"/>
      <c r="D804" s="110"/>
      <c r="E804" s="109">
        <v>51370</v>
      </c>
      <c r="F804" s="111"/>
      <c r="G804" s="268">
        <v>0</v>
      </c>
      <c r="H804" s="330">
        <f>H805+H806</f>
        <v>0</v>
      </c>
      <c r="I804" s="330">
        <f>I805+I806</f>
        <v>0</v>
      </c>
    </row>
    <row r="805" spans="1:9" s="130" customFormat="1" ht="63" hidden="1" x14ac:dyDescent="0.25">
      <c r="A805" s="779" t="str">
        <f>IF(B805&gt;0,VLOOKUP(B805,КВСР!A255:B1420,2),IF(C805&gt;0,VLOOKUP(C805,КФСР!A255:B1767,2),IF(D805&gt;0,VLOOKUP(D805,Программа!A$1:B$5124,2),IF(F805&gt;0,VLOOKUP(F805,КВР!A$1:B$5001,2),IF(E805&gt;0,VLOOKUP(E805,Направление!A$1:B$4812,2))))))</f>
        <v xml:space="preserve">Закупка товаров, работ и услуг для обеспечения государственных (муниципальных) нужд
</v>
      </c>
      <c r="B805" s="114"/>
      <c r="C805" s="109"/>
      <c r="D805" s="111"/>
      <c r="E805" s="131"/>
      <c r="F805" s="111">
        <v>200</v>
      </c>
      <c r="G805" s="268">
        <v>0</v>
      </c>
      <c r="H805" s="330"/>
      <c r="I805" s="117">
        <f t="shared" si="169"/>
        <v>0</v>
      </c>
    </row>
    <row r="806" spans="1:9" s="130" customFormat="1" ht="31.5" hidden="1" x14ac:dyDescent="0.25">
      <c r="A806" s="779" t="str">
        <f>IF(B806&gt;0,VLOOKUP(B806,КВСР!A256:B1421,2),IF(C806&gt;0,VLOOKUP(C806,КФСР!A256:B1768,2),IF(D806&gt;0,VLOOKUP(D806,Программа!A$1:B$5124,2),IF(F806&gt;0,VLOOKUP(F806,КВР!A$1:B$5001,2),IF(E806&gt;0,VLOOKUP(E806,Направление!A$1:B$4812,2))))))</f>
        <v>Социальное обеспечение и иные выплаты населению</v>
      </c>
      <c r="B806" s="114"/>
      <c r="C806" s="109"/>
      <c r="D806" s="111"/>
      <c r="E806" s="131"/>
      <c r="F806" s="111">
        <v>300</v>
      </c>
      <c r="G806" s="268">
        <v>0</v>
      </c>
      <c r="H806" s="330"/>
      <c r="I806" s="117">
        <f t="shared" si="169"/>
        <v>0</v>
      </c>
    </row>
    <row r="807" spans="1:9" s="130" customFormat="1" ht="110.25" x14ac:dyDescent="0.25">
      <c r="A807" s="779" t="str">
        <f>IF(B807&gt;0,VLOOKUP(B807,КВСР!A252:B1417,2),IF(C807&gt;0,VLOOKUP(C807,КФСР!A252:B1764,2),IF(D807&gt;0,VLOOKUP(D807,Программа!A$1:B$5124,2),IF(F807&gt;0,VLOOKUP(F807,КВР!A$1:B$5001,2),IF(E807&gt;0,VLOOKUP(E807,Направление!A$1:B$4812,2))))))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07" s="114"/>
      <c r="C807" s="109"/>
      <c r="D807" s="110"/>
      <c r="E807" s="109">
        <v>52200</v>
      </c>
      <c r="F807" s="111"/>
      <c r="G807" s="268">
        <v>6425042</v>
      </c>
      <c r="H807" s="330">
        <f>H808+H809</f>
        <v>94110</v>
      </c>
      <c r="I807" s="330">
        <f>I808+I809</f>
        <v>6519152</v>
      </c>
    </row>
    <row r="808" spans="1:9" s="130" customFormat="1" ht="63" x14ac:dyDescent="0.25">
      <c r="A808" s="779" t="str">
        <f>IF(B808&gt;0,VLOOKUP(B808,КВСР!A253:B1418,2),IF(C808&gt;0,VLOOKUP(C808,КФСР!A253:B1765,2),IF(D808&gt;0,VLOOKUP(D808,Программа!A$1:B$5124,2),IF(F808&gt;0,VLOOKUP(F808,КВР!A$1:B$5001,2),IF(E808&gt;0,VLOOKUP(E808,Направление!A$1:B$4812,2))))))</f>
        <v xml:space="preserve">Закупка товаров, работ и услуг для обеспечения государственных (муниципальных) нужд
</v>
      </c>
      <c r="B808" s="114"/>
      <c r="C808" s="109"/>
      <c r="D808" s="111"/>
      <c r="E808" s="131"/>
      <c r="F808" s="111">
        <v>200</v>
      </c>
      <c r="G808" s="268">
        <v>79483</v>
      </c>
      <c r="H808" s="330">
        <f>1225.68</f>
        <v>1225.68</v>
      </c>
      <c r="I808" s="117">
        <f t="shared" si="169"/>
        <v>80708.679999999993</v>
      </c>
    </row>
    <row r="809" spans="1:9" s="130" customFormat="1" ht="31.5" x14ac:dyDescent="0.25">
      <c r="A809" s="779" t="str">
        <f>IF(B809&gt;0,VLOOKUP(B809,КВСР!A254:B1419,2),IF(C809&gt;0,VLOOKUP(C809,КФСР!A254:B1766,2),IF(D809&gt;0,VLOOKUP(D809,Программа!A$1:B$5124,2),IF(F809&gt;0,VLOOKUP(F809,КВР!A$1:B$5001,2),IF(E809&gt;0,VLOOKUP(E809,Направление!A$1:B$4812,2))))))</f>
        <v>Социальное обеспечение и иные выплаты населению</v>
      </c>
      <c r="B809" s="114"/>
      <c r="C809" s="109"/>
      <c r="D809" s="111"/>
      <c r="E809" s="131"/>
      <c r="F809" s="111">
        <v>300</v>
      </c>
      <c r="G809" s="268">
        <v>6345559</v>
      </c>
      <c r="H809" s="330">
        <v>92884.32</v>
      </c>
      <c r="I809" s="117">
        <f t="shared" si="169"/>
        <v>6438443.3200000003</v>
      </c>
    </row>
    <row r="810" spans="1:9" s="130" customFormat="1" ht="78.75" hidden="1" x14ac:dyDescent="0.25">
      <c r="A810" s="779" t="str">
        <f>IF(B810&gt;0,VLOOKUP(B810,КВСР!A255:B1420,2),IF(C810&gt;0,VLOOKUP(C810,КФСР!A255:B1767,2),IF(D810&gt;0,VLOOKUP(D810,Программа!A$1:B$5124,2),IF(F810&gt;0,VLOOKUP(F810,КВР!A$1:B$5001,2),IF(E810&gt;0,VLOOKUP(E810,Направление!A$1:B$4812,2))))))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10" s="114"/>
      <c r="C810" s="109"/>
      <c r="D810" s="110"/>
      <c r="E810" s="109">
        <v>52400</v>
      </c>
      <c r="F810" s="111"/>
      <c r="G810" s="268">
        <v>0</v>
      </c>
      <c r="H810" s="330">
        <f>H811</f>
        <v>0</v>
      </c>
      <c r="I810" s="330">
        <f>I811</f>
        <v>0</v>
      </c>
    </row>
    <row r="811" spans="1:9" s="130" customFormat="1" ht="31.5" hidden="1" x14ac:dyDescent="0.25">
      <c r="A811" s="779" t="str">
        <f>IF(B811&gt;0,VLOOKUP(B811,КВСР!A256:B1421,2),IF(C811&gt;0,VLOOKUP(C811,КФСР!A256:B1768,2),IF(D811&gt;0,VLOOKUP(D811,Программа!A$1:B$5124,2),IF(F811&gt;0,VLOOKUP(F811,КВР!A$1:B$5001,2),IF(E811&gt;0,VLOOKUP(E811,Направление!A$1:B$4812,2))))))</f>
        <v>Социальное обеспечение и иные выплаты населению</v>
      </c>
      <c r="B811" s="114"/>
      <c r="C811" s="109"/>
      <c r="D811" s="111"/>
      <c r="E811" s="131"/>
      <c r="F811" s="111">
        <v>300</v>
      </c>
      <c r="G811" s="268">
        <v>0</v>
      </c>
      <c r="H811" s="330"/>
      <c r="I811" s="117">
        <f t="shared" si="169"/>
        <v>0</v>
      </c>
    </row>
    <row r="812" spans="1:9" s="130" customFormat="1" ht="47.25" x14ac:dyDescent="0.25">
      <c r="A812" s="779" t="str">
        <f>IF(B812&gt;0,VLOOKUP(B812,КВСР!A252:B1417,2),IF(C812&gt;0,VLOOKUP(C812,КФСР!A252:B1764,2),IF(D812&gt;0,VLOOKUP(D812,Программа!A$1:B$5124,2),IF(F812&gt;0,VLOOKUP(F812,КВР!A$1:B$5001,2),IF(E812&gt;0,VLOOKUP(E812,Направление!A$1:B$4812,2))))))</f>
        <v>Оплата жилищно-коммунальных услуг отдельным категориям граждан за счет средств федерального бюджета</v>
      </c>
      <c r="B812" s="114"/>
      <c r="C812" s="109"/>
      <c r="D812" s="110"/>
      <c r="E812" s="109">
        <v>52500</v>
      </c>
      <c r="F812" s="111"/>
      <c r="G812" s="268">
        <v>40985534</v>
      </c>
      <c r="H812" s="330">
        <f>H814+H813</f>
        <v>-7000000</v>
      </c>
      <c r="I812" s="330">
        <f>I814+I813</f>
        <v>33985534</v>
      </c>
    </row>
    <row r="813" spans="1:9" s="130" customFormat="1" ht="63" x14ac:dyDescent="0.25">
      <c r="A813" s="779" t="str">
        <f>IF(B813&gt;0,VLOOKUP(B813,КВСР!A252:B1417,2),IF(C813&gt;0,VLOOKUP(C813,КФСР!A252:B1764,2),IF(D813&gt;0,VLOOKUP(D813,Программа!A$1:B$5124,2),IF(F813&gt;0,VLOOKUP(F813,КВР!A$1:B$5001,2),IF(E813&gt;0,VLOOKUP(E813,Направление!A$1:B$4812,2))))))</f>
        <v xml:space="preserve">Закупка товаров, работ и услуг для обеспечения государственных (муниципальных) нужд
</v>
      </c>
      <c r="B813" s="114"/>
      <c r="C813" s="109"/>
      <c r="D813" s="111"/>
      <c r="E813" s="131"/>
      <c r="F813" s="111">
        <v>200</v>
      </c>
      <c r="G813" s="268">
        <v>549200</v>
      </c>
      <c r="H813" s="330"/>
      <c r="I813" s="117">
        <f t="shared" si="169"/>
        <v>549200</v>
      </c>
    </row>
    <row r="814" spans="1:9" s="130" customFormat="1" ht="31.5" x14ac:dyDescent="0.25">
      <c r="A814" s="779" t="str">
        <f>IF(B814&gt;0,VLOOKUP(B814,КВСР!A253:B1418,2),IF(C814&gt;0,VLOOKUP(C814,КФСР!A253:B1765,2),IF(D814&gt;0,VLOOKUP(D814,Программа!A$1:B$5124,2),IF(F814&gt;0,VLOOKUP(F814,КВР!A$1:B$5001,2),IF(E814&gt;0,VLOOKUP(E814,Направление!A$1:B$4812,2))))))</f>
        <v>Социальное обеспечение и иные выплаты населению</v>
      </c>
      <c r="B814" s="114"/>
      <c r="C814" s="109"/>
      <c r="D814" s="111"/>
      <c r="E814" s="131"/>
      <c r="F814" s="111">
        <v>300</v>
      </c>
      <c r="G814" s="286">
        <v>40436334</v>
      </c>
      <c r="H814" s="275">
        <v>-7000000</v>
      </c>
      <c r="I814" s="117">
        <f t="shared" si="169"/>
        <v>33436334</v>
      </c>
    </row>
    <row r="815" spans="1:9" s="130" customFormat="1" ht="63" hidden="1" x14ac:dyDescent="0.25">
      <c r="A815" s="779" t="str">
        <f>IF(B815&gt;0,VLOOKUP(B815,КВСР!A254:B1419,2),IF(C815&gt;0,VLOOKUP(C815,КФСР!A254:B1766,2),IF(D815&gt;0,VLOOKUP(D815,Программа!A$1:B$5124,2),IF(F815&gt;0,VLOOKUP(F815,КВР!A$1:B$5001,2),IF(E815&gt;0,VLOOKUP(E815,Направление!A$1:B$4812,2))))))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15" s="114"/>
      <c r="C815" s="109"/>
      <c r="D815" s="110"/>
      <c r="E815" s="109">
        <v>54620</v>
      </c>
      <c r="F815" s="111"/>
      <c r="G815" s="286">
        <v>0</v>
      </c>
      <c r="H815" s="275">
        <f>H816</f>
        <v>0</v>
      </c>
      <c r="I815" s="117">
        <f t="shared" si="169"/>
        <v>0</v>
      </c>
    </row>
    <row r="816" spans="1:9" s="130" customFormat="1" ht="31.5" hidden="1" x14ac:dyDescent="0.25">
      <c r="A816" s="779" t="str">
        <f>IF(B816&gt;0,VLOOKUP(B816,КВСР!A255:B1420,2),IF(C816&gt;0,VLOOKUP(C816,КФСР!A255:B1767,2),IF(D816&gt;0,VLOOKUP(D816,Программа!A$1:B$5124,2),IF(F816&gt;0,VLOOKUP(F816,КВР!A$1:B$5001,2),IF(E816&gt;0,VLOOKUP(E816,Направление!A$1:B$4812,2))))))</f>
        <v>Социальное обеспечение и иные выплаты населению</v>
      </c>
      <c r="B816" s="114"/>
      <c r="C816" s="109"/>
      <c r="D816" s="111"/>
      <c r="E816" s="131"/>
      <c r="F816" s="111">
        <v>300</v>
      </c>
      <c r="G816" s="286">
        <v>0</v>
      </c>
      <c r="H816" s="275"/>
      <c r="I816" s="117">
        <f t="shared" si="169"/>
        <v>0</v>
      </c>
    </row>
    <row r="817" spans="1:9" s="130" customFormat="1" ht="94.5" hidden="1" x14ac:dyDescent="0.25">
      <c r="A817" s="779" t="str">
        <f>IF(B817&gt;0,VLOOKUP(B817,КВСР!A256:B1421,2),IF(C817&gt;0,VLOOKUP(C817,КФСР!A256:B1768,2),IF(D817&gt;0,VLOOKUP(D817,Программа!A$1:B$5124,2),IF(F817&gt;0,VLOOKUP(F817,КВР!A$1:B$5001,2),IF(E817&gt;0,VLOOKUP(E817,Направление!A$1:B$4812,2))))))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17" s="114"/>
      <c r="C817" s="109"/>
      <c r="D817" s="110"/>
      <c r="E817" s="109">
        <v>53850</v>
      </c>
      <c r="F817" s="111"/>
      <c r="G817" s="286">
        <v>0</v>
      </c>
      <c r="H817" s="275">
        <f>H818</f>
        <v>0</v>
      </c>
      <c r="I817" s="117">
        <f t="shared" si="169"/>
        <v>0</v>
      </c>
    </row>
    <row r="818" spans="1:9" s="130" customFormat="1" ht="31.5" hidden="1" x14ac:dyDescent="0.25">
      <c r="A818" s="779" t="str">
        <f>IF(B818&gt;0,VLOOKUP(B818,КВСР!A257:B1422,2),IF(C818&gt;0,VLOOKUP(C818,КФСР!A257:B1769,2),IF(D818&gt;0,VLOOKUP(D818,Программа!A$1:B$5124,2),IF(F818&gt;0,VLOOKUP(F818,КВР!A$1:B$5001,2),IF(E818&gt;0,VLOOKUP(E818,Направление!A$1:B$4812,2))))))</f>
        <v>Социальное обеспечение и иные выплаты населению</v>
      </c>
      <c r="B818" s="114"/>
      <c r="C818" s="109"/>
      <c r="D818" s="111"/>
      <c r="E818" s="131"/>
      <c r="F818" s="111">
        <v>300</v>
      </c>
      <c r="G818" s="286">
        <v>0</v>
      </c>
      <c r="H818" s="275"/>
      <c r="I818" s="117">
        <f t="shared" si="169"/>
        <v>0</v>
      </c>
    </row>
    <row r="819" spans="1:9" s="130" customFormat="1" ht="63" x14ac:dyDescent="0.25">
      <c r="A819" s="779" t="str">
        <f>IF(B819&gt;0,VLOOKUP(B819,КВСР!A258:B1423,2),IF(C819&gt;0,VLOOKUP(C819,КФСР!A258:B1770,2),IF(D819&gt;0,VLOOKUP(D819,Программа!A$1:B$5124,2),IF(F819&gt;0,VLOOKUP(F819,КВР!A$1:B$5001,2),IF(E819&gt;0,VLOOKUP(E819,Направление!A$1:B$4812,2))))))</f>
        <v>Предоставление гражданам субсидий на оплату жилого помещения и коммунальных услуг за счет средств областного бюджета</v>
      </c>
      <c r="B819" s="114"/>
      <c r="C819" s="109"/>
      <c r="D819" s="110"/>
      <c r="E819" s="109">
        <v>70740</v>
      </c>
      <c r="F819" s="111"/>
      <c r="G819" s="286">
        <v>28658000</v>
      </c>
      <c r="H819" s="275">
        <f>SUM(H820:H821)</f>
        <v>0</v>
      </c>
      <c r="I819" s="275">
        <f>SUM(I820:I821)</f>
        <v>28658000</v>
      </c>
    </row>
    <row r="820" spans="1:9" s="130" customFormat="1" ht="63" x14ac:dyDescent="0.25">
      <c r="A820" s="779" t="str">
        <f>IF(B820&gt;0,VLOOKUP(B820,КВСР!A258:B1423,2),IF(C820&gt;0,VLOOKUP(C820,КФСР!A258:B1770,2),IF(D820&gt;0,VLOOKUP(D820,Программа!A$1:B$5124,2),IF(F820&gt;0,VLOOKUP(F820,КВР!A$1:B$5001,2),IF(E820&gt;0,VLOOKUP(E820,Направление!A$1:B$4812,2))))))</f>
        <v xml:space="preserve">Закупка товаров, работ и услуг для обеспечения государственных (муниципальных) нужд
</v>
      </c>
      <c r="B820" s="114"/>
      <c r="C820" s="109"/>
      <c r="D820" s="111"/>
      <c r="E820" s="131"/>
      <c r="F820" s="111">
        <v>200</v>
      </c>
      <c r="G820" s="286">
        <v>403600</v>
      </c>
      <c r="H820" s="275"/>
      <c r="I820" s="117">
        <f t="shared" si="169"/>
        <v>403600</v>
      </c>
    </row>
    <row r="821" spans="1:9" s="130" customFormat="1" ht="31.5" x14ac:dyDescent="0.25">
      <c r="A821" s="779" t="str">
        <f>IF(B821&gt;0,VLOOKUP(B821,КВСР!A259:B1424,2),IF(C821&gt;0,VLOOKUP(C821,КФСР!A259:B1771,2),IF(D821&gt;0,VLOOKUP(D821,Программа!A$1:B$5124,2),IF(F821&gt;0,VLOOKUP(F821,КВР!A$1:B$5001,2),IF(E821&gt;0,VLOOKUP(E821,Направление!A$1:B$4812,2))))))</f>
        <v>Социальное обеспечение и иные выплаты населению</v>
      </c>
      <c r="B821" s="114"/>
      <c r="C821" s="109"/>
      <c r="D821" s="111"/>
      <c r="E821" s="131"/>
      <c r="F821" s="111">
        <v>300</v>
      </c>
      <c r="G821" s="286">
        <v>28254400</v>
      </c>
      <c r="H821" s="275"/>
      <c r="I821" s="117">
        <f t="shared" si="169"/>
        <v>28254400</v>
      </c>
    </row>
    <row r="822" spans="1:9" s="130" customFormat="1" ht="78.75" x14ac:dyDescent="0.25">
      <c r="A822" s="779" t="str">
        <f>IF(B822&gt;0,VLOOKUP(B822,КВСР!A260:B1425,2),IF(C822&gt;0,VLOOKUP(C822,КФСР!A260:B1772,2),IF(D822&gt;0,VLOOKUP(D822,Программа!A$1:B$5124,2),IF(F822&gt;0,VLOOKUP(F822,КВР!A$1:B$5001,2),IF(E822&gt;0,VLOOKUP(E822,Направление!A$1:B$4812,2))))))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22" s="114"/>
      <c r="C822" s="109"/>
      <c r="D822" s="110"/>
      <c r="E822" s="109">
        <v>70750</v>
      </c>
      <c r="F822" s="111"/>
      <c r="G822" s="286">
        <v>38653000</v>
      </c>
      <c r="H822" s="275">
        <f>H823+H824</f>
        <v>-600000</v>
      </c>
      <c r="I822" s="275">
        <f>I823+I824</f>
        <v>38053000</v>
      </c>
    </row>
    <row r="823" spans="1:9" s="130" customFormat="1" ht="63" x14ac:dyDescent="0.25">
      <c r="A823" s="779" t="str">
        <f>IF(B823&gt;0,VLOOKUP(B823,КВСР!A261:B1426,2),IF(C823&gt;0,VLOOKUP(C823,КФСР!A261:B1773,2),IF(D823&gt;0,VLOOKUP(D823,Программа!A$1:B$5124,2),IF(F823&gt;0,VLOOKUP(F823,КВР!A$1:B$5001,2),IF(E823&gt;0,VLOOKUP(E823,Направление!A$1:B$4812,2))))))</f>
        <v xml:space="preserve">Закупка товаров, работ и услуг для обеспечения государственных (муниципальных) нужд
</v>
      </c>
      <c r="B823" s="114"/>
      <c r="C823" s="109"/>
      <c r="D823" s="111"/>
      <c r="E823" s="131"/>
      <c r="F823" s="111">
        <v>200</v>
      </c>
      <c r="G823" s="286">
        <v>587800</v>
      </c>
      <c r="H823" s="275"/>
      <c r="I823" s="117">
        <f t="shared" si="169"/>
        <v>587800</v>
      </c>
    </row>
    <row r="824" spans="1:9" s="130" customFormat="1" ht="31.5" x14ac:dyDescent="0.25">
      <c r="A824" s="779" t="str">
        <f>IF(B824&gt;0,VLOOKUP(B824,КВСР!A261:B1426,2),IF(C824&gt;0,VLOOKUP(C824,КФСР!A261:B1773,2),IF(D824&gt;0,VLOOKUP(D824,Программа!A$1:B$5124,2),IF(F824&gt;0,VLOOKUP(F824,КВР!A$1:B$5001,2),IF(E824&gt;0,VLOOKUP(E824,Направление!A$1:B$4812,2))))))</f>
        <v>Социальное обеспечение и иные выплаты населению</v>
      </c>
      <c r="B824" s="114"/>
      <c r="C824" s="109"/>
      <c r="D824" s="111"/>
      <c r="E824" s="131"/>
      <c r="F824" s="111">
        <v>300</v>
      </c>
      <c r="G824" s="286">
        <v>38065200</v>
      </c>
      <c r="H824" s="275">
        <v>-600000</v>
      </c>
      <c r="I824" s="117">
        <f t="shared" si="169"/>
        <v>37465200</v>
      </c>
    </row>
    <row r="825" spans="1:9" s="130" customFormat="1" ht="110.25" x14ac:dyDescent="0.25">
      <c r="A825" s="779" t="str">
        <f>IF(B825&gt;0,VLOOKUP(B825,КВСР!A254:B1419,2),IF(C825&gt;0,VLOOKUP(C825,КФСР!A254:B1766,2),IF(D825&gt;0,VLOOKUP(D825,Программа!A$1:B$5124,2),IF(F825&gt;0,VLOOKUP(F825,КВР!A$1:B$5001,2),IF(E825&gt;0,VLOOKUP(E825,Направление!A$1:B$4812,2))))))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25" s="114"/>
      <c r="C825" s="109"/>
      <c r="D825" s="110"/>
      <c r="E825" s="109">
        <v>70840</v>
      </c>
      <c r="F825" s="111"/>
      <c r="G825" s="268">
        <v>68101000</v>
      </c>
      <c r="H825" s="330">
        <f>H827+H826</f>
        <v>0</v>
      </c>
      <c r="I825" s="330">
        <f>I827+I826</f>
        <v>68101000</v>
      </c>
    </row>
    <row r="826" spans="1:9" s="130" customFormat="1" ht="63" x14ac:dyDescent="0.25">
      <c r="A826" s="779" t="str">
        <f>IF(B826&gt;0,VLOOKUP(B826,КВСР!A254:B1419,2),IF(C826&gt;0,VLOOKUP(C826,КФСР!A254:B1766,2),IF(D826&gt;0,VLOOKUP(D826,Программа!A$1:B$5124,2),IF(F826&gt;0,VLOOKUP(F826,КВР!A$1:B$5001,2),IF(E826&gt;0,VLOOKUP(E826,Направление!A$1:B$4812,2))))))</f>
        <v xml:space="preserve">Закупка товаров, работ и услуг для обеспечения государственных (муниципальных) нужд
</v>
      </c>
      <c r="B826" s="114"/>
      <c r="C826" s="109"/>
      <c r="D826" s="111"/>
      <c r="E826" s="131"/>
      <c r="F826" s="111">
        <v>200</v>
      </c>
      <c r="G826" s="268">
        <v>1028000</v>
      </c>
      <c r="H826" s="330"/>
      <c r="I826" s="117">
        <f t="shared" si="169"/>
        <v>1028000</v>
      </c>
    </row>
    <row r="827" spans="1:9" s="130" customFormat="1" ht="31.5" x14ac:dyDescent="0.25">
      <c r="A827" s="779" t="str">
        <f>IF(B827&gt;0,VLOOKUP(B827,КВСР!A255:B1420,2),IF(C827&gt;0,VLOOKUP(C827,КФСР!A255:B1767,2),IF(D827&gt;0,VLOOKUP(D827,Программа!A$1:B$5124,2),IF(F827&gt;0,VLOOKUP(F827,КВР!A$1:B$5001,2),IF(E827&gt;0,VLOOKUP(E827,Направление!A$1:B$4812,2))))))</f>
        <v>Социальное обеспечение и иные выплаты населению</v>
      </c>
      <c r="B827" s="114"/>
      <c r="C827" s="109"/>
      <c r="D827" s="111"/>
      <c r="E827" s="131"/>
      <c r="F827" s="111">
        <v>300</v>
      </c>
      <c r="G827" s="268">
        <v>67073000</v>
      </c>
      <c r="H827" s="330"/>
      <c r="I827" s="117">
        <f t="shared" si="169"/>
        <v>67073000</v>
      </c>
    </row>
    <row r="828" spans="1:9" s="130" customFormat="1" ht="31.5" x14ac:dyDescent="0.25">
      <c r="A828" s="779" t="str">
        <f>IF(B828&gt;0,VLOOKUP(B828,КВСР!A256:B1421,2),IF(C828&gt;0,VLOOKUP(C828,КФСР!A256:B1768,2),IF(D828&gt;0,VLOOKUP(D828,Программа!A$1:B$5124,2),IF(F828&gt;0,VLOOKUP(F828,КВР!A$1:B$5001,2),IF(E828&gt;0,VLOOKUP(E828,Направление!A$1:B$4812,2))))))</f>
        <v>Денежные выплаты за счет средств областного бюджета</v>
      </c>
      <c r="B828" s="114"/>
      <c r="C828" s="109"/>
      <c r="D828" s="110"/>
      <c r="E828" s="109">
        <v>70860</v>
      </c>
      <c r="F828" s="111"/>
      <c r="G828" s="268">
        <v>20062823</v>
      </c>
      <c r="H828" s="330">
        <f>H829+H830</f>
        <v>0</v>
      </c>
      <c r="I828" s="330">
        <f>I829+I830</f>
        <v>20062823</v>
      </c>
    </row>
    <row r="829" spans="1:9" s="130" customFormat="1" ht="63" x14ac:dyDescent="0.25">
      <c r="A829" s="779" t="str">
        <f>IF(B829&gt;0,VLOOKUP(B829,КВСР!A257:B1422,2),IF(C829&gt;0,VLOOKUP(C829,КФСР!A257:B1769,2),IF(D829&gt;0,VLOOKUP(D829,Программа!A$1:B$5124,2),IF(F829&gt;0,VLOOKUP(F829,КВР!A$1:B$5001,2),IF(E829&gt;0,VLOOKUP(E829,Направление!A$1:B$4812,2))))))</f>
        <v xml:space="preserve">Закупка товаров, работ и услуг для обеспечения государственных (муниципальных) нужд
</v>
      </c>
      <c r="B829" s="114"/>
      <c r="C829" s="109"/>
      <c r="D829" s="111"/>
      <c r="E829" s="131"/>
      <c r="F829" s="111">
        <v>200</v>
      </c>
      <c r="G829" s="268">
        <v>264400</v>
      </c>
      <c r="H829" s="330"/>
      <c r="I829" s="117">
        <f t="shared" si="169"/>
        <v>264400</v>
      </c>
    </row>
    <row r="830" spans="1:9" s="130" customFormat="1" ht="31.5" x14ac:dyDescent="0.25">
      <c r="A830" s="779" t="str">
        <f>IF(B830&gt;0,VLOOKUP(B830,КВСР!A258:B1423,2),IF(C830&gt;0,VLOOKUP(C830,КФСР!A258:B1770,2),IF(D830&gt;0,VLOOKUP(D830,Программа!A$1:B$5124,2),IF(F830&gt;0,VLOOKUP(F830,КВР!A$1:B$5001,2),IF(E830&gt;0,VLOOKUP(E830,Направление!A$1:B$4812,2))))))</f>
        <v>Социальное обеспечение и иные выплаты населению</v>
      </c>
      <c r="B830" s="114"/>
      <c r="C830" s="109"/>
      <c r="D830" s="111"/>
      <c r="E830" s="131"/>
      <c r="F830" s="111">
        <v>300</v>
      </c>
      <c r="G830" s="268">
        <v>19798423</v>
      </c>
      <c r="H830" s="330"/>
      <c r="I830" s="117">
        <f t="shared" si="169"/>
        <v>19798423</v>
      </c>
    </row>
    <row r="831" spans="1:9" s="130" customFormat="1" ht="47.25" hidden="1" x14ac:dyDescent="0.25">
      <c r="A831" s="779" t="str">
        <f>IF(B831&gt;0,VLOOKUP(B831,КВСР!A259:B1424,2),IF(C831&gt;0,VLOOKUP(C831,КФСР!A259:B1771,2),IF(D831&gt;0,VLOOKUP(D831,Программа!A$1:B$5124,2),IF(F831&gt;0,VLOOKUP(F831,КВР!A$1:B$5001,2),IF(E831&gt;0,VLOOKUP(E831,Направление!A$1:B$4812,2))))))</f>
        <v>Оказание социальной помощи отдельным категориям граждан за счет средств областного бюджета</v>
      </c>
      <c r="B831" s="114"/>
      <c r="C831" s="109"/>
      <c r="D831" s="110"/>
      <c r="E831" s="109">
        <v>70890</v>
      </c>
      <c r="F831" s="111"/>
      <c r="G831" s="268">
        <v>0</v>
      </c>
      <c r="H831" s="330">
        <f>H832+H833</f>
        <v>0</v>
      </c>
      <c r="I831" s="117">
        <f t="shared" si="169"/>
        <v>0</v>
      </c>
    </row>
    <row r="832" spans="1:9" s="130" customFormat="1" ht="63" hidden="1" x14ac:dyDescent="0.25">
      <c r="A832" s="779" t="str">
        <f>IF(B832&gt;0,VLOOKUP(B832,КВСР!A260:B1425,2),IF(C832&gt;0,VLOOKUP(C832,КФСР!A260:B1772,2),IF(D832&gt;0,VLOOKUP(D832,Программа!A$1:B$5124,2),IF(F832&gt;0,VLOOKUP(F832,КВР!A$1:B$5001,2),IF(E832&gt;0,VLOOKUP(E832,Направление!A$1:B$4812,2))))))</f>
        <v xml:space="preserve">Закупка товаров, работ и услуг для обеспечения государственных (муниципальных) нужд
</v>
      </c>
      <c r="B832" s="114"/>
      <c r="C832" s="109"/>
      <c r="D832" s="110"/>
      <c r="E832" s="131"/>
      <c r="F832" s="111">
        <v>200</v>
      </c>
      <c r="G832" s="268">
        <v>0</v>
      </c>
      <c r="H832" s="330"/>
      <c r="I832" s="117">
        <f t="shared" si="169"/>
        <v>0</v>
      </c>
    </row>
    <row r="833" spans="1:9" s="130" customFormat="1" ht="31.5" hidden="1" x14ac:dyDescent="0.25">
      <c r="A833" s="779" t="str">
        <f>IF(B833&gt;0,VLOOKUP(B833,КВСР!A261:B1426,2),IF(C833&gt;0,VLOOKUP(C833,КФСР!A261:B1773,2),IF(D833&gt;0,VLOOKUP(D833,Программа!A$1:B$5124,2),IF(F833&gt;0,VLOOKUP(F833,КВР!A$1:B$5001,2),IF(E833&gt;0,VLOOKUP(E833,Направление!A$1:B$4812,2))))))</f>
        <v>Социальное обеспечение и иные выплаты населению</v>
      </c>
      <c r="B833" s="114"/>
      <c r="C833" s="109"/>
      <c r="D833" s="110"/>
      <c r="E833" s="131"/>
      <c r="F833" s="111">
        <v>300</v>
      </c>
      <c r="G833" s="268">
        <v>0</v>
      </c>
      <c r="H833" s="330">
        <v>0</v>
      </c>
      <c r="I833" s="117">
        <f t="shared" si="169"/>
        <v>0</v>
      </c>
    </row>
    <row r="834" spans="1:9" s="130" customFormat="1" ht="78.75" x14ac:dyDescent="0.25">
      <c r="A834" s="779" t="str">
        <f>IF(B834&gt;0,VLOOKUP(B834,КВСР!A262:B1427,2),IF(C834&gt;0,VLOOKUP(C834,КФСР!A262:B1774,2),IF(D834&gt;0,VLOOKUP(D834,Программа!A$1:B$5124,2),IF(F834&gt;0,VLOOKUP(F834,КВР!A$1:B$5001,2),IF(E834&gt;0,VLOOKUP(E834,Направление!A$1:B$4812,2))))))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34" s="114"/>
      <c r="C834" s="109"/>
      <c r="D834" s="110"/>
      <c r="E834" s="367">
        <v>72550</v>
      </c>
      <c r="F834" s="111"/>
      <c r="G834" s="268">
        <v>78435</v>
      </c>
      <c r="H834" s="330">
        <f>H835</f>
        <v>0</v>
      </c>
      <c r="I834" s="330">
        <f>I835</f>
        <v>78435</v>
      </c>
    </row>
    <row r="835" spans="1:9" s="130" customFormat="1" ht="31.5" x14ac:dyDescent="0.25">
      <c r="A835" s="779" t="str">
        <f>IF(B835&gt;0,VLOOKUP(B835,КВСР!A263:B1428,2),IF(C835&gt;0,VLOOKUP(C835,КФСР!A263:B1775,2),IF(D835&gt;0,VLOOKUP(D835,Программа!A$1:B$5124,2),IF(F835&gt;0,VLOOKUP(F835,КВР!A$1:B$5001,2),IF(E835&gt;0,VLOOKUP(E835,Направление!A$1:B$4812,2))))))</f>
        <v>Социальное обеспечение и иные выплаты населению</v>
      </c>
      <c r="B835" s="114"/>
      <c r="C835" s="109"/>
      <c r="D835" s="110"/>
      <c r="E835" s="367"/>
      <c r="F835" s="111">
        <v>300</v>
      </c>
      <c r="G835" s="268">
        <v>78435</v>
      </c>
      <c r="H835" s="330"/>
      <c r="I835" s="117">
        <f t="shared" si="169"/>
        <v>78435</v>
      </c>
    </row>
    <row r="836" spans="1:9" s="130" customFormat="1" ht="78.75" x14ac:dyDescent="0.25">
      <c r="A836" s="779" t="str">
        <f>IF(B836&gt;0,VLOOKUP(B836,КВСР!A264:B1429,2),IF(C836&gt;0,VLOOKUP(C836,КФСР!A264:B1776,2),IF(D836&gt;0,VLOOKUP(D836,Программа!A$1:B$5124,2),IF(F836&gt;0,VLOOKUP(F836,КВР!A$1:B$5001,2),IF(E836&gt;0,VLOOKUP(E836,Направление!A$1:B$4812,2))))))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36" s="114"/>
      <c r="C836" s="109"/>
      <c r="D836" s="110"/>
      <c r="E836" s="367">
        <v>72560</v>
      </c>
      <c r="F836" s="111"/>
      <c r="G836" s="268">
        <v>2478334</v>
      </c>
      <c r="H836" s="330">
        <f>H837+H838</f>
        <v>0</v>
      </c>
      <c r="I836" s="330">
        <f>I837+I838</f>
        <v>2478334</v>
      </c>
    </row>
    <row r="837" spans="1:9" s="130" customFormat="1" ht="31.5" hidden="1" x14ac:dyDescent="0.25">
      <c r="A837" s="779" t="str">
        <f>IF(B837&gt;0,VLOOKUP(B837,КВСР!A265:B1430,2),IF(C837&gt;0,VLOOKUP(C837,КФСР!A265:B1777,2),IF(D837&gt;0,VLOOKUP(D837,Программа!A$1:B$5124,2),IF(F837&gt;0,VLOOKUP(F837,КВР!A$1:B$5001,2),IF(E837&gt;0,VLOOKUP(E837,Направление!A$1:B$4812,2))))))</f>
        <v>Социальное обеспечение и иные выплаты населению</v>
      </c>
      <c r="B837" s="114"/>
      <c r="C837" s="109"/>
      <c r="D837" s="110"/>
      <c r="E837" s="367"/>
      <c r="F837" s="111">
        <v>300</v>
      </c>
      <c r="G837" s="268">
        <v>0</v>
      </c>
      <c r="H837" s="330"/>
      <c r="I837" s="117">
        <f t="shared" si="169"/>
        <v>0</v>
      </c>
    </row>
    <row r="838" spans="1:9" s="130" customFormat="1" ht="31.5" x14ac:dyDescent="0.25">
      <c r="A838" s="779" t="str">
        <f>IF(B838&gt;0,VLOOKUP(B838,КВСР!A265:B1430,2),IF(C838&gt;0,VLOOKUP(C838,КФСР!A265:B1777,2),IF(D838&gt;0,VLOOKUP(D838,Программа!A$1:B$5124,2),IF(F838&gt;0,VLOOKUP(F838,КВР!A$1:B$5001,2),IF(E838&gt;0,VLOOKUP(E838,Направление!A$1:B$4812,2))))))</f>
        <v>Социальное обеспечение и иные выплаты населению</v>
      </c>
      <c r="B838" s="114"/>
      <c r="C838" s="109"/>
      <c r="D838" s="110"/>
      <c r="E838" s="131"/>
      <c r="F838" s="111">
        <v>300</v>
      </c>
      <c r="G838" s="268">
        <v>2478334</v>
      </c>
      <c r="H838" s="330"/>
      <c r="I838" s="117">
        <f t="shared" si="169"/>
        <v>2478334</v>
      </c>
    </row>
    <row r="839" spans="1:9" s="130" customFormat="1" ht="47.25" hidden="1" x14ac:dyDescent="0.25">
      <c r="A839" s="779" t="str">
        <f>IF(B839&gt;0,VLOOKUP(B839,КВСР!A256:B1421,2),IF(C839&gt;0,VLOOKUP(C839,КФСР!A256:B1768,2),IF(D839&gt;0,VLOOKUP(D839,Программа!A$1:B$5124,2),IF(F839&gt;0,VLOOKUP(F839,КВР!A$1:B$5001,2),IF(E839&gt;0,VLOOKUP(E839,Направление!A$1:B$4812,2))))))</f>
        <v>Расходы на социальную поддержку отдельных категорий граждан в части ежемесячного пособия на ребенка</v>
      </c>
      <c r="B839" s="114"/>
      <c r="C839" s="109"/>
      <c r="D839" s="110"/>
      <c r="E839" s="109">
        <v>73040</v>
      </c>
      <c r="F839" s="111"/>
      <c r="G839" s="286">
        <v>0</v>
      </c>
      <c r="H839" s="275">
        <f>H841+H840</f>
        <v>0</v>
      </c>
      <c r="I839" s="117">
        <f t="shared" si="169"/>
        <v>0</v>
      </c>
    </row>
    <row r="840" spans="1:9" s="130" customFormat="1" ht="63" hidden="1" x14ac:dyDescent="0.25">
      <c r="A840" s="779" t="str">
        <f>IF(B840&gt;0,VLOOKUP(B840,КВСР!A257:B1422,2),IF(C840&gt;0,VLOOKUP(C840,КФСР!A257:B1769,2),IF(D840&gt;0,VLOOKUP(D840,Программа!A$1:B$5124,2),IF(F840&gt;0,VLOOKUP(F840,КВР!A$1:B$5001,2),IF(E840&gt;0,VLOOKUP(E840,Направление!A$1:B$4812,2))))))</f>
        <v xml:space="preserve">Закупка товаров, работ и услуг для обеспечения государственных (муниципальных) нужд
</v>
      </c>
      <c r="B840" s="114"/>
      <c r="C840" s="109"/>
      <c r="D840" s="110"/>
      <c r="E840" s="109"/>
      <c r="F840" s="111">
        <v>200</v>
      </c>
      <c r="G840" s="286">
        <v>0</v>
      </c>
      <c r="H840" s="275"/>
      <c r="I840" s="117">
        <f t="shared" si="169"/>
        <v>0</v>
      </c>
    </row>
    <row r="841" spans="1:9" s="130" customFormat="1" ht="31.5" hidden="1" x14ac:dyDescent="0.25">
      <c r="A841" s="779" t="str">
        <f>IF(B841&gt;0,VLOOKUP(B841,КВСР!A264:B1429,2),IF(C841&gt;0,VLOOKUP(C841,КФСР!A264:B1776,2),IF(D841&gt;0,VLOOKUP(D841,Программа!A$1:B$5124,2),IF(F841&gt;0,VLOOKUP(F841,КВР!A$1:B$5001,2),IF(E841&gt;0,VLOOKUP(E841,Направление!A$1:B$4812,2))))))</f>
        <v>Социальное обеспечение и иные выплаты населению</v>
      </c>
      <c r="B841" s="114"/>
      <c r="C841" s="109"/>
      <c r="D841" s="110"/>
      <c r="E841" s="109"/>
      <c r="F841" s="111">
        <v>300</v>
      </c>
      <c r="G841" s="268">
        <v>0</v>
      </c>
      <c r="H841" s="330"/>
      <c r="I841" s="117">
        <f t="shared" si="169"/>
        <v>0</v>
      </c>
    </row>
    <row r="842" spans="1:9" s="130" customFormat="1" ht="63" x14ac:dyDescent="0.25">
      <c r="A842" s="779" t="str">
        <f>IF(B842&gt;0,VLOOKUP(B842,КВСР!A265:B1430,2),IF(C842&gt;0,VLOOKUP(C842,КФСР!A265:B1777,2),IF(D842&gt;0,VLOOKUP(D842,Программа!A$1:B$5124,2),IF(F842&gt;0,VLOOKUP(F842,КВР!A$1:B$5001,2),IF(E842&gt;0,VLOOKUP(E842,Направление!A$1:B$4812,2))))))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42" s="114"/>
      <c r="C842" s="109"/>
      <c r="D842" s="110"/>
      <c r="E842" s="109" t="s">
        <v>1146</v>
      </c>
      <c r="F842" s="111"/>
      <c r="G842" s="268">
        <v>1761596</v>
      </c>
      <c r="H842" s="330">
        <f t="shared" ref="H842:I842" si="188">H843</f>
        <v>0</v>
      </c>
      <c r="I842" s="280">
        <f t="shared" si="188"/>
        <v>1761596</v>
      </c>
    </row>
    <row r="843" spans="1:9" s="130" customFormat="1" ht="31.5" x14ac:dyDescent="0.25">
      <c r="A843" s="779" t="str">
        <f>IF(B843&gt;0,VLOOKUP(B843,КВСР!A266:B1431,2),IF(C843&gt;0,VLOOKUP(C843,КФСР!A266:B1778,2),IF(D843&gt;0,VLOOKUP(D843,Программа!A$1:B$5124,2),IF(F843&gt;0,VLOOKUP(F843,КВР!A$1:B$5001,2),IF(E843&gt;0,VLOOKUP(E843,Направление!A$1:B$4812,2))))))</f>
        <v>Социальное обеспечение и иные выплаты населению</v>
      </c>
      <c r="B843" s="114"/>
      <c r="C843" s="109"/>
      <c r="D843" s="110"/>
      <c r="E843" s="109"/>
      <c r="F843" s="111">
        <v>300</v>
      </c>
      <c r="G843" s="268">
        <v>1761596</v>
      </c>
      <c r="H843" s="330">
        <v>0</v>
      </c>
      <c r="I843" s="117">
        <f>SUM(G843:H843)</f>
        <v>1761596</v>
      </c>
    </row>
    <row r="844" spans="1:9" s="130" customFormat="1" ht="94.5" x14ac:dyDescent="0.25">
      <c r="A844" s="779" t="str">
        <f>IF(B844&gt;0,VLOOKUP(B844,КВСР!A267:B1432,2),IF(C844&gt;0,VLOOKUP(C844,КФСР!A267:B1779,2),IF(D844&gt;0,VLOOKUP(D844,Программа!A$1:B$5124,2),IF(F844&gt;0,VLOOKUP(F844,КВР!A$1:B$5001,2),IF(E844&gt;0,VLOOKUP(E844,Направление!A$1:B$4812,2))))))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44" s="114"/>
      <c r="C844" s="109"/>
      <c r="D844" s="110"/>
      <c r="E844" s="109">
        <v>75490</v>
      </c>
      <c r="F844" s="111"/>
      <c r="G844" s="268">
        <v>30317</v>
      </c>
      <c r="H844" s="330">
        <f t="shared" ref="H844:I844" si="189">H845</f>
        <v>0</v>
      </c>
      <c r="I844" s="280">
        <f t="shared" si="189"/>
        <v>30317</v>
      </c>
    </row>
    <row r="845" spans="1:9" s="130" customFormat="1" ht="63" x14ac:dyDescent="0.25">
      <c r="A845" s="779" t="str">
        <f>IF(B845&gt;0,VLOOKUP(B845,КВСР!A268:B1433,2),IF(C845&gt;0,VLOOKUP(C845,КФСР!A268:B1780,2),IF(D845&gt;0,VLOOKUP(D845,Программа!A$1:B$5124,2),IF(F845&gt;0,VLOOKUP(F845,КВР!A$1:B$5001,2),IF(E845&gt;0,VLOOKUP(E845,Направление!A$1:B$4812,2))))))</f>
        <v xml:space="preserve">Закупка товаров, работ и услуг для обеспечения государственных (муниципальных) нужд
</v>
      </c>
      <c r="B845" s="114"/>
      <c r="C845" s="109"/>
      <c r="D845" s="110"/>
      <c r="E845" s="109"/>
      <c r="F845" s="111">
        <v>200</v>
      </c>
      <c r="G845" s="268">
        <v>30317</v>
      </c>
      <c r="H845" s="330"/>
      <c r="I845" s="117">
        <f>SUM(G845:H845)</f>
        <v>30317</v>
      </c>
    </row>
    <row r="846" spans="1:9" s="130" customFormat="1" ht="63" x14ac:dyDescent="0.25">
      <c r="A846" s="779" t="str">
        <f>IF(B846&gt;0,VLOOKUP(B846,КВСР!A258:B1423,2),IF(C846&gt;0,VLOOKUP(C846,КФСР!A258:B1770,2),IF(D846&gt;0,VLOOKUP(D846,Программа!A$1:B$5124,2),IF(F846&gt;0,VLOOKUP(F846,КВР!A$1:B$5001,2),IF(E846&gt;0,VLOOKUP(E846,Направление!A$1:B$4812,2))))))</f>
        <v>Социальная защита семей с детьми, инвалидов, ветеранов, граждан и детей, оказавшихся в трудной жизненной ситуации</v>
      </c>
      <c r="B846" s="114"/>
      <c r="C846" s="109"/>
      <c r="D846" s="110" t="s">
        <v>466</v>
      </c>
      <c r="E846" s="109"/>
      <c r="F846" s="111"/>
      <c r="G846" s="268">
        <v>21839449</v>
      </c>
      <c r="H846" s="330">
        <f>H847+H849+H852+H856+H854</f>
        <v>-1068850</v>
      </c>
      <c r="I846" s="330">
        <f>I847+I849+I852+I856+I854</f>
        <v>20770599</v>
      </c>
    </row>
    <row r="847" spans="1:9" s="130" customFormat="1" ht="47.25" x14ac:dyDescent="0.25">
      <c r="A847" s="779" t="str">
        <f>IF(B847&gt;0,VLOOKUP(B847,КВСР!A261:B1426,2),IF(C847&gt;0,VLOOKUP(C847,КФСР!A261:B1773,2),IF(D847&gt;0,VLOOKUP(D847,Программа!A$1:B$5124,2),IF(F847&gt;0,VLOOKUP(F847,КВР!A$1:B$5001,2),IF(E847&gt;0,VLOOKUP(E847,Направление!A$1:B$4812,2))))))</f>
        <v>Организация перевозок больных, нуждающихся в амбулаторном гемодиализе</v>
      </c>
      <c r="B847" s="114"/>
      <c r="C847" s="109"/>
      <c r="D847" s="110"/>
      <c r="E847" s="109">
        <v>16210</v>
      </c>
      <c r="F847" s="111"/>
      <c r="G847" s="268">
        <v>588943</v>
      </c>
      <c r="H847" s="374">
        <f>H848</f>
        <v>-203943</v>
      </c>
      <c r="I847" s="374">
        <f>I848</f>
        <v>385000</v>
      </c>
    </row>
    <row r="848" spans="1:9" s="130" customFormat="1" ht="31.5" x14ac:dyDescent="0.25">
      <c r="A848" s="779" t="str">
        <f>IF(B848&gt;0,VLOOKUP(B848,КВСР!A262:B1427,2),IF(C848&gt;0,VLOOKUP(C848,КФСР!A262:B1774,2),IF(D848&gt;0,VLOOKUP(D848,Программа!A$1:B$5124,2),IF(F848&gt;0,VLOOKUP(F848,КВР!A$1:B$5001,2),IF(E848&gt;0,VLOOKUP(E848,Направление!A$1:B$4812,2))))))</f>
        <v>Социальное обеспечение и иные выплаты населению</v>
      </c>
      <c r="B848" s="114"/>
      <c r="C848" s="109"/>
      <c r="D848" s="110"/>
      <c r="E848" s="131"/>
      <c r="F848" s="111">
        <v>300</v>
      </c>
      <c r="G848" s="268">
        <v>588943</v>
      </c>
      <c r="H848" s="330">
        <v>-203943</v>
      </c>
      <c r="I848" s="117">
        <f>SUM(G848:H848)</f>
        <v>385000</v>
      </c>
    </row>
    <row r="849" spans="1:9" s="130" customFormat="1" ht="47.25" x14ac:dyDescent="0.25">
      <c r="A849" s="779" t="str">
        <f>IF(B849&gt;0,VLOOKUP(B849,КВСР!A264:B1429,2),IF(C849&gt;0,VLOOKUP(C849,КФСР!A264:B1776,2),IF(D849&gt;0,VLOOKUP(D849,Программа!A$1:B$5124,2),IF(F849&gt;0,VLOOKUP(F849,КВР!A$1:B$5001,2),IF(E849&gt;0,VLOOKUP(E849,Направление!A$1:B$4812,2))))))</f>
        <v>Оказание социальной помощи отдельным категориям граждан за счет средств областного бюджета</v>
      </c>
      <c r="B849" s="114"/>
      <c r="C849" s="109"/>
      <c r="D849" s="110"/>
      <c r="E849" s="109">
        <v>70890</v>
      </c>
      <c r="F849" s="111"/>
      <c r="G849" s="268">
        <v>3598600</v>
      </c>
      <c r="H849" s="330">
        <f>H850+H851</f>
        <v>500000</v>
      </c>
      <c r="I849" s="330">
        <f>I850+I851</f>
        <v>4098600</v>
      </c>
    </row>
    <row r="850" spans="1:9" s="130" customFormat="1" ht="63" x14ac:dyDescent="0.25">
      <c r="A850" s="779" t="str">
        <f>IF(B850&gt;0,VLOOKUP(B850,КВСР!A265:B1430,2),IF(C850&gt;0,VLOOKUP(C850,КФСР!A265:B1777,2),IF(D850&gt;0,VLOOKUP(D850,Программа!A$1:B$5124,2),IF(F850&gt;0,VLOOKUP(F850,КВР!A$1:B$5001,2),IF(E850&gt;0,VLOOKUP(E850,Направление!A$1:B$4812,2))))))</f>
        <v xml:space="preserve">Закупка товаров, работ и услуг для обеспечения государственных (муниципальных) нужд
</v>
      </c>
      <c r="B850" s="114"/>
      <c r="C850" s="109"/>
      <c r="D850" s="110"/>
      <c r="E850" s="109"/>
      <c r="F850" s="111">
        <v>200</v>
      </c>
      <c r="G850" s="268">
        <v>58800</v>
      </c>
      <c r="H850" s="330"/>
      <c r="I850" s="117">
        <f t="shared" ref="I850:I929" si="190">SUM(G850:H850)</f>
        <v>58800</v>
      </c>
    </row>
    <row r="851" spans="1:9" s="130" customFormat="1" ht="31.5" x14ac:dyDescent="0.25">
      <c r="A851" s="779" t="str">
        <f>IF(B851&gt;0,VLOOKUP(B851,КВСР!A266:B1431,2),IF(C851&gt;0,VLOOKUP(C851,КФСР!A266:B1778,2),IF(D851&gt;0,VLOOKUP(D851,Программа!A$1:B$5124,2),IF(F851&gt;0,VLOOKUP(F851,КВР!A$1:B$5001,2),IF(E851&gt;0,VLOOKUP(E851,Направление!A$1:B$4812,2))))))</f>
        <v>Социальное обеспечение и иные выплаты населению</v>
      </c>
      <c r="B851" s="114"/>
      <c r="C851" s="109"/>
      <c r="D851" s="110"/>
      <c r="E851" s="109"/>
      <c r="F851" s="111">
        <v>300</v>
      </c>
      <c r="G851" s="268">
        <v>3539800</v>
      </c>
      <c r="H851" s="330">
        <v>500000</v>
      </c>
      <c r="I851" s="117">
        <f t="shared" si="190"/>
        <v>4039800</v>
      </c>
    </row>
    <row r="852" spans="1:9" s="130" customFormat="1" ht="63" x14ac:dyDescent="0.25">
      <c r="A852" s="779" t="str">
        <f>IF(B852&gt;0,VLOOKUP(B852,КВСР!A267:B1432,2),IF(C852&gt;0,VLOOKUP(C852,КФСР!A267:B1779,2),IF(D852&gt;0,VLOOKUP(D852,Программа!A$1:B$5124,2),IF(F852&gt;0,VLOOKUP(F852,КВР!A$1:B$5001,2),IF(E852&gt;0,VLOOKUP(E852,Направление!A$1:B$4812,2))))))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52" s="114"/>
      <c r="C852" s="109"/>
      <c r="D852" s="110"/>
      <c r="E852" s="109">
        <v>75520</v>
      </c>
      <c r="F852" s="111"/>
      <c r="G852" s="268">
        <v>257038</v>
      </c>
      <c r="H852" s="330">
        <f t="shared" ref="H852:I852" si="191">H853</f>
        <v>0</v>
      </c>
      <c r="I852" s="268">
        <f t="shared" si="191"/>
        <v>257038</v>
      </c>
    </row>
    <row r="853" spans="1:9" s="130" customFormat="1" ht="63" x14ac:dyDescent="0.25">
      <c r="A853" s="779" t="str">
        <f>IF(B853&gt;0,VLOOKUP(B853,КВСР!A268:B1433,2),IF(C853&gt;0,VLOOKUP(C853,КФСР!A268:B1780,2),IF(D853&gt;0,VLOOKUP(D853,Программа!A$1:B$5124,2),IF(F853&gt;0,VLOOKUP(F853,КВР!A$1:B$5001,2),IF(E853&gt;0,VLOOKUP(E853,Направление!A$1:B$4812,2))))))</f>
        <v xml:space="preserve">Закупка товаров, работ и услуг для обеспечения государственных (муниципальных) нужд
</v>
      </c>
      <c r="B853" s="114"/>
      <c r="C853" s="109"/>
      <c r="D853" s="110"/>
      <c r="E853" s="109"/>
      <c r="F853" s="111">
        <v>200</v>
      </c>
      <c r="G853" s="268">
        <v>257038</v>
      </c>
      <c r="H853" s="330"/>
      <c r="I853" s="117">
        <f>G853+H853</f>
        <v>257038</v>
      </c>
    </row>
    <row r="854" spans="1:9" s="130" customFormat="1" ht="110.25" x14ac:dyDescent="0.25">
      <c r="A854" s="779" t="str">
        <f>IF(B854&gt;0,VLOOKUP(B854,КВСР!A269:B1434,2),IF(C854&gt;0,VLOOKUP(C854,КФСР!A269:B1781,2),IF(D854&gt;0,VLOOKUP(D854,Программа!A$1:B$5124,2),IF(F854&gt;0,VLOOKUP(F854,КВР!A$1:B$5001,2),IF(E854&gt;0,VLOOKUP(E854,Направление!A$1:B$4812,2))))))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854" s="114"/>
      <c r="C854" s="109"/>
      <c r="D854" s="110"/>
      <c r="E854" s="109">
        <v>75880</v>
      </c>
      <c r="F854" s="111"/>
      <c r="G854" s="268">
        <v>259000</v>
      </c>
      <c r="H854" s="268">
        <f t="shared" ref="H854:I854" si="192">H855</f>
        <v>74000</v>
      </c>
      <c r="I854" s="268">
        <f t="shared" si="192"/>
        <v>333000</v>
      </c>
    </row>
    <row r="855" spans="1:9" s="130" customFormat="1" ht="31.5" x14ac:dyDescent="0.25">
      <c r="A855" s="779" t="str">
        <f>IF(B855&gt;0,VLOOKUP(B855,КВСР!A270:B1435,2),IF(C855&gt;0,VLOOKUP(C855,КФСР!A270:B1782,2),IF(D855&gt;0,VLOOKUP(D855,Программа!A$1:B$5124,2),IF(F855&gt;0,VLOOKUP(F855,КВР!A$1:B$5001,2),IF(E855&gt;0,VLOOKUP(E855,Направление!A$1:B$4812,2))))))</f>
        <v>Социальное обеспечение и иные выплаты населению</v>
      </c>
      <c r="B855" s="114"/>
      <c r="C855" s="109"/>
      <c r="D855" s="110"/>
      <c r="E855" s="109"/>
      <c r="F855" s="111">
        <v>300</v>
      </c>
      <c r="G855" s="268">
        <v>259000</v>
      </c>
      <c r="H855" s="330">
        <v>74000</v>
      </c>
      <c r="I855" s="117">
        <f>G855+H855</f>
        <v>333000</v>
      </c>
    </row>
    <row r="856" spans="1:9" s="130" customFormat="1" ht="63" x14ac:dyDescent="0.25">
      <c r="A856" s="779" t="str">
        <f>IF(B856&gt;0,VLOOKUP(B856,КВСР!A269:B1434,2),IF(C856&gt;0,VLOOKUP(C856,КФСР!A269:B1781,2),IF(D856&gt;0,VLOOKUP(D856,Программа!A$1:B$5124,2),IF(F856&gt;0,VLOOKUP(F856,КВР!A$1:B$5001,2),IF(E856&gt;0,VLOOKUP(E856,Направление!A$1:B$4812,2))))))</f>
        <v>Оказание государственной социальной помощи на основании социального контракта отдельным категориям граждан</v>
      </c>
      <c r="B856" s="114"/>
      <c r="C856" s="109"/>
      <c r="D856" s="110"/>
      <c r="E856" s="109" t="s">
        <v>1535</v>
      </c>
      <c r="F856" s="111"/>
      <c r="G856" s="268">
        <v>17135868</v>
      </c>
      <c r="H856" s="330">
        <f t="shared" ref="H856:I856" si="193">H857</f>
        <v>-1438907</v>
      </c>
      <c r="I856" s="268">
        <f t="shared" si="193"/>
        <v>15696961</v>
      </c>
    </row>
    <row r="857" spans="1:9" s="130" customFormat="1" ht="31.5" x14ac:dyDescent="0.25">
      <c r="A857" s="779" t="str">
        <f>IF(B857&gt;0,VLOOKUP(B857,КВСР!A270:B1435,2),IF(C857&gt;0,VLOOKUP(C857,КФСР!A270:B1782,2),IF(D857&gt;0,VLOOKUP(D857,Программа!A$1:B$5124,2),IF(F857&gt;0,VLOOKUP(F857,КВР!A$1:B$5001,2),IF(E857&gt;0,VLOOKUP(E857,Направление!A$1:B$4812,2))))))</f>
        <v>Социальное обеспечение и иные выплаты населению</v>
      </c>
      <c r="B857" s="114"/>
      <c r="C857" s="109"/>
      <c r="D857" s="110"/>
      <c r="E857" s="109"/>
      <c r="F857" s="111">
        <v>300</v>
      </c>
      <c r="G857" s="268">
        <v>17135868</v>
      </c>
      <c r="H857" s="330">
        <v>-1438907</v>
      </c>
      <c r="I857" s="117">
        <f>G857+H857</f>
        <v>15696961</v>
      </c>
    </row>
    <row r="858" spans="1:9" s="130" customFormat="1" x14ac:dyDescent="0.25">
      <c r="A858" s="779" t="str">
        <f>IF(B858&gt;0,VLOOKUP(B858,КВСР!A267:B1432,2),IF(C858&gt;0,VLOOKUP(C858,КФСР!A267:B1779,2),IF(D858&gt;0,VLOOKUP(D858,Программа!A$1:B$5124,2),IF(F858&gt;0,VLOOKUP(F858,КВР!A$1:B$5001,2),IF(E858&gt;0,VLOOKUP(E858,Направление!A$1:B$4812,2))))))</f>
        <v>Непрограммные расходы бюджета</v>
      </c>
      <c r="B858" s="114"/>
      <c r="C858" s="109"/>
      <c r="D858" s="110" t="s">
        <v>311</v>
      </c>
      <c r="E858" s="109"/>
      <c r="F858" s="111"/>
      <c r="G858" s="268">
        <v>109490</v>
      </c>
      <c r="H858" s="374">
        <f t="shared" ref="H858:I858" si="194">H859+H861</f>
        <v>30000</v>
      </c>
      <c r="I858" s="268">
        <f t="shared" si="194"/>
        <v>139490</v>
      </c>
    </row>
    <row r="859" spans="1:9" s="130" customFormat="1" ht="31.5" x14ac:dyDescent="0.25">
      <c r="A859" s="779" t="str">
        <f>IF(B859&gt;0,VLOOKUP(B859,КВСР!A267:B1432,2),IF(C859&gt;0,VLOOKUP(C859,КФСР!A267:B1779,2),IF(D859&gt;0,VLOOKUP(D859,Программа!A$1:B$5124,2),IF(F859&gt;0,VLOOKUP(F859,КВР!A$1:B$5001,2),IF(E859&gt;0,VLOOKUP(E859,Направление!A$1:B$4812,2))))))</f>
        <v>Резервные фонды местных администраций</v>
      </c>
      <c r="B859" s="114"/>
      <c r="C859" s="109"/>
      <c r="D859" s="110"/>
      <c r="E859" s="109">
        <v>12900</v>
      </c>
      <c r="F859" s="111"/>
      <c r="G859" s="268">
        <v>35000</v>
      </c>
      <c r="H859" s="330">
        <f t="shared" ref="H859:I859" si="195">H860</f>
        <v>30000</v>
      </c>
      <c r="I859" s="268">
        <f t="shared" si="195"/>
        <v>65000</v>
      </c>
    </row>
    <row r="860" spans="1:9" s="130" customFormat="1" ht="31.5" x14ac:dyDescent="0.25">
      <c r="A860" s="779" t="str">
        <f>IF(B860&gt;0,VLOOKUP(B860,КВСР!A268:B1433,2),IF(C860&gt;0,VLOOKUP(C860,КФСР!A268:B1780,2),IF(D860&gt;0,VLOOKUP(D860,Программа!A$1:B$5124,2),IF(F860&gt;0,VLOOKUP(F860,КВР!A$1:B$5001,2),IF(E860&gt;0,VLOOKUP(E860,Направление!A$1:B$4812,2))))))</f>
        <v>Социальное обеспечение и иные выплаты населению</v>
      </c>
      <c r="B860" s="114"/>
      <c r="C860" s="109"/>
      <c r="D860" s="110"/>
      <c r="E860" s="109"/>
      <c r="F860" s="111">
        <v>300</v>
      </c>
      <c r="G860" s="268">
        <v>35000</v>
      </c>
      <c r="H860" s="330">
        <v>30000</v>
      </c>
      <c r="I860" s="117">
        <f>G860+H860</f>
        <v>65000</v>
      </c>
    </row>
    <row r="861" spans="1:9" s="130" customFormat="1" ht="47.25" x14ac:dyDescent="0.25">
      <c r="A861" s="779" t="str">
        <f>IF(B861&gt;0,VLOOKUP(B861,КВСР!A269:B1434,2),IF(C861&gt;0,VLOOKUP(C861,КФСР!A269:B1781,2),IF(D861&gt;0,VLOOKUP(D861,Программа!A$1:B$5124,2),IF(F861&gt;0,VLOOKUP(F861,КВР!A$1:B$5001,2),IF(E861&gt;0,VLOOKUP(E861,Направление!A$1:B$4812,2))))))</f>
        <v>Резервные фонды исполнительных органов государственной власти субъектов Российской Федерации</v>
      </c>
      <c r="B861" s="114"/>
      <c r="C861" s="109"/>
      <c r="D861" s="110"/>
      <c r="E861" s="109">
        <v>80120</v>
      </c>
      <c r="F861" s="111"/>
      <c r="G861" s="268">
        <v>74490</v>
      </c>
      <c r="H861" s="330">
        <f t="shared" ref="H861:I861" si="196">H862</f>
        <v>0</v>
      </c>
      <c r="I861" s="268">
        <f t="shared" si="196"/>
        <v>74490</v>
      </c>
    </row>
    <row r="862" spans="1:9" s="130" customFormat="1" ht="31.5" x14ac:dyDescent="0.25">
      <c r="A862" s="779" t="str">
        <f>IF(B862&gt;0,VLOOKUP(B862,КВСР!A270:B1435,2),IF(C862&gt;0,VLOOKUP(C862,КФСР!A270:B1782,2),IF(D862&gt;0,VLOOKUP(D862,Программа!A$1:B$5124,2),IF(F862&gt;0,VLOOKUP(F862,КВР!A$1:B$5001,2),IF(E862&gt;0,VLOOKUP(E862,Направление!A$1:B$4812,2))))))</f>
        <v>Социальное обеспечение и иные выплаты населению</v>
      </c>
      <c r="B862" s="114"/>
      <c r="C862" s="109"/>
      <c r="D862" s="110"/>
      <c r="E862" s="109"/>
      <c r="F862" s="111">
        <v>300</v>
      </c>
      <c r="G862" s="268">
        <v>74490</v>
      </c>
      <c r="H862" s="330"/>
      <c r="I862" s="117">
        <f>G862+H862</f>
        <v>74490</v>
      </c>
    </row>
    <row r="863" spans="1:9" s="119" customFormat="1" x14ac:dyDescent="0.25">
      <c r="A863" s="779" t="str">
        <f>IF(B863&gt;0,VLOOKUP(B863,КВСР!A303:B1468,2),IF(C863&gt;0,VLOOKUP(C863,КФСР!A303:B1815,2),IF(D863&gt;0,VLOOKUP(D863,Программа!A$1:B$5124,2),IF(F863&gt;0,VLOOKUP(F863,КВР!A$1:B$5001,2),IF(E863&gt;0,VLOOKUP(E863,Направление!A$1:B$4812,2))))))</f>
        <v>Охрана семьи и детства</v>
      </c>
      <c r="B863" s="114"/>
      <c r="C863" s="109">
        <v>1004</v>
      </c>
      <c r="D863" s="110"/>
      <c r="E863" s="109"/>
      <c r="F863" s="111"/>
      <c r="G863" s="117">
        <v>256754010</v>
      </c>
      <c r="H863" s="330">
        <f>H864</f>
        <v>-9000000</v>
      </c>
      <c r="I863" s="330">
        <f>I864</f>
        <v>247754010</v>
      </c>
    </row>
    <row r="864" spans="1:9" s="119" customFormat="1" ht="47.25" x14ac:dyDescent="0.25">
      <c r="A864" s="779" t="str">
        <f>IF(B864&gt;0,VLOOKUP(B864,КВСР!A304:B1469,2),IF(C864&gt;0,VLOOKUP(C864,КФСР!A304:B1816,2),IF(D864&gt;0,VLOOKUP(D864,Программа!A$1:B$5124,2),IF(F864&gt;0,VLOOKUP(F864,КВР!A$1:B$5001,2),IF(E864&gt;0,VLOOKUP(E864,Направление!A$1:B$4812,2))))))</f>
        <v>Муниципальная программа "Социальная поддержка населения Тутаевского муниципального района"</v>
      </c>
      <c r="B864" s="114"/>
      <c r="C864" s="109"/>
      <c r="D864" s="110" t="s">
        <v>376</v>
      </c>
      <c r="E864" s="109"/>
      <c r="F864" s="111"/>
      <c r="G864" s="117">
        <v>256754010</v>
      </c>
      <c r="H864" s="330">
        <f>H865</f>
        <v>-9000000</v>
      </c>
      <c r="I864" s="330">
        <f>I865</f>
        <v>247754010</v>
      </c>
    </row>
    <row r="865" spans="1:9" s="119" customFormat="1" ht="47.25" x14ac:dyDescent="0.25">
      <c r="A865" s="779" t="str">
        <f>IF(B865&gt;0,VLOOKUP(B865,КВСР!A305:B1470,2),IF(C865&gt;0,VLOOKUP(C865,КФСР!A305:B1817,2),IF(D865&gt;0,VLOOKUP(D865,Программа!A$1:B$5124,2),IF(F865&gt;0,VLOOKUP(F865,КВР!A$1:B$5001,2),IF(E865&gt;0,VLOOKUP(E865,Направление!A$1:B$4812,2))))))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865" s="114"/>
      <c r="C865" s="109"/>
      <c r="D865" s="110" t="s">
        <v>446</v>
      </c>
      <c r="E865" s="109"/>
      <c r="F865" s="111"/>
      <c r="G865" s="268">
        <v>256754010</v>
      </c>
      <c r="H865" s="330">
        <f t="shared" ref="H865" si="197">H866+H888+H891</f>
        <v>-9000000</v>
      </c>
      <c r="I865" s="330">
        <f t="shared" ref="I865" si="198">I866+I888+I891</f>
        <v>247754010</v>
      </c>
    </row>
    <row r="866" spans="1:9" s="119" customFormat="1" ht="47.25" x14ac:dyDescent="0.25">
      <c r="A866" s="779" t="str">
        <f>IF(B866&gt;0,VLOOKUP(B866,КВСР!A306:B1471,2),IF(C866&gt;0,VLOOKUP(C866,КФСР!A306:B1818,2),IF(D866&gt;0,VLOOKUP(D866,Программа!A$1:B$5124,2),IF(F866&gt;0,VLOOKUP(F866,КВР!A$1:B$5001,2),IF(E866&gt;0,VLOOKUP(E866,Направление!A$1:B$4812,2))))))</f>
        <v>Исполнение публичных обязательств по предоставлению выплат, пособий и компенсаций</v>
      </c>
      <c r="B866" s="114"/>
      <c r="C866" s="109"/>
      <c r="D866" s="126" t="s">
        <v>448</v>
      </c>
      <c r="E866" s="127"/>
      <c r="F866" s="111"/>
      <c r="G866" s="268">
        <v>158137790</v>
      </c>
      <c r="H866" s="330">
        <f t="shared" ref="H866" si="199">H869+H867+H875+H871+H885+H873+H883+H878+H880</f>
        <v>-9000000</v>
      </c>
      <c r="I866" s="330">
        <f t="shared" ref="I866" si="200">I869+I867+I875+I871+I885+I873+I883+I878+I880</f>
        <v>149137790</v>
      </c>
    </row>
    <row r="867" spans="1:9" s="119" customFormat="1" hidden="1" x14ac:dyDescent="0.25">
      <c r="A867" s="779" t="str">
        <f>IF(B867&gt;0,VLOOKUP(B867,КВСР!A308:B1473,2),IF(C867&gt;0,VLOOKUP(C867,КФСР!A308:B1820,2),IF(D867&gt;0,VLOOKUP(D867,Программа!A$1:B$5124,2),IF(F867&gt;0,VLOOKUP(F867,КВР!A$1:B$5001,2),IF(E867&gt;0,VLOOKUP(E867,Направление!A$1:B$4812,2))))))</f>
        <v>Содержание центрального аппарата</v>
      </c>
      <c r="B867" s="114"/>
      <c r="C867" s="109"/>
      <c r="D867" s="126"/>
      <c r="E867" s="127">
        <v>12010</v>
      </c>
      <c r="F867" s="111"/>
      <c r="G867" s="268">
        <v>0</v>
      </c>
      <c r="H867" s="330">
        <f>H868</f>
        <v>0</v>
      </c>
      <c r="I867" s="330">
        <f>I868</f>
        <v>0</v>
      </c>
    </row>
    <row r="868" spans="1:9" s="119" customFormat="1" ht="110.25" hidden="1" x14ac:dyDescent="0.25">
      <c r="A868" s="779" t="str">
        <f>IF(B868&gt;0,VLOOKUP(B868,КВСР!A309:B1474,2),IF(C868&gt;0,VLOOKUP(C868,КФСР!A309:B1821,2),IF(D868&gt;0,VLOOKUP(D868,Программа!A$1:B$5124,2),IF(F868&gt;0,VLOOKUP(F868,КВР!A$1:B$5001,2),IF(E868&gt;0,VLOOKUP(E868,Направление!A$1:B$4812,2))))))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8" s="114"/>
      <c r="C868" s="109"/>
      <c r="D868" s="129"/>
      <c r="E868" s="127"/>
      <c r="F868" s="111">
        <v>100</v>
      </c>
      <c r="G868" s="268">
        <v>0</v>
      </c>
      <c r="H868" s="330"/>
      <c r="I868" s="117">
        <f t="shared" si="190"/>
        <v>0</v>
      </c>
    </row>
    <row r="869" spans="1:9" s="119" customFormat="1" ht="126" hidden="1" x14ac:dyDescent="0.25">
      <c r="A869" s="779" t="str">
        <f>IF(B869&gt;0,VLOOKUP(B869,КВСР!A308:B1473,2),IF(C869&gt;0,VLOOKUP(C869,КФСР!A308:B1820,2),IF(D869&gt;0,VLOOKUP(D869,Программа!A$1:B$5124,2),IF(F869&gt;0,VLOOKUP(F869,КВР!A$1:B$5001,2),IF(E869&gt;0,VLOOKUP(E869,Направление!A$1:B$4812,2))))))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69" s="114"/>
      <c r="C869" s="109"/>
      <c r="D869" s="126"/>
      <c r="E869" s="127">
        <v>52700</v>
      </c>
      <c r="F869" s="111"/>
      <c r="G869" s="268">
        <v>0</v>
      </c>
      <c r="H869" s="330">
        <f>H870</f>
        <v>0</v>
      </c>
      <c r="I869" s="330">
        <f>I870</f>
        <v>0</v>
      </c>
    </row>
    <row r="870" spans="1:9" s="119" customFormat="1" ht="31.5" hidden="1" x14ac:dyDescent="0.25">
      <c r="A870" s="779" t="str">
        <f>IF(B870&gt;0,VLOOKUP(B870,КВСР!A309:B1474,2),IF(C870&gt;0,VLOOKUP(C870,КФСР!A309:B1821,2),IF(D870&gt;0,VLOOKUP(D870,Программа!A$1:B$5124,2),IF(F870&gt;0,VLOOKUP(F870,КВР!A$1:B$5001,2),IF(E870&gt;0,VLOOKUP(E870,Направление!A$1:B$4812,2))))))</f>
        <v>Социальное обеспечение и иные выплаты населению</v>
      </c>
      <c r="B870" s="114"/>
      <c r="C870" s="109"/>
      <c r="D870" s="129"/>
      <c r="E870" s="127"/>
      <c r="F870" s="111">
        <v>300</v>
      </c>
      <c r="G870" s="268">
        <v>0</v>
      </c>
      <c r="H870" s="330"/>
      <c r="I870" s="117">
        <f t="shared" si="190"/>
        <v>0</v>
      </c>
    </row>
    <row r="871" spans="1:9" s="119" customFormat="1" ht="141.75" hidden="1" x14ac:dyDescent="0.25">
      <c r="A871" s="779" t="str">
        <f>IF(B871&gt;0,VLOOKUP(B871,КВСР!A310:B1475,2),IF(C871&gt;0,VLOOKUP(C871,КФСР!A310:B1822,2),IF(D871&gt;0,VLOOKUP(D871,Программа!A$1:B$5124,2),IF(F871&gt;0,VLOOKUP(F871,КВР!A$1:B$5001,2),IF(E871&gt;0,VLOOKUP(E871,Направление!A$1:B$4812,2))))))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71" s="114"/>
      <c r="C871" s="109"/>
      <c r="D871" s="129"/>
      <c r="E871" s="127">
        <v>53800</v>
      </c>
      <c r="F871" s="111"/>
      <c r="G871" s="268">
        <v>0</v>
      </c>
      <c r="H871" s="330">
        <f>H872</f>
        <v>0</v>
      </c>
      <c r="I871" s="330">
        <f>I872</f>
        <v>0</v>
      </c>
    </row>
    <row r="872" spans="1:9" s="119" customFormat="1" ht="31.5" hidden="1" x14ac:dyDescent="0.25">
      <c r="A872" s="779" t="str">
        <f>IF(B872&gt;0,VLOOKUP(B872,КВСР!A311:B1476,2),IF(C872&gt;0,VLOOKUP(C872,КФСР!A311:B1823,2),IF(D872&gt;0,VLOOKUP(D872,Программа!A$1:B$5124,2),IF(F872&gt;0,VLOOKUP(F872,КВР!A$1:B$5001,2),IF(E872&gt;0,VLOOKUP(E872,Направление!A$1:B$4812,2))))))</f>
        <v>Социальное обеспечение и иные выплаты населению</v>
      </c>
      <c r="B872" s="114"/>
      <c r="C872" s="109"/>
      <c r="D872" s="129"/>
      <c r="E872" s="127"/>
      <c r="F872" s="111">
        <v>300</v>
      </c>
      <c r="G872" s="268">
        <v>0</v>
      </c>
      <c r="H872" s="330"/>
      <c r="I872" s="117">
        <f t="shared" si="190"/>
        <v>0</v>
      </c>
    </row>
    <row r="873" spans="1:9" s="119" customFormat="1" ht="78.75" hidden="1" x14ac:dyDescent="0.25">
      <c r="A873" s="779" t="str">
        <f>IF(B873&gt;0,VLOOKUP(B873,КВСР!A312:B1477,2),IF(C873&gt;0,VLOOKUP(C873,КФСР!A312:B1824,2),IF(D873&gt;0,VLOOKUP(D873,Программа!A$1:B$5124,2),IF(F873&gt;0,VLOOKUP(F873,КВР!A$1:B$5001,2),IF(E873&gt;0,VLOOKUP(E873,Направление!A$1:B$4812,2))))))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73" s="114"/>
      <c r="C873" s="109"/>
      <c r="D873" s="129"/>
      <c r="E873" s="109" t="s">
        <v>1531</v>
      </c>
      <c r="F873" s="111"/>
      <c r="G873" s="268">
        <v>0</v>
      </c>
      <c r="H873" s="330">
        <f>H874</f>
        <v>0</v>
      </c>
      <c r="I873" s="117">
        <f t="shared" si="190"/>
        <v>0</v>
      </c>
    </row>
    <row r="874" spans="1:9" s="119" customFormat="1" ht="31.5" hidden="1" x14ac:dyDescent="0.25">
      <c r="A874" s="779" t="str">
        <f>IF(B874&gt;0,VLOOKUP(B874,КВСР!A313:B1478,2),IF(C874&gt;0,VLOOKUP(C874,КФСР!A313:B1825,2),IF(D874&gt;0,VLOOKUP(D874,Программа!A$1:B$5124,2),IF(F874&gt;0,VLOOKUP(F874,КВР!A$1:B$5001,2),IF(E874&gt;0,VLOOKUP(E874,Направление!A$1:B$4812,2))))))</f>
        <v>Социальное обеспечение и иные выплаты населению</v>
      </c>
      <c r="B874" s="114"/>
      <c r="C874" s="109"/>
      <c r="D874" s="129"/>
      <c r="E874" s="127"/>
      <c r="F874" s="111">
        <v>300</v>
      </c>
      <c r="G874" s="268">
        <v>0</v>
      </c>
      <c r="H874" s="330"/>
      <c r="I874" s="117">
        <f t="shared" si="190"/>
        <v>0</v>
      </c>
    </row>
    <row r="875" spans="1:9" s="119" customFormat="1" ht="63" hidden="1" x14ac:dyDescent="0.25">
      <c r="A875" s="779" t="str">
        <f>IF(B875&gt;0,VLOOKUP(B875,КВСР!A310:B1475,2),IF(C875&gt;0,VLOOKUP(C875,КФСР!A310:B1822,2),IF(D875&gt;0,VLOOKUP(D875,Программа!A$1:B$5124,2),IF(F875&gt;0,VLOOKUP(F875,КВР!A$1:B$5001,2),IF(E875&gt;0,VLOOKUP(E875,Направление!A$1:B$4812,2))))))</f>
        <v xml:space="preserve">Расходы по осуществлению ежемесячной выплаты в связи с рождением (усыновлением) первого ребенка </v>
      </c>
      <c r="B875" s="114"/>
      <c r="C875" s="109"/>
      <c r="D875" s="126"/>
      <c r="E875" s="127">
        <v>55730</v>
      </c>
      <c r="F875" s="111"/>
      <c r="G875" s="268">
        <v>0</v>
      </c>
      <c r="H875" s="330">
        <f>H876+H877</f>
        <v>0</v>
      </c>
      <c r="I875" s="117">
        <f t="shared" si="190"/>
        <v>0</v>
      </c>
    </row>
    <row r="876" spans="1:9" s="119" customFormat="1" ht="63" hidden="1" x14ac:dyDescent="0.25">
      <c r="A876" s="779" t="str">
        <f>IF(B876&gt;0,VLOOKUP(B876,КВСР!A311:B1476,2),IF(C876&gt;0,VLOOKUP(C876,КФСР!A311:B1823,2),IF(D876&gt;0,VLOOKUP(D876,Программа!A$1:B$5124,2),IF(F876&gt;0,VLOOKUP(F876,КВР!A$1:B$5001,2),IF(E876&gt;0,VLOOKUP(E876,Направление!A$1:B$4812,2))))))</f>
        <v xml:space="preserve">Закупка товаров, работ и услуг для обеспечения государственных (муниципальных) нужд
</v>
      </c>
      <c r="B876" s="114"/>
      <c r="C876" s="109"/>
      <c r="D876" s="129"/>
      <c r="E876" s="127"/>
      <c r="F876" s="111">
        <v>200</v>
      </c>
      <c r="G876" s="268">
        <v>0</v>
      </c>
      <c r="H876" s="330"/>
      <c r="I876" s="117">
        <f t="shared" si="190"/>
        <v>0</v>
      </c>
    </row>
    <row r="877" spans="1:9" s="119" customFormat="1" ht="31.5" hidden="1" x14ac:dyDescent="0.25">
      <c r="A877" s="779" t="str">
        <f>IF(B877&gt;0,VLOOKUP(B877,КВСР!A312:B1477,2),IF(C877&gt;0,VLOOKUP(C877,КФСР!A312:B1824,2),IF(D877&gt;0,VLOOKUP(D877,Программа!A$1:B$5124,2),IF(F877&gt;0,VLOOKUP(F877,КВР!A$1:B$5001,2),IF(E877&gt;0,VLOOKUP(E877,Направление!A$1:B$4812,2))))))</f>
        <v>Социальное обеспечение и иные выплаты населению</v>
      </c>
      <c r="B877" s="114"/>
      <c r="C877" s="109"/>
      <c r="D877" s="129"/>
      <c r="E877" s="127"/>
      <c r="F877" s="111">
        <v>300</v>
      </c>
      <c r="G877" s="268">
        <v>0</v>
      </c>
      <c r="H877" s="330"/>
      <c r="I877" s="117">
        <f t="shared" si="190"/>
        <v>0</v>
      </c>
    </row>
    <row r="878" spans="1:9" s="119" customFormat="1" ht="63" x14ac:dyDescent="0.25">
      <c r="A878" s="779" t="str">
        <f>IF(B878&gt;0,VLOOKUP(B878,КВСР!A313:B1478,2),IF(C878&gt;0,VLOOKUP(C878,КФСР!A313:B1825,2),IF(D878&gt;0,VLOOKUP(D878,Программа!A$1:B$5124,2),IF(F878&gt;0,VLOOKUP(F878,КВР!A$1:B$5001,2),IF(E878&gt;0,VLOOKUP(E878,Направление!A$1:B$4812,2))))))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8" s="114"/>
      <c r="C878" s="109"/>
      <c r="D878" s="129"/>
      <c r="E878" s="127">
        <v>70870</v>
      </c>
      <c r="F878" s="111"/>
      <c r="G878" s="268">
        <v>260</v>
      </c>
      <c r="H878" s="330">
        <f t="shared" ref="H878:I878" si="201">H879</f>
        <v>0</v>
      </c>
      <c r="I878" s="268">
        <f t="shared" si="201"/>
        <v>260</v>
      </c>
    </row>
    <row r="879" spans="1:9" s="119" customFormat="1" ht="110.25" x14ac:dyDescent="0.25">
      <c r="A879" s="779" t="str">
        <f>IF(B879&gt;0,VLOOKUP(B879,КВСР!A314:B1479,2),IF(C879&gt;0,VLOOKUP(C879,КФСР!A314:B1826,2),IF(D879&gt;0,VLOOKUP(D879,Программа!A$1:B$5124,2),IF(F879&gt;0,VLOOKUP(F879,КВР!A$1:B$5001,2),IF(E879&gt;0,VLOOKUP(E879,Направление!A$1:B$4812,2))))))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9" s="114"/>
      <c r="C879" s="109"/>
      <c r="D879" s="129"/>
      <c r="E879" s="127"/>
      <c r="F879" s="111">
        <v>100</v>
      </c>
      <c r="G879" s="268">
        <v>260</v>
      </c>
      <c r="H879" s="330"/>
      <c r="I879" s="117">
        <f>G879+H879</f>
        <v>260</v>
      </c>
    </row>
    <row r="880" spans="1:9" s="119" customFormat="1" ht="47.25" x14ac:dyDescent="0.25">
      <c r="A880" s="779" t="str">
        <f>IF(B880&gt;0,VLOOKUP(B880,КВСР!A315:B1480,2),IF(C880&gt;0,VLOOKUP(C880,КФСР!A315:B1827,2),IF(D880&gt;0,VLOOKUP(D880,Программа!A$1:B$5124,2),IF(F880&gt;0,VLOOKUP(F880,КВР!A$1:B$5001,2),IF(E880&gt;0,VLOOKUP(E880,Направление!A$1:B$4812,2))))))</f>
        <v>Расходы на социальную поддержку отдельных категорий граждан в части ежемесячного пособия на ребенка</v>
      </c>
      <c r="B880" s="114"/>
      <c r="C880" s="109"/>
      <c r="D880" s="129"/>
      <c r="E880" s="127">
        <v>73040</v>
      </c>
      <c r="F880" s="111"/>
      <c r="G880" s="268">
        <v>29440000</v>
      </c>
      <c r="H880" s="330">
        <f t="shared" ref="H880:I880" si="202">H881+H882</f>
        <v>-9000000</v>
      </c>
      <c r="I880" s="268">
        <f t="shared" si="202"/>
        <v>20440000</v>
      </c>
    </row>
    <row r="881" spans="1:9" s="119" customFormat="1" ht="63" x14ac:dyDescent="0.25">
      <c r="A881" s="779" t="str">
        <f>IF(B881&gt;0,VLOOKUP(B881,КВСР!A316:B1481,2),IF(C881&gt;0,VLOOKUP(C881,КФСР!A316:B1828,2),IF(D881&gt;0,VLOOKUP(D881,Программа!A$1:B$5124,2),IF(F881&gt;0,VLOOKUP(F881,КВР!A$1:B$5001,2),IF(E881&gt;0,VLOOKUP(E881,Направление!A$1:B$4812,2))))))</f>
        <v xml:space="preserve">Закупка товаров, работ и услуг для обеспечения государственных (муниципальных) нужд
</v>
      </c>
      <c r="B881" s="114"/>
      <c r="C881" s="109"/>
      <c r="D881" s="129"/>
      <c r="E881" s="127"/>
      <c r="F881" s="111">
        <v>200</v>
      </c>
      <c r="G881" s="268">
        <v>2100</v>
      </c>
      <c r="H881" s="330"/>
      <c r="I881" s="117">
        <f>G881+H881</f>
        <v>2100</v>
      </c>
    </row>
    <row r="882" spans="1:9" s="119" customFormat="1" ht="31.5" x14ac:dyDescent="0.25">
      <c r="A882" s="779" t="str">
        <f>IF(B882&gt;0,VLOOKUP(B882,КВСР!A317:B1482,2),IF(C882&gt;0,VLOOKUP(C882,КФСР!A317:B1829,2),IF(D882&gt;0,VLOOKUP(D882,Программа!A$1:B$5124,2),IF(F882&gt;0,VLOOKUP(F882,КВР!A$1:B$5001,2),IF(E882&gt;0,VLOOKUP(E882,Направление!A$1:B$4812,2))))))</f>
        <v>Социальное обеспечение и иные выплаты населению</v>
      </c>
      <c r="B882" s="114"/>
      <c r="C882" s="109"/>
      <c r="D882" s="129"/>
      <c r="E882" s="127"/>
      <c r="F882" s="111">
        <v>300</v>
      </c>
      <c r="G882" s="268">
        <v>29437900</v>
      </c>
      <c r="H882" s="330">
        <v>-9000000</v>
      </c>
      <c r="I882" s="117">
        <f>G882+H882</f>
        <v>20437900</v>
      </c>
    </row>
    <row r="883" spans="1:9" s="119" customFormat="1" ht="63" x14ac:dyDescent="0.25">
      <c r="A883" s="779" t="str">
        <f>IF(B883&gt;0,VLOOKUP(B883,КВСР!A313:B1478,2),IF(C883&gt;0,VLOOKUP(C883,КФСР!A313:B1825,2),IF(D883&gt;0,VLOOKUP(D883,Программа!A$1:B$5124,2),IF(F883&gt;0,VLOOKUP(F883,КВР!A$1:B$5001,2),IF(E883&gt;0,VLOOKUP(E883,Направление!A$1:B$4812,2))))))</f>
        <v>Ежемесячная выплата на детей в возрасте от трех до семи лет включительно в части расходов по доставке</v>
      </c>
      <c r="B883" s="114"/>
      <c r="C883" s="109"/>
      <c r="D883" s="129"/>
      <c r="E883" s="127">
        <v>75510</v>
      </c>
      <c r="F883" s="111"/>
      <c r="G883" s="268">
        <v>1625852</v>
      </c>
      <c r="H883" s="330">
        <f t="shared" ref="H883:I883" si="203">H884</f>
        <v>0</v>
      </c>
      <c r="I883" s="280">
        <f t="shared" si="203"/>
        <v>1625852</v>
      </c>
    </row>
    <row r="884" spans="1:9" s="119" customFormat="1" ht="63" x14ac:dyDescent="0.25">
      <c r="A884" s="779" t="str">
        <f>IF(B884&gt;0,VLOOKUP(B884,КВСР!A314:B1479,2),IF(C884&gt;0,VLOOKUP(C884,КФСР!A314:B1826,2),IF(D884&gt;0,VLOOKUP(D884,Программа!A$1:B$5124,2),IF(F884&gt;0,VLOOKUP(F884,КВР!A$1:B$5001,2),IF(E884&gt;0,VLOOKUP(E884,Направление!A$1:B$4812,2))))))</f>
        <v xml:space="preserve">Закупка товаров, работ и услуг для обеспечения государственных (муниципальных) нужд
</v>
      </c>
      <c r="B884" s="114"/>
      <c r="C884" s="109"/>
      <c r="D884" s="129"/>
      <c r="E884" s="127"/>
      <c r="F884" s="111">
        <v>200</v>
      </c>
      <c r="G884" s="268">
        <v>1625852</v>
      </c>
      <c r="H884" s="330"/>
      <c r="I884" s="117">
        <f>G884+H884</f>
        <v>1625852</v>
      </c>
    </row>
    <row r="885" spans="1:9" s="119" customFormat="1" ht="31.5" x14ac:dyDescent="0.25">
      <c r="A885" s="779" t="str">
        <f>IF(B885&gt;0,VLOOKUP(B885,КВСР!A313:B1478,2),IF(C885&gt;0,VLOOKUP(C885,КФСР!A313:B1825,2),IF(D885&gt;0,VLOOKUP(D885,Программа!A$1:B$5124,2),IF(F885&gt;0,VLOOKUP(F885,КВР!A$1:B$5001,2),IF(E885&gt;0,VLOOKUP(E885,Направление!A$1:B$4812,2))))))</f>
        <v>Ежемесячная выплата на детей в возрасте от 3 до 7 лет включительно</v>
      </c>
      <c r="B885" s="114"/>
      <c r="C885" s="109"/>
      <c r="D885" s="111"/>
      <c r="E885" s="109" t="s">
        <v>1516</v>
      </c>
      <c r="F885" s="111"/>
      <c r="G885" s="268">
        <v>127071678</v>
      </c>
      <c r="H885" s="330">
        <f>H886+H887</f>
        <v>0</v>
      </c>
      <c r="I885" s="330">
        <f>I886+I887</f>
        <v>127071678</v>
      </c>
    </row>
    <row r="886" spans="1:9" s="119" customFormat="1" ht="63" hidden="1" x14ac:dyDescent="0.25">
      <c r="A886" s="779" t="str">
        <f>IF(B886&gt;0,VLOOKUP(B886,КВСР!A314:B1479,2),IF(C886&gt;0,VLOOKUP(C886,КФСР!A314:B1826,2),IF(D886&gt;0,VLOOKUP(D886,Программа!A$1:B$5124,2),IF(F886&gt;0,VLOOKUP(F886,КВР!A$1:B$5001,2),IF(E886&gt;0,VLOOKUP(E886,Направление!A$1:B$4812,2))))))</f>
        <v xml:space="preserve">Закупка товаров, работ и услуг для обеспечения государственных (муниципальных) нужд
</v>
      </c>
      <c r="B886" s="114"/>
      <c r="C886" s="109"/>
      <c r="D886" s="129"/>
      <c r="E886" s="127"/>
      <c r="F886" s="111">
        <v>200</v>
      </c>
      <c r="G886" s="268">
        <v>0</v>
      </c>
      <c r="H886" s="330"/>
      <c r="I886" s="117">
        <f t="shared" si="190"/>
        <v>0</v>
      </c>
    </row>
    <row r="887" spans="1:9" s="119" customFormat="1" ht="31.5" x14ac:dyDescent="0.25">
      <c r="A887" s="779" t="str">
        <f>IF(B887&gt;0,VLOOKUP(B887,КВСР!A315:B1480,2),IF(C887&gt;0,VLOOKUP(C887,КФСР!A315:B1827,2),IF(D887&gt;0,VLOOKUP(D887,Программа!A$1:B$5124,2),IF(F887&gt;0,VLOOKUP(F887,КВР!A$1:B$5001,2),IF(E887&gt;0,VLOOKUP(E887,Направление!A$1:B$4812,2))))))</f>
        <v>Социальное обеспечение и иные выплаты населению</v>
      </c>
      <c r="B887" s="114"/>
      <c r="C887" s="109"/>
      <c r="D887" s="129"/>
      <c r="E887" s="127"/>
      <c r="F887" s="111">
        <v>300</v>
      </c>
      <c r="G887" s="268">
        <v>127071678</v>
      </c>
      <c r="H887" s="330"/>
      <c r="I887" s="117">
        <f t="shared" si="190"/>
        <v>127071678</v>
      </c>
    </row>
    <row r="888" spans="1:9" s="119" customFormat="1" ht="63" hidden="1" x14ac:dyDescent="0.25">
      <c r="A888" s="779" t="str">
        <f>IF(B888&gt;0,VLOOKUP(B888,КВСР!A308:B1473,2),IF(C888&gt;0,VLOOKUP(C888,КФСР!A308:B1820,2),IF(D888&gt;0,VLOOKUP(D888,Программа!A$1:B$5124,2),IF(F888&gt;0,VLOOKUP(F888,КВР!A$1:B$5001,2),IF(E888&gt;0,VLOOKUP(E888,Направление!A$1:B$4812,2))))))</f>
        <v>Социальная защита семей с детьми, инвалидов, ветеранов, граждан и детей, оказавшихся в трудной жизненной ситуации</v>
      </c>
      <c r="B888" s="114"/>
      <c r="C888" s="109"/>
      <c r="D888" s="126" t="s">
        <v>466</v>
      </c>
      <c r="E888" s="127"/>
      <c r="F888" s="111"/>
      <c r="G888" s="286">
        <v>0</v>
      </c>
      <c r="H888" s="275">
        <f t="shared" ref="H888:I888" si="204">H889</f>
        <v>0</v>
      </c>
      <c r="I888" s="286">
        <f t="shared" si="204"/>
        <v>0</v>
      </c>
    </row>
    <row r="889" spans="1:9" s="119" customFormat="1" ht="31.5" hidden="1" x14ac:dyDescent="0.25">
      <c r="A889" s="779" t="str">
        <f>IF(B889&gt;0,VLOOKUP(B889,КВСР!A309:B1474,2),IF(C889&gt;0,VLOOKUP(C889,КФСР!A309:B1821,2),IF(D889&gt;0,VLOOKUP(D889,Программа!A$1:B$5124,2),IF(F889&gt;0,VLOOKUP(F889,КВР!A$1:B$5001,2),IF(E889&gt;0,VLOOKUP(E889,Направление!A$1:B$4812,2))))))</f>
        <v>Оказание адресной материальной помощи</v>
      </c>
      <c r="B889" s="114"/>
      <c r="C889" s="109"/>
      <c r="D889" s="126"/>
      <c r="E889" s="127">
        <v>16220</v>
      </c>
      <c r="F889" s="111"/>
      <c r="G889" s="286">
        <v>0</v>
      </c>
      <c r="H889" s="275">
        <f>H890</f>
        <v>0</v>
      </c>
      <c r="I889" s="117">
        <f t="shared" si="190"/>
        <v>0</v>
      </c>
    </row>
    <row r="890" spans="1:9" s="119" customFormat="1" ht="31.5" hidden="1" x14ac:dyDescent="0.25">
      <c r="A890" s="779" t="str">
        <f>IF(B890&gt;0,VLOOKUP(B890,КВСР!A310:B1475,2),IF(C890&gt;0,VLOOKUP(C890,КФСР!A310:B1822,2),IF(D890&gt;0,VLOOKUP(D890,Программа!A$1:B$5124,2),IF(F890&gt;0,VLOOKUP(F890,КВР!A$1:B$5001,2),IF(E890&gt;0,VLOOKUP(E890,Направление!A$1:B$4812,2))))))</f>
        <v>Социальное обеспечение и иные выплаты населению</v>
      </c>
      <c r="B890" s="114"/>
      <c r="C890" s="109"/>
      <c r="D890" s="129"/>
      <c r="E890" s="127"/>
      <c r="F890" s="111">
        <v>300</v>
      </c>
      <c r="G890" s="286">
        <v>0</v>
      </c>
      <c r="H890" s="275"/>
      <c r="I890" s="117">
        <f t="shared" si="190"/>
        <v>0</v>
      </c>
    </row>
    <row r="891" spans="1:9" s="119" customFormat="1" ht="31.5" x14ac:dyDescent="0.25">
      <c r="A891" s="779" t="str">
        <f>IF(B891&gt;0,VLOOKUP(B891,КВСР!A311:B1476,2),IF(C891&gt;0,VLOOKUP(C891,КФСР!A311:B1823,2),IF(D891&gt;0,VLOOKUP(D891,Программа!A$1:B$5124,2),IF(F891&gt;0,VLOOKUP(F891,КВР!A$1:B$5001,2),IF(E891&gt;0,VLOOKUP(E891,Направление!A$1:B$4812,2))))))</f>
        <v>Федеральный проект "Финансовая поддержка семей при рождении детей"</v>
      </c>
      <c r="B891" s="114"/>
      <c r="C891" s="109"/>
      <c r="D891" s="111" t="s">
        <v>1323</v>
      </c>
      <c r="E891" s="127"/>
      <c r="F891" s="111"/>
      <c r="G891" s="286">
        <v>98616220</v>
      </c>
      <c r="H891" s="275">
        <f>H892+H894+H896</f>
        <v>0</v>
      </c>
      <c r="I891" s="275">
        <f>I892+I894+I896</f>
        <v>98616220</v>
      </c>
    </row>
    <row r="892" spans="1:9" s="119" customFormat="1" ht="63" x14ac:dyDescent="0.25">
      <c r="A892" s="779" t="str">
        <f>IF(B892&gt;0,VLOOKUP(B892,КВСР!A312:B1477,2),IF(C892&gt;0,VLOOKUP(C892,КФСР!A312:B1824,2),IF(D892&gt;0,VLOOKUP(D892,Программа!A$1:B$5124,2),IF(F892&gt;0,VLOOKUP(F892,КВР!A$1:B$5001,2),IF(E892&gt;0,VLOOKUP(E892,Направление!A$1:B$4812,2))))))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92" s="114"/>
      <c r="C892" s="109"/>
      <c r="D892" s="111"/>
      <c r="E892" s="109">
        <v>50840</v>
      </c>
      <c r="F892" s="111"/>
      <c r="G892" s="286">
        <v>47017152</v>
      </c>
      <c r="H892" s="275">
        <f>H893</f>
        <v>0</v>
      </c>
      <c r="I892" s="275">
        <f>I893</f>
        <v>47017152</v>
      </c>
    </row>
    <row r="893" spans="1:9" s="119" customFormat="1" ht="31.5" x14ac:dyDescent="0.25">
      <c r="A893" s="779" t="str">
        <f>IF(B893&gt;0,VLOOKUP(B893,КВСР!A312:B1477,2),IF(C893&gt;0,VLOOKUP(C893,КФСР!A312:B1824,2),IF(D893&gt;0,VLOOKUP(D893,Программа!A$1:B$5124,2),IF(F893&gt;0,VLOOKUP(F893,КВР!A$1:B$5001,2),IF(E893&gt;0,VLOOKUP(E893,Направление!A$1:B$4812,2))))))</f>
        <v>Социальное обеспечение и иные выплаты населению</v>
      </c>
      <c r="B893" s="114"/>
      <c r="C893" s="109"/>
      <c r="D893" s="111"/>
      <c r="E893" s="109"/>
      <c r="F893" s="111">
        <v>300</v>
      </c>
      <c r="G893" s="286">
        <v>47017152</v>
      </c>
      <c r="H893" s="275"/>
      <c r="I893" s="117">
        <f t="shared" si="190"/>
        <v>47017152</v>
      </c>
    </row>
    <row r="894" spans="1:9" s="119" customFormat="1" ht="63" x14ac:dyDescent="0.25">
      <c r="A894" s="779" t="str">
        <f>IF(B894&gt;0,VLOOKUP(B894,КВСР!A313:B1478,2),IF(C894&gt;0,VLOOKUP(C894,КФСР!A313:B1825,2),IF(D894&gt;0,VLOOKUP(D894,Программа!A$1:B$5124,2),IF(F894&gt;0,VLOOKUP(F894,КВР!A$1:B$5001,2),IF(E894&gt;0,VLOOKUP(E894,Направление!A$1:B$4812,2))))))</f>
        <v xml:space="preserve">Расходы по осуществлению ежемесячной выплаты в связи с рождением (усыновлением) первого ребенка </v>
      </c>
      <c r="B894" s="114"/>
      <c r="C894" s="109"/>
      <c r="D894" s="111"/>
      <c r="E894" s="109">
        <v>55730</v>
      </c>
      <c r="F894" s="111"/>
      <c r="G894" s="286">
        <v>50979068</v>
      </c>
      <c r="H894" s="275">
        <f t="shared" ref="H894:I894" si="205">H895</f>
        <v>0</v>
      </c>
      <c r="I894" s="286">
        <f t="shared" si="205"/>
        <v>50979068</v>
      </c>
    </row>
    <row r="895" spans="1:9" s="119" customFormat="1" ht="31.5" x14ac:dyDescent="0.25">
      <c r="A895" s="779" t="str">
        <f>IF(B895&gt;0,VLOOKUP(B895,КВСР!A314:B1479,2),IF(C895&gt;0,VLOOKUP(C895,КФСР!A314:B1826,2),IF(D895&gt;0,VLOOKUP(D895,Программа!A$1:B$5124,2),IF(F895&gt;0,VLOOKUP(F895,КВР!A$1:B$5001,2),IF(E895&gt;0,VLOOKUP(E895,Направление!A$1:B$4812,2))))))</f>
        <v>Социальное обеспечение и иные выплаты населению</v>
      </c>
      <c r="B895" s="114"/>
      <c r="C895" s="109"/>
      <c r="D895" s="111"/>
      <c r="E895" s="109"/>
      <c r="F895" s="111">
        <v>300</v>
      </c>
      <c r="G895" s="286">
        <v>50979068</v>
      </c>
      <c r="H895" s="275"/>
      <c r="I895" s="117">
        <f>G895+H895</f>
        <v>50979068</v>
      </c>
    </row>
    <row r="896" spans="1:9" s="119" customFormat="1" ht="94.5" x14ac:dyDescent="0.25">
      <c r="A896" s="779" t="str">
        <f>IF(B896&gt;0,VLOOKUP(B896,КВСР!A315:B1480,2),IF(C896&gt;0,VLOOKUP(C896,КФСР!A315:B1827,2),IF(D896&gt;0,VLOOKUP(D896,Программа!A$1:B$5124,2),IF(F896&gt;0,VLOOKUP(F896,КВР!A$1:B$5001,2),IF(E896&gt;0,VLOOKUP(E896,Направление!A$1:B$4812,2))))))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96" s="114"/>
      <c r="C896" s="109"/>
      <c r="D896" s="111"/>
      <c r="E896" s="109">
        <v>75480</v>
      </c>
      <c r="F896" s="111"/>
      <c r="G896" s="286">
        <v>620000</v>
      </c>
      <c r="H896" s="275">
        <f t="shared" ref="H896:I896" si="206">H897</f>
        <v>0</v>
      </c>
      <c r="I896" s="286">
        <f t="shared" si="206"/>
        <v>620000</v>
      </c>
    </row>
    <row r="897" spans="1:9" s="119" customFormat="1" ht="63" x14ac:dyDescent="0.25">
      <c r="A897" s="779" t="str">
        <f>IF(B897&gt;0,VLOOKUP(B897,КВСР!A316:B1481,2),IF(C897&gt;0,VLOOKUP(C897,КФСР!A316:B1828,2),IF(D897&gt;0,VLOOKUP(D897,Программа!A$1:B$5124,2),IF(F897&gt;0,VLOOKUP(F897,КВР!A$1:B$5001,2),IF(E897&gt;0,VLOOKUP(E897,Направление!A$1:B$4812,2))))))</f>
        <v xml:space="preserve">Закупка товаров, работ и услуг для обеспечения государственных (муниципальных) нужд
</v>
      </c>
      <c r="B897" s="114"/>
      <c r="C897" s="109"/>
      <c r="D897" s="111"/>
      <c r="E897" s="109"/>
      <c r="F897" s="111">
        <v>200</v>
      </c>
      <c r="G897" s="286">
        <v>620000</v>
      </c>
      <c r="H897" s="275"/>
      <c r="I897" s="117">
        <f>G897+H897</f>
        <v>620000</v>
      </c>
    </row>
    <row r="898" spans="1:9" s="119" customFormat="1" ht="31.5" x14ac:dyDescent="0.25">
      <c r="A898" s="779" t="str">
        <f>IF(B898&gt;0,VLOOKUP(B898,КВСР!A308:B1473,2),IF(C898&gt;0,VLOOKUP(C898,КФСР!A308:B1820,2),IF(D898&gt;0,VLOOKUP(D898,Программа!A$1:B$5124,2),IF(F898&gt;0,VLOOKUP(F898,КВР!A$1:B$5001,2),IF(E898&gt;0,VLOOKUP(E898,Направление!A$1:B$4812,2))))))</f>
        <v>Другие вопросы в области социальной политики</v>
      </c>
      <c r="B898" s="114"/>
      <c r="C898" s="109">
        <v>1006</v>
      </c>
      <c r="D898" s="110"/>
      <c r="E898" s="109"/>
      <c r="F898" s="111"/>
      <c r="G898" s="268">
        <v>17240617</v>
      </c>
      <c r="H898" s="330">
        <f>H899+H914+H918</f>
        <v>113274</v>
      </c>
      <c r="I898" s="330">
        <f>I899+I914+I918</f>
        <v>17353891</v>
      </c>
    </row>
    <row r="899" spans="1:9" s="119" customFormat="1" ht="47.25" x14ac:dyDescent="0.25">
      <c r="A899" s="779" t="str">
        <f>IF(B899&gt;0,VLOOKUP(B899,КВСР!A309:B1474,2),IF(C899&gt;0,VLOOKUP(C899,КФСР!A309:B1821,2),IF(D899&gt;0,VLOOKUP(D899,Программа!A$1:B$5124,2),IF(F899&gt;0,VLOOKUP(F899,КВР!A$1:B$5001,2),IF(E899&gt;0,VLOOKUP(E899,Направление!A$1:B$4812,2))))))</f>
        <v>Муниципальная программа "Социальная поддержка населения Тутаевского муниципального района"</v>
      </c>
      <c r="B899" s="114"/>
      <c r="C899" s="109"/>
      <c r="D899" s="110" t="s">
        <v>376</v>
      </c>
      <c r="E899" s="109"/>
      <c r="F899" s="111"/>
      <c r="G899" s="268">
        <v>17203072</v>
      </c>
      <c r="H899" s="330">
        <f>H900</f>
        <v>0</v>
      </c>
      <c r="I899" s="330">
        <f>I900</f>
        <v>17203072</v>
      </c>
    </row>
    <row r="900" spans="1:9" s="119" customFormat="1" ht="47.25" x14ac:dyDescent="0.25">
      <c r="A900" s="779" t="str">
        <f>IF(B900&gt;0,VLOOKUP(B900,КВСР!A310:B1475,2),IF(C900&gt;0,VLOOKUP(C900,КФСР!A310:B1822,2),IF(D900&gt;0,VLOOKUP(D900,Программа!A$1:B$5124,2),IF(F900&gt;0,VLOOKUP(F900,КВР!A$1:B$5001,2),IF(E900&gt;0,VLOOKUP(E900,Направление!A$1:B$4812,2))))))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900" s="114"/>
      <c r="C900" s="109"/>
      <c r="D900" s="110" t="s">
        <v>446</v>
      </c>
      <c r="E900" s="109"/>
      <c r="F900" s="111"/>
      <c r="G900" s="268">
        <v>17203072</v>
      </c>
      <c r="H900" s="330">
        <f>H901+H911</f>
        <v>0</v>
      </c>
      <c r="I900" s="330">
        <f>I901+I911</f>
        <v>17203072</v>
      </c>
    </row>
    <row r="901" spans="1:9" s="119" customFormat="1" ht="47.25" x14ac:dyDescent="0.25">
      <c r="A901" s="779" t="str">
        <f>IF(B901&gt;0,VLOOKUP(B901,КВСР!A311:B1476,2),IF(C901&gt;0,VLOOKUP(C901,КФСР!A311:B1823,2),IF(D901&gt;0,VLOOKUP(D901,Программа!A$1:B$5124,2),IF(F901&gt;0,VLOOKUP(F901,КВР!A$1:B$5001,2),IF(E901&gt;0,VLOOKUP(E901,Направление!A$1:B$4812,2))))))</f>
        <v>Исполнение публичных обязательств по предоставлению выплат, пособий и компенсаций</v>
      </c>
      <c r="B901" s="114"/>
      <c r="C901" s="109"/>
      <c r="D901" s="110" t="s">
        <v>448</v>
      </c>
      <c r="E901" s="109"/>
      <c r="F901" s="111"/>
      <c r="G901" s="268">
        <v>16472072</v>
      </c>
      <c r="H901" s="330">
        <f>H902+H907+H905</f>
        <v>0</v>
      </c>
      <c r="I901" s="330">
        <f>I902+I907+I905</f>
        <v>16472072</v>
      </c>
    </row>
    <row r="902" spans="1:9" s="119" customFormat="1" x14ac:dyDescent="0.25">
      <c r="A902" s="779" t="str">
        <f>IF(B902&gt;0,VLOOKUP(B902,КВСР!A312:B1477,2),IF(C902&gt;0,VLOOKUP(C902,КФСР!A312:B1824,2),IF(D902&gt;0,VLOOKUP(D902,Программа!A$1:B$5124,2),IF(F902&gt;0,VLOOKUP(F902,КВР!A$1:B$5001,2),IF(E902&gt;0,VLOOKUP(E902,Направление!A$1:B$4812,2))))))</f>
        <v>Содержание центрального аппарата</v>
      </c>
      <c r="B902" s="114"/>
      <c r="C902" s="109"/>
      <c r="D902" s="110"/>
      <c r="E902" s="109">
        <v>12010</v>
      </c>
      <c r="F902" s="111"/>
      <c r="G902" s="268">
        <v>538053</v>
      </c>
      <c r="H902" s="330">
        <f>H903+H904</f>
        <v>0</v>
      </c>
      <c r="I902" s="330">
        <f>I903+I904</f>
        <v>538053</v>
      </c>
    </row>
    <row r="903" spans="1:9" s="119" customFormat="1" ht="110.25" x14ac:dyDescent="0.25">
      <c r="A903" s="779" t="str">
        <f>IF(B903&gt;0,VLOOKUP(B903,КВСР!A312:B1477,2),IF(C903&gt;0,VLOOKUP(C903,КФСР!A312:B1824,2),IF(D903&gt;0,VLOOKUP(D903,Программа!A$1:B$5124,2),IF(F903&gt;0,VLOOKUP(F903,КВР!A$1:B$5001,2),IF(E903&gt;0,VLOOKUP(E903,Направление!A$1:B$4812,2))))))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3" s="114"/>
      <c r="C903" s="109"/>
      <c r="D903" s="111"/>
      <c r="E903" s="109"/>
      <c r="F903" s="111">
        <v>100</v>
      </c>
      <c r="G903" s="268">
        <v>538053</v>
      </c>
      <c r="H903" s="330"/>
      <c r="I903" s="117">
        <f t="shared" si="190"/>
        <v>538053</v>
      </c>
    </row>
    <row r="904" spans="1:9" s="119" customFormat="1" ht="63" hidden="1" x14ac:dyDescent="0.25">
      <c r="A904" s="779" t="str">
        <f>IF(B904&gt;0,VLOOKUP(B904,КВСР!A313:B1478,2),IF(C904&gt;0,VLOOKUP(C904,КФСР!A313:B1825,2),IF(D904&gt;0,VLOOKUP(D904,Программа!A$1:B$5124,2),IF(F904&gt;0,VLOOKUP(F904,КВР!A$1:B$5001,2),IF(E904&gt;0,VLOOKUP(E904,Направление!A$1:B$4812,2))))))</f>
        <v xml:space="preserve">Закупка товаров, работ и услуг для обеспечения государственных (муниципальных) нужд
</v>
      </c>
      <c r="B904" s="114"/>
      <c r="C904" s="109"/>
      <c r="D904" s="111"/>
      <c r="E904" s="109"/>
      <c r="F904" s="111">
        <v>200</v>
      </c>
      <c r="G904" s="268">
        <v>0</v>
      </c>
      <c r="H904" s="330"/>
      <c r="I904" s="117">
        <f t="shared" si="190"/>
        <v>0</v>
      </c>
    </row>
    <row r="905" spans="1:9" s="119" customFormat="1" ht="31.5" x14ac:dyDescent="0.25">
      <c r="A905" s="779" t="str">
        <f>IF(B905&gt;0,VLOOKUP(B905,КВСР!A314:B1479,2),IF(C905&gt;0,VLOOKUP(C905,КФСР!A314:B1826,2),IF(D905&gt;0,VLOOKUP(D905,Программа!A$1:B$5124,2),IF(F905&gt;0,VLOOKUP(F905,КВР!A$1:B$5001,2),IF(E905&gt;0,VLOOKUP(E905,Направление!A$1:B$4812,2))))))</f>
        <v>Выполнение других обязательств органов местного самоуправления</v>
      </c>
      <c r="B905" s="114"/>
      <c r="C905" s="109"/>
      <c r="D905" s="111"/>
      <c r="E905" s="109">
        <v>12080</v>
      </c>
      <c r="F905" s="111"/>
      <c r="G905" s="268">
        <v>215000</v>
      </c>
      <c r="H905" s="330">
        <f>H906</f>
        <v>0</v>
      </c>
      <c r="I905" s="330">
        <f>I906</f>
        <v>215000</v>
      </c>
    </row>
    <row r="906" spans="1:9" s="119" customFormat="1" ht="63" x14ac:dyDescent="0.25">
      <c r="A906" s="779" t="str">
        <f>IF(B906&gt;0,VLOOKUP(B906,КВСР!A315:B1480,2),IF(C906&gt;0,VLOOKUP(C906,КФСР!A315:B1827,2),IF(D906&gt;0,VLOOKUP(D906,Программа!A$1:B$5124,2),IF(F906&gt;0,VLOOKUP(F906,КВР!A$1:B$5001,2),IF(E906&gt;0,VLOOKUP(E906,Направление!A$1:B$4812,2))))))</f>
        <v xml:space="preserve">Закупка товаров, работ и услуг для обеспечения государственных (муниципальных) нужд
</v>
      </c>
      <c r="B906" s="114"/>
      <c r="C906" s="109"/>
      <c r="D906" s="111"/>
      <c r="E906" s="109"/>
      <c r="F906" s="111">
        <v>200</v>
      </c>
      <c r="G906" s="268">
        <v>215000</v>
      </c>
      <c r="H906" s="330"/>
      <c r="I906" s="117">
        <f t="shared" si="190"/>
        <v>215000</v>
      </c>
    </row>
    <row r="907" spans="1:9" s="119" customFormat="1" ht="63" x14ac:dyDescent="0.25">
      <c r="A907" s="779" t="str">
        <f>IF(B907&gt;0,VLOOKUP(B907,КВСР!A314:B1479,2),IF(C907&gt;0,VLOOKUP(C907,КФСР!A314:B1826,2),IF(D907&gt;0,VLOOKUP(D907,Программа!A$1:B$5124,2),IF(F907&gt;0,VLOOKUP(F907,КВР!A$1:B$5001,2),IF(E907&gt;0,VLOOKUP(E907,Направление!A$1:B$4812,2))))))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07" s="114"/>
      <c r="C907" s="109"/>
      <c r="D907" s="110"/>
      <c r="E907" s="109">
        <v>70870</v>
      </c>
      <c r="F907" s="111"/>
      <c r="G907" s="268">
        <v>15719019</v>
      </c>
      <c r="H907" s="330">
        <f>H908+H909+H910</f>
        <v>0</v>
      </c>
      <c r="I907" s="330">
        <f>I908+I909+I910</f>
        <v>15719019</v>
      </c>
    </row>
    <row r="908" spans="1:9" s="119" customFormat="1" ht="110.25" x14ac:dyDescent="0.25">
      <c r="A908" s="779" t="str">
        <f>IF(B908&gt;0,VLOOKUP(B908,КВСР!A315:B1480,2),IF(C908&gt;0,VLOOKUP(C908,КФСР!A315:B1827,2),IF(D908&gt;0,VLOOKUP(D908,Программа!A$1:B$5124,2),IF(F908&gt;0,VLOOKUP(F908,КВР!A$1:B$5001,2),IF(E908&gt;0,VLOOKUP(E908,Направление!A$1:B$4812,2))))))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8" s="114"/>
      <c r="C908" s="109"/>
      <c r="D908" s="111"/>
      <c r="E908" s="109"/>
      <c r="F908" s="111">
        <v>100</v>
      </c>
      <c r="G908" s="268">
        <v>13547019</v>
      </c>
      <c r="H908" s="330"/>
      <c r="I908" s="117">
        <f t="shared" si="190"/>
        <v>13547019</v>
      </c>
    </row>
    <row r="909" spans="1:9" s="119" customFormat="1" ht="63" x14ac:dyDescent="0.25">
      <c r="A909" s="779" t="str">
        <f>IF(B909&gt;0,VLOOKUP(B909,КВСР!A316:B1481,2),IF(C909&gt;0,VLOOKUP(C909,КФСР!A316:B1828,2),IF(D909&gt;0,VLOOKUP(D909,Программа!A$1:B$5124,2),IF(F909&gt;0,VLOOKUP(F909,КВР!A$1:B$5001,2),IF(E909&gt;0,VLOOKUP(E909,Направление!A$1:B$4812,2))))))</f>
        <v xml:space="preserve">Закупка товаров, работ и услуг для обеспечения государственных (муниципальных) нужд
</v>
      </c>
      <c r="B909" s="114"/>
      <c r="C909" s="109"/>
      <c r="D909" s="111"/>
      <c r="E909" s="109"/>
      <c r="F909" s="111">
        <v>200</v>
      </c>
      <c r="G909" s="268">
        <v>2164000</v>
      </c>
      <c r="H909" s="330"/>
      <c r="I909" s="117">
        <f t="shared" si="190"/>
        <v>2164000</v>
      </c>
    </row>
    <row r="910" spans="1:9" s="119" customFormat="1" x14ac:dyDescent="0.25">
      <c r="A910" s="779" t="str">
        <f>IF(B910&gt;0,VLOOKUP(B910,КВСР!A317:B1482,2),IF(C910&gt;0,VLOOKUP(C910,КФСР!A317:B1829,2),IF(D910&gt;0,VLOOKUP(D910,Программа!A$1:B$5124,2),IF(F910&gt;0,VLOOKUP(F910,КВР!A$1:B$5001,2),IF(E910&gt;0,VLOOKUP(E910,Направление!A$1:B$4812,2))))))</f>
        <v>Иные бюджетные ассигнования</v>
      </c>
      <c r="B910" s="114"/>
      <c r="C910" s="109"/>
      <c r="D910" s="111"/>
      <c r="E910" s="109"/>
      <c r="F910" s="111">
        <v>800</v>
      </c>
      <c r="G910" s="268">
        <v>8000</v>
      </c>
      <c r="H910" s="330"/>
      <c r="I910" s="117">
        <f t="shared" si="190"/>
        <v>8000</v>
      </c>
    </row>
    <row r="911" spans="1:9" s="119" customFormat="1" ht="31.5" x14ac:dyDescent="0.25">
      <c r="A911" s="779" t="str">
        <f>IF(B911&gt;0,VLOOKUP(B911,КВСР!A318:B1483,2),IF(C911&gt;0,VLOOKUP(C911,КФСР!A318:B1830,2),IF(D911&gt;0,VLOOKUP(D911,Программа!A$1:B$5124,2),IF(F911&gt;0,VLOOKUP(F911,КВР!A$1:B$5001,2),IF(E911&gt;0,VLOOKUP(E911,Направление!A$1:B$4812,2))))))</f>
        <v>Информационное обеспечение реализации мероприятий программы</v>
      </c>
      <c r="B911" s="114"/>
      <c r="C911" s="109"/>
      <c r="D911" s="110" t="s">
        <v>1167</v>
      </c>
      <c r="E911" s="109"/>
      <c r="F911" s="111"/>
      <c r="G911" s="268">
        <v>731000</v>
      </c>
      <c r="H911" s="330">
        <f>H912</f>
        <v>0</v>
      </c>
      <c r="I911" s="330">
        <f>I912</f>
        <v>731000</v>
      </c>
    </row>
    <row r="912" spans="1:9" s="119" customFormat="1" ht="63" x14ac:dyDescent="0.25">
      <c r="A912" s="779" t="str">
        <f>IF(B912&gt;0,VLOOKUP(B912,КВСР!A319:B1484,2),IF(C912&gt;0,VLOOKUP(C912,КФСР!A319:B1831,2),IF(D912&gt;0,VLOOKUP(D912,Программа!A$1:B$5124,2),IF(F912&gt;0,VLOOKUP(F912,КВР!A$1:B$5001,2),IF(E912&gt;0,VLOOKUP(E912,Направление!A$1:B$4812,2))))))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12" s="114"/>
      <c r="C912" s="109"/>
      <c r="D912" s="110"/>
      <c r="E912" s="109">
        <v>70870</v>
      </c>
      <c r="F912" s="111"/>
      <c r="G912" s="268">
        <v>731000</v>
      </c>
      <c r="H912" s="330">
        <f>H913</f>
        <v>0</v>
      </c>
      <c r="I912" s="330">
        <f>I913</f>
        <v>731000</v>
      </c>
    </row>
    <row r="913" spans="1:9" s="119" customFormat="1" ht="63" x14ac:dyDescent="0.25">
      <c r="A913" s="779" t="str">
        <f>IF(B913&gt;0,VLOOKUP(B913,КВСР!A320:B1485,2),IF(C913&gt;0,VLOOKUP(C913,КФСР!A320:B1832,2),IF(D913&gt;0,VLOOKUP(D913,Программа!A$1:B$5124,2),IF(F913&gt;0,VLOOKUP(F913,КВР!A$1:B$5001,2),IF(E913&gt;0,VLOOKUP(E913,Направление!A$1:B$4812,2))))))</f>
        <v xml:space="preserve">Закупка товаров, работ и услуг для обеспечения государственных (муниципальных) нужд
</v>
      </c>
      <c r="B913" s="114"/>
      <c r="C913" s="109"/>
      <c r="D913" s="111"/>
      <c r="E913" s="109"/>
      <c r="F913" s="111">
        <v>200</v>
      </c>
      <c r="G913" s="268">
        <v>731000</v>
      </c>
      <c r="H913" s="330"/>
      <c r="I913" s="117">
        <f t="shared" si="190"/>
        <v>731000</v>
      </c>
    </row>
    <row r="914" spans="1:9" s="119" customFormat="1" ht="31.5" x14ac:dyDescent="0.25">
      <c r="A914" s="779" t="str">
        <f>IF(B914&gt;0,VLOOKUP(B914,КВСР!A321:B1486,2),IF(C914&gt;0,VLOOKUP(C914,КФСР!A321:B1833,2),IF(D914&gt;0,VLOOKUP(D914,Программа!A$1:B$5124,2),IF(F914&gt;0,VLOOKUP(F914,КВР!A$1:B$5001,2),IF(E914&gt;0,VLOOKUP(E914,Направление!A$1:B$4812,2))))))</f>
        <v>Муниципальная программа "Доступная среда "</v>
      </c>
      <c r="B914" s="114"/>
      <c r="C914" s="109"/>
      <c r="D914" s="111" t="s">
        <v>508</v>
      </c>
      <c r="E914" s="109"/>
      <c r="F914" s="111"/>
      <c r="G914" s="268">
        <v>34290</v>
      </c>
      <c r="H914" s="330">
        <f t="shared" ref="H914:I916" si="207">H915</f>
        <v>0</v>
      </c>
      <c r="I914" s="280">
        <f t="shared" si="207"/>
        <v>34290</v>
      </c>
    </row>
    <row r="915" spans="1:9" s="119" customFormat="1" ht="94.5" x14ac:dyDescent="0.25">
      <c r="A915" s="779" t="str">
        <f>IF(B915&gt;0,VLOOKUP(B915,КВСР!A322:B1487,2),IF(C915&gt;0,VLOOKUP(C915,КФСР!A322:B1834,2),IF(D915&gt;0,VLOOKUP(D915,Программа!A$1:B$5124,2),IF(F915&gt;0,VLOOKUP(F915,КВР!A$1:B$5001,2),IF(E915&gt;0,VLOOKUP(E915,Направление!A$1:B$4812,2))))))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15" s="114"/>
      <c r="C915" s="109"/>
      <c r="D915" s="111" t="s">
        <v>509</v>
      </c>
      <c r="E915" s="109"/>
      <c r="F915" s="111"/>
      <c r="G915" s="268">
        <v>34290</v>
      </c>
      <c r="H915" s="330">
        <f t="shared" si="207"/>
        <v>0</v>
      </c>
      <c r="I915" s="280">
        <f t="shared" si="207"/>
        <v>34290</v>
      </c>
    </row>
    <row r="916" spans="1:9" s="119" customFormat="1" ht="47.25" x14ac:dyDescent="0.25">
      <c r="A916" s="779" t="str">
        <f>IF(B916&gt;0,VLOOKUP(B916,КВСР!A323:B1488,2),IF(C916&gt;0,VLOOKUP(C916,КФСР!A323:B1835,2),IF(D916&gt;0,VLOOKUP(D916,Программа!A$1:B$5124,2),IF(F916&gt;0,VLOOKUP(F916,КВР!A$1:B$5001,2),IF(E916&gt;0,VLOOKUP(E916,Направление!A$1:B$4812,2))))))</f>
        <v>Расходы на оборудование социально значимых объектов с целью обеспечения доступности для инвалидов</v>
      </c>
      <c r="B916" s="114"/>
      <c r="C916" s="109"/>
      <c r="D916" s="111"/>
      <c r="E916" s="109">
        <v>16250</v>
      </c>
      <c r="F916" s="111"/>
      <c r="G916" s="268">
        <v>34290</v>
      </c>
      <c r="H916" s="330">
        <f t="shared" si="207"/>
        <v>0</v>
      </c>
      <c r="I916" s="280">
        <f t="shared" si="207"/>
        <v>34290</v>
      </c>
    </row>
    <row r="917" spans="1:9" s="119" customFormat="1" ht="63" x14ac:dyDescent="0.25">
      <c r="A917" s="779" t="str">
        <f>IF(B917&gt;0,VLOOKUP(B917,КВСР!A324:B1489,2),IF(C917&gt;0,VLOOKUP(C917,КФСР!A324:B1836,2),IF(D917&gt;0,VLOOKUP(D917,Программа!A$1:B$5124,2),IF(F917&gt;0,VLOOKUP(F917,КВР!A$1:B$5001,2),IF(E917&gt;0,VLOOKUP(E917,Направление!A$1:B$4812,2))))))</f>
        <v xml:space="preserve">Закупка товаров, работ и услуг для обеспечения государственных (муниципальных) нужд
</v>
      </c>
      <c r="B917" s="114"/>
      <c r="C917" s="109"/>
      <c r="D917" s="111"/>
      <c r="E917" s="109"/>
      <c r="F917" s="111">
        <v>200</v>
      </c>
      <c r="G917" s="268">
        <v>34290</v>
      </c>
      <c r="H917" s="330"/>
      <c r="I917" s="117">
        <f>G917+H917</f>
        <v>34290</v>
      </c>
    </row>
    <row r="918" spans="1:9" s="119" customFormat="1" ht="94.5" x14ac:dyDescent="0.25">
      <c r="A918" s="779" t="str">
        <f>IF(B918&gt;0,VLOOKUP(B918,КВСР!A321:B1486,2),IF(C918&gt;0,VLOOKUP(C918,КФСР!A321:B1833,2),IF(D918&gt;0,VLOOKUP(D918,Программа!A$1:B$5124,2),IF(F918&gt;0,VLOOKUP(F918,КВР!A$1:B$5001,2),IF(E918&gt;0,VLOOKUP(E918,Направление!A$1:B$4812,2))))))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18" s="114"/>
      <c r="C918" s="109"/>
      <c r="D918" s="111" t="s">
        <v>322</v>
      </c>
      <c r="E918" s="109"/>
      <c r="F918" s="111"/>
      <c r="G918" s="268">
        <v>3255</v>
      </c>
      <c r="H918" s="330">
        <f t="shared" ref="H918:I919" si="208">H919</f>
        <v>113274</v>
      </c>
      <c r="I918" s="280">
        <f t="shared" si="208"/>
        <v>116529</v>
      </c>
    </row>
    <row r="919" spans="1:9" s="119" customFormat="1" ht="94.5" x14ac:dyDescent="0.25">
      <c r="A919" s="779" t="str">
        <f>IF(B919&gt;0,VLOOKUP(B919,КВСР!A322:B1487,2),IF(C919&gt;0,VLOOKUP(C919,КФСР!A322:B1834,2),IF(D919&gt;0,VLOOKUP(D919,Программа!A$1:B$5124,2),IF(F919&gt;0,VLOOKUP(F919,КВР!A$1:B$5001,2),IF(E919&gt;0,VLOOKUP(E919,Направление!A$1:B$4812,2))))))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19" s="114"/>
      <c r="C919" s="109"/>
      <c r="D919" s="111" t="s">
        <v>1518</v>
      </c>
      <c r="E919" s="109"/>
      <c r="F919" s="111"/>
      <c r="G919" s="268">
        <v>3255</v>
      </c>
      <c r="H919" s="330">
        <f t="shared" si="208"/>
        <v>113274</v>
      </c>
      <c r="I919" s="280">
        <f t="shared" si="208"/>
        <v>116529</v>
      </c>
    </row>
    <row r="920" spans="1:9" s="119" customFormat="1" ht="31.5" x14ac:dyDescent="0.25">
      <c r="A920" s="779" t="str">
        <f>IF(B920&gt;0,VLOOKUP(B920,КВСР!A323:B1488,2),IF(C920&gt;0,VLOOKUP(C920,КФСР!A323:B1835,2),IF(D920&gt;0,VLOOKUP(D920,Программа!A$1:B$5124,2),IF(F920&gt;0,VLOOKUP(F920,КВР!A$1:B$5001,2),IF(E920&gt;0,VLOOKUP(E920,Направление!A$1:B$4812,2))))))</f>
        <v>Внедрение проектной деятельности и бережливых технологий</v>
      </c>
      <c r="B920" s="114"/>
      <c r="C920" s="109"/>
      <c r="D920" s="111"/>
      <c r="E920" s="109">
        <v>12300</v>
      </c>
      <c r="F920" s="111"/>
      <c r="G920" s="268">
        <v>3255</v>
      </c>
      <c r="H920" s="330">
        <f t="shared" ref="H920:I920" si="209">H921</f>
        <v>113274</v>
      </c>
      <c r="I920" s="280">
        <f t="shared" si="209"/>
        <v>116529</v>
      </c>
    </row>
    <row r="921" spans="1:9" s="119" customFormat="1" ht="110.25" x14ac:dyDescent="0.25">
      <c r="A921" s="779" t="str">
        <f>IF(B921&gt;0,VLOOKUP(B921,КВСР!A324:B1489,2),IF(C921&gt;0,VLOOKUP(C921,КФСР!A324:B1836,2),IF(D921&gt;0,VLOOKUP(D921,Программа!A$1:B$5124,2),IF(F921&gt;0,VLOOKUP(F921,КВР!A$1:B$5001,2),IF(E921&gt;0,VLOOKUP(E921,Направление!A$1:B$4812,2))))))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1" s="114"/>
      <c r="C921" s="109"/>
      <c r="D921" s="111"/>
      <c r="E921" s="109"/>
      <c r="F921" s="111">
        <v>100</v>
      </c>
      <c r="G921" s="268">
        <v>3255</v>
      </c>
      <c r="H921" s="330">
        <f>87000+26274</f>
        <v>113274</v>
      </c>
      <c r="I921" s="117">
        <f>G921+H921</f>
        <v>116529</v>
      </c>
    </row>
    <row r="922" spans="1:9" s="119" customFormat="1" ht="31.5" x14ac:dyDescent="0.25">
      <c r="A922" s="778" t="str">
        <f>IF(B922&gt;0,VLOOKUP(B922,КВСР!A318:B1483,2),IF(C922&gt;0,VLOOKUP(C922,КФСР!A318:B1830,2),IF(D922&gt;0,VLOOKUP(D922,Программа!A$1:B$5124,2),IF(F922&gt;0,VLOOKUP(F922,КВР!A$1:B$5001,2),IF(E922&gt;0,VLOOKUP(E922,Направление!A$1:B$4812,2))))))</f>
        <v>Департамент финансов администрации ТМР</v>
      </c>
      <c r="B922" s="108">
        <v>955</v>
      </c>
      <c r="C922" s="109"/>
      <c r="D922" s="110"/>
      <c r="E922" s="109"/>
      <c r="F922" s="111"/>
      <c r="G922" s="368">
        <v>32248058</v>
      </c>
      <c r="H922" s="329">
        <f>H923+H930+H961+H965+H953</f>
        <v>182000</v>
      </c>
      <c r="I922" s="329">
        <f>I923+I930+I961+I965+I953</f>
        <v>32430058</v>
      </c>
    </row>
    <row r="923" spans="1:9" s="119" customFormat="1" ht="63" x14ac:dyDescent="0.25">
      <c r="A923" s="779" t="str">
        <f>IF(B923&gt;0,VLOOKUP(B923,КВСР!A319:B1484,2),IF(C923&gt;0,VLOOKUP(C923,КФСР!A319:B1831,2),IF(D923&gt;0,VLOOKUP(D923,Программа!A$1:B$5124,2),IF(F923&gt;0,VLOOKUP(F923,КВР!A$1:B$5001,2),IF(E923&gt;0,VLOOKUP(E923,Направление!A$1:B$4812,2))))))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923" s="114"/>
      <c r="C923" s="109">
        <v>106</v>
      </c>
      <c r="D923" s="110"/>
      <c r="E923" s="109"/>
      <c r="F923" s="111"/>
      <c r="G923" s="268">
        <v>18872897</v>
      </c>
      <c r="H923" s="330">
        <f t="shared" ref="H923:I923" si="210">H924</f>
        <v>482000</v>
      </c>
      <c r="I923" s="330">
        <f t="shared" si="210"/>
        <v>19354897</v>
      </c>
    </row>
    <row r="924" spans="1:9" x14ac:dyDescent="0.25">
      <c r="A924" s="779" t="str">
        <f>IF(B924&gt;0,VLOOKUP(B924,КВСР!A328:B1493,2),IF(C924&gt;0,VLOOKUP(C924,КФСР!A328:B1840,2),IF(D924&gt;0,VLOOKUP(D924,Программа!A$1:B$5124,2),IF(F924&gt;0,VLOOKUP(F924,КВР!A$1:B$5001,2),IF(E924&gt;0,VLOOKUP(E924,Направление!A$1:B$4812,2))))))</f>
        <v>Непрограммные расходы бюджета</v>
      </c>
      <c r="B924" s="114"/>
      <c r="C924" s="109"/>
      <c r="D924" s="111" t="s">
        <v>311</v>
      </c>
      <c r="E924" s="109"/>
      <c r="F924" s="111"/>
      <c r="G924" s="286">
        <v>18872897</v>
      </c>
      <c r="H924" s="330">
        <f>H925</f>
        <v>482000</v>
      </c>
      <c r="I924" s="275">
        <f>I925</f>
        <v>19354897</v>
      </c>
    </row>
    <row r="925" spans="1:9" x14ac:dyDescent="0.25">
      <c r="A925" s="779" t="str">
        <f>IF(B925&gt;0,VLOOKUP(B925,КВСР!A329:B1494,2),IF(C925&gt;0,VLOOKUP(C925,КФСР!A329:B1841,2),IF(D925&gt;0,VLOOKUP(D925,Программа!A$1:B$5124,2),IF(F925&gt;0,VLOOKUP(F925,КВР!A$1:B$5001,2),IF(E925&gt;0,VLOOKUP(E925,Направление!A$1:B$4812,2))))))</f>
        <v>Содержание центрального аппарата</v>
      </c>
      <c r="B925" s="114"/>
      <c r="C925" s="109"/>
      <c r="D925" s="111"/>
      <c r="E925" s="109">
        <v>12010</v>
      </c>
      <c r="F925" s="111"/>
      <c r="G925" s="286">
        <v>18872897</v>
      </c>
      <c r="H925" s="275">
        <f>H926+H927+H929+H928</f>
        <v>482000</v>
      </c>
      <c r="I925" s="275">
        <f>I926+I927+I929+I928</f>
        <v>19354897</v>
      </c>
    </row>
    <row r="926" spans="1:9" ht="110.25" x14ac:dyDescent="0.25">
      <c r="A926" s="779" t="str">
        <f>IF(B926&gt;0,VLOOKUP(B926,КВСР!A330:B1495,2),IF(C926&gt;0,VLOOKUP(C926,КФСР!A330:B1842,2),IF(D926&gt;0,VLOOKUP(D926,Программа!A$1:B$5124,2),IF(F926&gt;0,VLOOKUP(F926,КВР!A$1:B$5001,2),IF(E926&gt;0,VLOOKUP(E926,Направление!A$1:B$4812,2))))))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6" s="114"/>
      <c r="C926" s="109"/>
      <c r="D926" s="111"/>
      <c r="E926" s="109"/>
      <c r="F926" s="111">
        <v>100</v>
      </c>
      <c r="G926" s="286">
        <v>16793782</v>
      </c>
      <c r="H926" s="275">
        <f>300000+182000-49569</f>
        <v>432431</v>
      </c>
      <c r="I926" s="117">
        <f t="shared" si="190"/>
        <v>17226213</v>
      </c>
    </row>
    <row r="927" spans="1:9" ht="63" x14ac:dyDescent="0.25">
      <c r="A927" s="779" t="str">
        <f>IF(B927&gt;0,VLOOKUP(B927,КВСР!A331:B1496,2),IF(C927&gt;0,VLOOKUP(C927,КФСР!A331:B1843,2),IF(D927&gt;0,VLOOKUP(D927,Программа!A$1:B$5124,2),IF(F927&gt;0,VLOOKUP(F927,КВР!A$1:B$5001,2),IF(E927&gt;0,VLOOKUP(E927,Направление!A$1:B$4812,2))))))</f>
        <v xml:space="preserve">Закупка товаров, работ и услуг для обеспечения государственных (муниципальных) нужд
</v>
      </c>
      <c r="B927" s="114"/>
      <c r="C927" s="109"/>
      <c r="D927" s="111"/>
      <c r="E927" s="109"/>
      <c r="F927" s="111">
        <v>200</v>
      </c>
      <c r="G927" s="286">
        <v>2045615</v>
      </c>
      <c r="H927" s="275">
        <v>49569</v>
      </c>
      <c r="I927" s="117">
        <f t="shared" si="190"/>
        <v>2095184</v>
      </c>
    </row>
    <row r="928" spans="1:9" ht="31.5" hidden="1" x14ac:dyDescent="0.25">
      <c r="A928" s="779" t="str">
        <f>IF(B928&gt;0,VLOOKUP(B928,КВСР!A332:B1497,2),IF(C928&gt;0,VLOOKUP(C928,КФСР!A332:B1844,2),IF(D928&gt;0,VLOOKUP(D928,Программа!A$1:B$5124,2),IF(F928&gt;0,VLOOKUP(F928,КВР!A$1:B$5001,2),IF(E928&gt;0,VLOOKUP(E928,Направление!A$1:B$4812,2))))))</f>
        <v>Социальное обеспечение и иные выплаты населению</v>
      </c>
      <c r="B928" s="114"/>
      <c r="C928" s="109"/>
      <c r="D928" s="111"/>
      <c r="E928" s="109"/>
      <c r="F928" s="111">
        <v>300</v>
      </c>
      <c r="G928" s="286">
        <v>0</v>
      </c>
      <c r="H928" s="275"/>
      <c r="I928" s="117">
        <f t="shared" si="190"/>
        <v>0</v>
      </c>
    </row>
    <row r="929" spans="1:9" x14ac:dyDescent="0.25">
      <c r="A929" s="779" t="str">
        <f>IF(B929&gt;0,VLOOKUP(B929,КВСР!A332:B1497,2),IF(C929&gt;0,VLOOKUP(C929,КФСР!A332:B1844,2),IF(D929&gt;0,VLOOKUP(D929,Программа!A$1:B$5124,2),IF(F929&gt;0,VLOOKUP(F929,КВР!A$1:B$5001,2),IF(E929&gt;0,VLOOKUP(E929,Направление!A$1:B$4812,2))))))</f>
        <v>Иные бюджетные ассигнования</v>
      </c>
      <c r="B929" s="114"/>
      <c r="C929" s="109"/>
      <c r="D929" s="111"/>
      <c r="E929" s="109"/>
      <c r="F929" s="111">
        <v>800</v>
      </c>
      <c r="G929" s="286">
        <v>33500</v>
      </c>
      <c r="H929" s="275"/>
      <c r="I929" s="117">
        <f t="shared" si="190"/>
        <v>33500</v>
      </c>
    </row>
    <row r="930" spans="1:9" x14ac:dyDescent="0.25">
      <c r="A930" s="779" t="str">
        <f>IF(B930&gt;0,VLOOKUP(B930,КВСР!A328:B1493,2),IF(C930&gt;0,VLOOKUP(C930,КФСР!A328:B1840,2),IF(D930&gt;0,VLOOKUP(D930,Программа!A$1:B$5124,2),IF(F930&gt;0,VLOOKUP(F930,КВР!A$1:B$5001,2),IF(E930&gt;0,VLOOKUP(E930,Направление!A$1:B$4812,2))))))</f>
        <v>Другие общегосударственные вопросы</v>
      </c>
      <c r="B930" s="114"/>
      <c r="C930" s="109">
        <v>113</v>
      </c>
      <c r="D930" s="111"/>
      <c r="E930" s="109"/>
      <c r="F930" s="111"/>
      <c r="G930" s="286">
        <v>12775161</v>
      </c>
      <c r="H930" s="275">
        <f t="shared" ref="H930" si="211">H938+H931+H945</f>
        <v>0</v>
      </c>
      <c r="I930" s="275">
        <f t="shared" ref="I930" si="212">I938+I931+I945</f>
        <v>12775161</v>
      </c>
    </row>
    <row r="931" spans="1:9" ht="94.5" x14ac:dyDescent="0.25">
      <c r="A931" s="779" t="str">
        <f>IF(B931&gt;0,VLOOKUP(B931,КВСР!A334:B1499,2),IF(C931&gt;0,VLOOKUP(C931,КФСР!A334:B1846,2),IF(D931&gt;0,VLOOKUP(D931,Программа!A$1:B$5124,2),IF(F931&gt;0,VLOOKUP(F931,КВР!A$1:B$5001,2),IF(E931&gt;0,VLOOKUP(E931,Направление!A$1:B$4812,2))))))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31" s="114"/>
      <c r="C931" s="109"/>
      <c r="D931" s="111" t="s">
        <v>322</v>
      </c>
      <c r="E931" s="109"/>
      <c r="F931" s="111"/>
      <c r="G931" s="115">
        <v>645500</v>
      </c>
      <c r="H931" s="275">
        <f>H932+H935</f>
        <v>0</v>
      </c>
      <c r="I931" s="275">
        <f>I932+I935</f>
        <v>645500</v>
      </c>
    </row>
    <row r="932" spans="1:9" ht="78.75" hidden="1" x14ac:dyDescent="0.25">
      <c r="A932" s="779" t="str">
        <f>IF(B932&gt;0,VLOOKUP(B932,КВСР!A335:B1500,2),IF(C932&gt;0,VLOOKUP(C932,КФСР!A335:B1847,2),IF(D932&gt;0,VLOOKUP(D932,Программа!A$1:B$5124,2),IF(F932&gt;0,VLOOKUP(F932,КВР!A$1:B$5001,2),IF(E932&gt;0,VLOOKUP(E932,Направление!A$1:B$4812,2))))))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32" s="114"/>
      <c r="C932" s="109"/>
      <c r="D932" s="111" t="s">
        <v>323</v>
      </c>
      <c r="E932" s="109"/>
      <c r="F932" s="111"/>
      <c r="G932" s="115">
        <v>0</v>
      </c>
      <c r="H932" s="275">
        <f t="shared" ref="H932:I933" si="213">H933</f>
        <v>0</v>
      </c>
      <c r="I932" s="275">
        <f t="shared" si="213"/>
        <v>0</v>
      </c>
    </row>
    <row r="933" spans="1:9" ht="31.5" hidden="1" x14ac:dyDescent="0.25">
      <c r="A933" s="779" t="str">
        <f>IF(B933&gt;0,VLOOKUP(B933,КВСР!A336:B1501,2),IF(C933&gt;0,VLOOKUP(C933,КФСР!A336:B1848,2),IF(D933&gt;0,VLOOKUP(D933,Программа!A$1:B$5124,2),IF(F933&gt;0,VLOOKUP(F933,КВР!A$1:B$5001,2),IF(E933&gt;0,VLOOKUP(E933,Направление!A$1:B$4812,2))))))</f>
        <v>Расходы на развитие муниципальной службы</v>
      </c>
      <c r="B933" s="114"/>
      <c r="C933" s="109"/>
      <c r="D933" s="111"/>
      <c r="E933" s="109">
        <v>12200</v>
      </c>
      <c r="F933" s="111"/>
      <c r="G933" s="115">
        <v>0</v>
      </c>
      <c r="H933" s="275">
        <f t="shared" si="213"/>
        <v>0</v>
      </c>
      <c r="I933" s="275">
        <f t="shared" si="213"/>
        <v>0</v>
      </c>
    </row>
    <row r="934" spans="1:9" ht="63" hidden="1" x14ac:dyDescent="0.25">
      <c r="A934" s="779" t="str">
        <f>IF(B934&gt;0,VLOOKUP(B934,КВСР!A337:B1502,2),IF(C934&gt;0,VLOOKUP(C934,КФСР!A337:B1849,2),IF(D934&gt;0,VLOOKUP(D934,Программа!A$1:B$5124,2),IF(F934&gt;0,VLOOKUP(F934,КВР!A$1:B$5001,2),IF(E934&gt;0,VLOOKUP(E934,Направление!A$1:B$4812,2))))))</f>
        <v xml:space="preserve">Закупка товаров, работ и услуг для обеспечения государственных (муниципальных) нужд
</v>
      </c>
      <c r="B934" s="114"/>
      <c r="C934" s="109"/>
      <c r="D934" s="111"/>
      <c r="E934" s="109"/>
      <c r="F934" s="111">
        <v>200</v>
      </c>
      <c r="G934" s="286">
        <v>0</v>
      </c>
      <c r="H934" s="275"/>
      <c r="I934" s="117">
        <f t="shared" ref="I934:I1033" si="214">SUM(G934:H934)</f>
        <v>0</v>
      </c>
    </row>
    <row r="935" spans="1:9" ht="94.5" x14ac:dyDescent="0.25">
      <c r="A935" s="779" t="str">
        <f>IF(B935&gt;0,VLOOKUP(B935,КВСР!A338:B1503,2),IF(C935&gt;0,VLOOKUP(C935,КФСР!A338:B1850,2),IF(D935&gt;0,VLOOKUP(D935,Программа!A$1:B$5124,2),IF(F935&gt;0,VLOOKUP(F935,КВР!A$1:B$5001,2),IF(E935&gt;0,VLOOKUP(E935,Направление!A$1:B$4812,2))))))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35" s="114"/>
      <c r="C935" s="109"/>
      <c r="D935" s="111" t="s">
        <v>1518</v>
      </c>
      <c r="E935" s="109"/>
      <c r="F935" s="111"/>
      <c r="G935" s="286">
        <v>645500</v>
      </c>
      <c r="H935" s="275">
        <f t="shared" ref="H935:I936" si="215">H936</f>
        <v>0</v>
      </c>
      <c r="I935" s="286">
        <f t="shared" si="215"/>
        <v>645500</v>
      </c>
    </row>
    <row r="936" spans="1:9" ht="31.5" x14ac:dyDescent="0.25">
      <c r="A936" s="779" t="str">
        <f>IF(B936&gt;0,VLOOKUP(B936,КВСР!A339:B1504,2),IF(C936&gt;0,VLOOKUP(C936,КФСР!A339:B1851,2),IF(D936&gt;0,VLOOKUP(D936,Программа!A$1:B$5124,2),IF(F936&gt;0,VLOOKUP(F936,КВР!A$1:B$5001,2),IF(E936&gt;0,VLOOKUP(E936,Направление!A$1:B$4812,2))))))</f>
        <v>Внедрение проектной деятельности и бережливых технологий</v>
      </c>
      <c r="B936" s="114"/>
      <c r="C936" s="109"/>
      <c r="D936" s="111"/>
      <c r="E936" s="109">
        <v>12300</v>
      </c>
      <c r="F936" s="111"/>
      <c r="G936" s="286">
        <v>645500</v>
      </c>
      <c r="H936" s="275">
        <f t="shared" si="215"/>
        <v>0</v>
      </c>
      <c r="I936" s="286">
        <f t="shared" si="215"/>
        <v>645500</v>
      </c>
    </row>
    <row r="937" spans="1:9" ht="110.25" x14ac:dyDescent="0.25">
      <c r="A937" s="779" t="str">
        <f>IF(B937&gt;0,VLOOKUP(B937,КВСР!A340:B1505,2),IF(C937&gt;0,VLOOKUP(C937,КФСР!A340:B1852,2),IF(D937&gt;0,VLOOKUP(D937,Программа!A$1:B$5124,2),IF(F937&gt;0,VLOOKUP(F937,КВР!A$1:B$5001,2),IF(E937&gt;0,VLOOKUP(E937,Направление!A$1:B$4812,2))))))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7" s="114"/>
      <c r="C937" s="109"/>
      <c r="D937" s="111"/>
      <c r="E937" s="109"/>
      <c r="F937" s="111">
        <v>100</v>
      </c>
      <c r="G937" s="286">
        <v>645500</v>
      </c>
      <c r="H937" s="275"/>
      <c r="I937" s="117">
        <f>G937+H937</f>
        <v>645500</v>
      </c>
    </row>
    <row r="938" spans="1:9" ht="63" x14ac:dyDescent="0.25">
      <c r="A938" s="779" t="str">
        <f>IF(B938&gt;0,VLOOKUP(B938,КВСР!A329:B1494,2),IF(C938&gt;0,VLOOKUP(C938,КФСР!A329:B1841,2),IF(D938&gt;0,VLOOKUP(D938,Программа!A$1:B$5124,2),IF(F938&gt;0,VLOOKUP(F938,КВР!A$1:B$5001,2),IF(E938&gt;0,VLOOKUP(E938,Направление!A$1:B$4812,2))))))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938" s="114"/>
      <c r="C938" s="109"/>
      <c r="D938" s="111" t="s">
        <v>326</v>
      </c>
      <c r="E938" s="109"/>
      <c r="F938" s="111"/>
      <c r="G938" s="115">
        <v>1866000</v>
      </c>
      <c r="H938" s="275">
        <f>H939+H942</f>
        <v>0</v>
      </c>
      <c r="I938" s="275">
        <f>I939+I942</f>
        <v>1866000</v>
      </c>
    </row>
    <row r="939" spans="1:9" ht="31.5" x14ac:dyDescent="0.25">
      <c r="A939" s="779" t="str">
        <f>IF(B939&gt;0,VLOOKUP(B939,КВСР!A330:B1495,2),IF(C939&gt;0,VLOOKUP(C939,КФСР!A330:B1842,2),IF(D939&gt;0,VLOOKUP(D939,Программа!A$1:B$5124,2),IF(F939&gt;0,VLOOKUP(F939,КВР!A$1:B$5001,2),IF(E939&gt;0,VLOOKUP(E939,Направление!A$1:B$4812,2))))))</f>
        <v>Бесперебойное функционирование информационных систем</v>
      </c>
      <c r="B939" s="114"/>
      <c r="C939" s="109"/>
      <c r="D939" s="111" t="s">
        <v>360</v>
      </c>
      <c r="E939" s="109"/>
      <c r="F939" s="111"/>
      <c r="G939" s="115">
        <v>1866000</v>
      </c>
      <c r="H939" s="275">
        <f>H940</f>
        <v>0</v>
      </c>
      <c r="I939" s="275">
        <f>I940</f>
        <v>1866000</v>
      </c>
    </row>
    <row r="940" spans="1:9" ht="31.5" x14ac:dyDescent="0.25">
      <c r="A940" s="779" t="str">
        <f>IF(B940&gt;0,VLOOKUP(B940,КВСР!A331:B1496,2),IF(C940&gt;0,VLOOKUP(C940,КФСР!A331:B1843,2),IF(D940&gt;0,VLOOKUP(D940,Программа!A$1:B$5124,2),IF(F940&gt;0,VLOOKUP(F940,КВР!A$1:B$5001,2),IF(E940&gt;0,VLOOKUP(E940,Направление!A$1:B$4812,2))))))</f>
        <v>Расходы на проведение мероприятий по информатизации</v>
      </c>
      <c r="B940" s="114"/>
      <c r="C940" s="109"/>
      <c r="D940" s="111"/>
      <c r="E940" s="109">
        <v>12210</v>
      </c>
      <c r="F940" s="111"/>
      <c r="G940" s="115">
        <v>1866000</v>
      </c>
      <c r="H940" s="275">
        <f>H941</f>
        <v>0</v>
      </c>
      <c r="I940" s="275">
        <f>I941</f>
        <v>1866000</v>
      </c>
    </row>
    <row r="941" spans="1:9" ht="63" x14ac:dyDescent="0.25">
      <c r="A941" s="779" t="str">
        <f>IF(B941&gt;0,VLOOKUP(B941,КВСР!A332:B1497,2),IF(C941&gt;0,VLOOKUP(C941,КФСР!A332:B1844,2),IF(D941&gt;0,VLOOKUP(D941,Программа!A$1:B$5124,2),IF(F941&gt;0,VLOOKUP(F941,КВР!A$1:B$5001,2),IF(E941&gt;0,VLOOKUP(E941,Направление!A$1:B$4812,2))))))</f>
        <v xml:space="preserve">Закупка товаров, работ и услуг для обеспечения государственных (муниципальных) нужд
</v>
      </c>
      <c r="B941" s="114"/>
      <c r="C941" s="109"/>
      <c r="D941" s="111"/>
      <c r="E941" s="109"/>
      <c r="F941" s="111">
        <v>200</v>
      </c>
      <c r="G941" s="286">
        <v>1866000</v>
      </c>
      <c r="H941" s="275"/>
      <c r="I941" s="117">
        <f t="shared" si="214"/>
        <v>1866000</v>
      </c>
    </row>
    <row r="942" spans="1:9" ht="63" hidden="1" x14ac:dyDescent="0.25">
      <c r="A942" s="779" t="str">
        <f>IF(B942&gt;0,VLOOKUP(B942,КВСР!A333:B1498,2),IF(C942&gt;0,VLOOKUP(C942,КФСР!A333:B1845,2),IF(D942&gt;0,VLOOKUP(D942,Программа!A$1:B$5124,2),IF(F942&gt;0,VLOOKUP(F942,КВР!A$1:B$5001,2),IF(E942&gt;0,VLOOKUP(E942,Направление!A$1:B$4812,2))))))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42" s="114"/>
      <c r="C942" s="109"/>
      <c r="D942" s="111" t="s">
        <v>328</v>
      </c>
      <c r="E942" s="109"/>
      <c r="F942" s="111"/>
      <c r="G942" s="286">
        <v>0</v>
      </c>
      <c r="H942" s="275">
        <f>H943</f>
        <v>0</v>
      </c>
      <c r="I942" s="275">
        <f>I943</f>
        <v>0</v>
      </c>
    </row>
    <row r="943" spans="1:9" ht="31.5" hidden="1" x14ac:dyDescent="0.25">
      <c r="A943" s="779" t="str">
        <f>IF(B943&gt;0,VLOOKUP(B943,КВСР!A334:B1499,2),IF(C943&gt;0,VLOOKUP(C943,КФСР!A334:B1846,2),IF(D943&gt;0,VLOOKUP(D943,Программа!A$1:B$5124,2),IF(F943&gt;0,VLOOKUP(F943,КВР!A$1:B$5001,2),IF(E943&gt;0,VLOOKUP(E943,Направление!A$1:B$4812,2))))))</f>
        <v>Расходы на проведение мероприятий по информатизации</v>
      </c>
      <c r="B943" s="114"/>
      <c r="C943" s="109"/>
      <c r="D943" s="111"/>
      <c r="E943" s="109">
        <v>12210</v>
      </c>
      <c r="F943" s="111"/>
      <c r="G943" s="286">
        <v>0</v>
      </c>
      <c r="H943" s="275">
        <f>H944</f>
        <v>0</v>
      </c>
      <c r="I943" s="275">
        <f>I944</f>
        <v>0</v>
      </c>
    </row>
    <row r="944" spans="1:9" ht="63" hidden="1" x14ac:dyDescent="0.25">
      <c r="A944" s="779" t="str">
        <f>IF(B944&gt;0,VLOOKUP(B944,КВСР!A335:B1500,2),IF(C944&gt;0,VLOOKUP(C944,КФСР!A335:B1847,2),IF(D944&gt;0,VLOOKUP(D944,Программа!A$1:B$5124,2),IF(F944&gt;0,VLOOKUP(F944,КВР!A$1:B$5001,2),IF(E944&gt;0,VLOOKUP(E944,Направление!A$1:B$4812,2))))))</f>
        <v xml:space="preserve">Закупка товаров, работ и услуг для обеспечения государственных (муниципальных) нужд
</v>
      </c>
      <c r="B944" s="114"/>
      <c r="C944" s="109"/>
      <c r="D944" s="111"/>
      <c r="E944" s="109"/>
      <c r="F944" s="111">
        <v>200</v>
      </c>
      <c r="G944" s="286">
        <v>0</v>
      </c>
      <c r="H944" s="275"/>
      <c r="I944" s="117">
        <f t="shared" si="214"/>
        <v>0</v>
      </c>
    </row>
    <row r="945" spans="1:9" x14ac:dyDescent="0.25">
      <c r="A945" s="779" t="str">
        <f>IF(B945&gt;0,VLOOKUP(B945,КВСР!A336:B1501,2),IF(C945&gt;0,VLOOKUP(C945,КФСР!A336:B1848,2),IF(D945&gt;0,VLOOKUP(D945,Программа!A$1:B$5124,2),IF(F945&gt;0,VLOOKUP(F945,КВР!A$1:B$5001,2),IF(E945&gt;0,VLOOKUP(E945,Направление!A$1:B$4812,2))))))</f>
        <v>Непрограммные расходы бюджета</v>
      </c>
      <c r="B945" s="114"/>
      <c r="C945" s="109"/>
      <c r="D945" s="111" t="s">
        <v>311</v>
      </c>
      <c r="E945" s="109"/>
      <c r="F945" s="111"/>
      <c r="G945" s="274">
        <v>10263661</v>
      </c>
      <c r="H945" s="374">
        <f>H946+H948+H951</f>
        <v>0</v>
      </c>
      <c r="I945" s="275">
        <f>I946+I948+I951</f>
        <v>10263661</v>
      </c>
    </row>
    <row r="946" spans="1:9" ht="31.5" hidden="1" x14ac:dyDescent="0.25">
      <c r="A946" s="779" t="str">
        <f>IF(B946&gt;0,VLOOKUP(B946,КВСР!A337:B1502,2),IF(C946&gt;0,VLOOKUP(C946,КФСР!A337:B1849,2),IF(D946&gt;0,VLOOKUP(D946,Программа!A$1:B$5124,2),IF(F946&gt;0,VLOOKUP(F946,КВР!A$1:B$5001,2),IF(E946&gt;0,VLOOKUP(E946,Направление!A$1:B$4812,2))))))</f>
        <v>Выполнение других обязательств органов местного самоуправления</v>
      </c>
      <c r="B946" s="114"/>
      <c r="C946" s="109"/>
      <c r="D946" s="111"/>
      <c r="E946" s="109">
        <v>12080</v>
      </c>
      <c r="F946" s="111"/>
      <c r="G946" s="286">
        <v>0</v>
      </c>
      <c r="H946" s="275">
        <f t="shared" ref="H946:I946" si="216">H947</f>
        <v>0</v>
      </c>
      <c r="I946" s="286">
        <f t="shared" si="216"/>
        <v>0</v>
      </c>
    </row>
    <row r="947" spans="1:9" ht="63" hidden="1" x14ac:dyDescent="0.25">
      <c r="A947" s="779" t="str">
        <f>IF(B947&gt;0,VLOOKUP(B947,КВСР!A338:B1503,2),IF(C947&gt;0,VLOOKUP(C947,КФСР!A338:B1850,2),IF(D947&gt;0,VLOOKUP(D947,Программа!A$1:B$5124,2),IF(F947&gt;0,VLOOKUP(F947,КВР!A$1:B$5001,2),IF(E947&gt;0,VLOOKUP(E947,Направление!A$1:B$4812,2))))))</f>
        <v xml:space="preserve">Закупка товаров, работ и услуг для обеспечения государственных (муниципальных) нужд
</v>
      </c>
      <c r="B947" s="114"/>
      <c r="C947" s="109"/>
      <c r="D947" s="111"/>
      <c r="E947" s="109"/>
      <c r="F947" s="111">
        <v>200</v>
      </c>
      <c r="G947" s="286">
        <v>0</v>
      </c>
      <c r="H947" s="275"/>
      <c r="I947" s="117">
        <f t="shared" si="214"/>
        <v>0</v>
      </c>
    </row>
    <row r="948" spans="1:9" ht="47.25" x14ac:dyDescent="0.25">
      <c r="A948" s="779" t="str">
        <f>IF(B948&gt;0,VLOOKUP(B948,КВСР!A339:B1504,2),IF(C948&gt;0,VLOOKUP(C948,КФСР!A339:B1851,2),IF(D948&gt;0,VLOOKUP(D948,Программа!A$1:B$5124,2),IF(F948&gt;0,VLOOKUP(F948,КВР!A$1:B$5001,2),IF(E948&gt;0,VLOOKUP(E948,Направление!A$1:B$4812,2))))))</f>
        <v>Обеспечение деятельности подведомственных учреждений органов местного самоуправления</v>
      </c>
      <c r="B948" s="114"/>
      <c r="C948" s="109"/>
      <c r="D948" s="111"/>
      <c r="E948" s="109">
        <v>12100</v>
      </c>
      <c r="F948" s="111"/>
      <c r="G948" s="286">
        <v>10090000</v>
      </c>
      <c r="H948" s="275">
        <f t="shared" ref="H948:I948" si="217">H949+H950</f>
        <v>0</v>
      </c>
      <c r="I948" s="274">
        <f t="shared" si="217"/>
        <v>10090000</v>
      </c>
    </row>
    <row r="949" spans="1:9" ht="110.25" x14ac:dyDescent="0.25">
      <c r="A949" s="779" t="str">
        <f>IF(B949&gt;0,VLOOKUP(B949,КВСР!A340:B1505,2),IF(C949&gt;0,VLOOKUP(C949,КФСР!A340:B1852,2),IF(D949&gt;0,VLOOKUP(D949,Программа!A$1:B$5124,2),IF(F949&gt;0,VLOOKUP(F949,КВР!A$1:B$5001,2),IF(E949&gt;0,VLOOKUP(E949,Направление!A$1:B$4812,2))))))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49" s="114"/>
      <c r="C949" s="109"/>
      <c r="D949" s="111"/>
      <c r="E949" s="109"/>
      <c r="F949" s="111">
        <v>100</v>
      </c>
      <c r="G949" s="286">
        <v>8650688</v>
      </c>
      <c r="H949" s="275">
        <v>39500</v>
      </c>
      <c r="I949" s="117">
        <f>G949+H949</f>
        <v>8690188</v>
      </c>
    </row>
    <row r="950" spans="1:9" ht="63" x14ac:dyDescent="0.25">
      <c r="A950" s="779" t="str">
        <f>IF(B950&gt;0,VLOOKUP(B950,КВСР!A340:B1505,2),IF(C950&gt;0,VLOOKUP(C950,КФСР!A340:B1852,2),IF(D950&gt;0,VLOOKUP(D950,Программа!A$1:B$5124,2),IF(F950&gt;0,VLOOKUP(F950,КВР!A$1:B$5001,2),IF(E950&gt;0,VLOOKUP(E950,Направление!A$1:B$4812,2))))))</f>
        <v xml:space="preserve">Закупка товаров, работ и услуг для обеспечения государственных (муниципальных) нужд
</v>
      </c>
      <c r="B950" s="114"/>
      <c r="C950" s="109"/>
      <c r="D950" s="111"/>
      <c r="E950" s="109"/>
      <c r="F950" s="111">
        <v>200</v>
      </c>
      <c r="G950" s="286">
        <v>1439312</v>
      </c>
      <c r="H950" s="275">
        <v>-39500</v>
      </c>
      <c r="I950" s="117">
        <f>G950+H950</f>
        <v>1399812</v>
      </c>
    </row>
    <row r="951" spans="1:9" ht="78.75" x14ac:dyDescent="0.25">
      <c r="A951" s="779" t="str">
        <f>IF(B951&gt;0,VLOOKUP(B951,КВСР!A341:B1506,2),IF(C951&gt;0,VLOOKUP(C951,КФСР!A341:B1853,2),IF(D951&gt;0,VLOOKUP(D951,Программа!A$1:B$5124,2),IF(F951&gt;0,VLOOKUP(F951,КВР!A$1:B$5001,2),IF(E951&gt;0,VLOOKUP(E951,Направление!A$1:B$4812,2))))))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51" s="114"/>
      <c r="C951" s="109"/>
      <c r="D951" s="111"/>
      <c r="E951" s="109">
        <v>29396</v>
      </c>
      <c r="F951" s="111"/>
      <c r="G951" s="275">
        <v>173661</v>
      </c>
      <c r="H951" s="275">
        <f>H952</f>
        <v>0</v>
      </c>
      <c r="I951" s="117">
        <f t="shared" ref="I951:I952" si="218">G951+H951</f>
        <v>173661</v>
      </c>
    </row>
    <row r="952" spans="1:9" ht="63" x14ac:dyDescent="0.25">
      <c r="A952" s="779" t="str">
        <f>IF(B952&gt;0,VLOOKUP(B952,КВСР!A342:B1507,2),IF(C952&gt;0,VLOOKUP(C952,КФСР!A342:B1854,2),IF(D952&gt;0,VLOOKUP(D952,Программа!A$1:B$5124,2),IF(F952&gt;0,VLOOKUP(F952,КВР!A$1:B$5001,2),IF(E952&gt;0,VLOOKUP(E952,Направление!A$1:B$4812,2))))))</f>
        <v xml:space="preserve">Закупка товаров, работ и услуг для обеспечения государственных (муниципальных) нужд
</v>
      </c>
      <c r="B952" s="114"/>
      <c r="C952" s="109"/>
      <c r="D952" s="111"/>
      <c r="E952" s="109"/>
      <c r="F952" s="111">
        <v>200</v>
      </c>
      <c r="G952" s="275">
        <v>173661</v>
      </c>
      <c r="H952" s="275"/>
      <c r="I952" s="117">
        <f t="shared" si="218"/>
        <v>173661</v>
      </c>
    </row>
    <row r="953" spans="1:9" ht="47.25" hidden="1" x14ac:dyDescent="0.25">
      <c r="A953" s="779" t="str">
        <f>IF(B953&gt;0,VLOOKUP(B953,КВСР!A338:B1503,2),IF(C953&gt;0,VLOOKUP(C953,КФСР!A338:B1850,2),IF(D953&gt;0,VLOOKUP(D953,Программа!A$1:B$5124,2),IF(F953&gt;0,VLOOKUP(F953,КВР!A$1:B$5001,2),IF(E953&gt;0,VLOOKUP(E953,Направление!A$1:B$4812,2))))))</f>
        <v>Профессиональная подготовка, переподготовка и повышение квалификации</v>
      </c>
      <c r="B953" s="114"/>
      <c r="C953" s="109">
        <v>705</v>
      </c>
      <c r="D953" s="111"/>
      <c r="E953" s="109"/>
      <c r="F953" s="111"/>
      <c r="G953" s="286">
        <v>0</v>
      </c>
      <c r="H953" s="275">
        <f t="shared" ref="H953:I953" si="219">H954+H958</f>
        <v>0</v>
      </c>
      <c r="I953" s="286">
        <f t="shared" si="219"/>
        <v>0</v>
      </c>
    </row>
    <row r="954" spans="1:9" ht="94.5" hidden="1" x14ac:dyDescent="0.25">
      <c r="A954" s="779" t="str">
        <f>IF(B954&gt;0,VLOOKUP(B954,КВСР!A339:B1504,2),IF(C954&gt;0,VLOOKUP(C954,КФСР!A339:B1851,2),IF(D954&gt;0,VLOOKUP(D954,Программа!A$1:B$5124,2),IF(F954&gt;0,VLOOKUP(F954,КВР!A$1:B$5001,2),IF(E954&gt;0,VLOOKUP(E954,Направление!A$1:B$4812,2))))))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54" s="114"/>
      <c r="C954" s="109"/>
      <c r="D954" s="111" t="s">
        <v>322</v>
      </c>
      <c r="E954" s="109"/>
      <c r="F954" s="111"/>
      <c r="G954" s="286">
        <v>0</v>
      </c>
      <c r="H954" s="275">
        <f t="shared" ref="H954:I956" si="220">H955</f>
        <v>0</v>
      </c>
      <c r="I954" s="286">
        <f t="shared" si="220"/>
        <v>0</v>
      </c>
    </row>
    <row r="955" spans="1:9" ht="78.75" hidden="1" x14ac:dyDescent="0.25">
      <c r="A955" s="779" t="str">
        <f>IF(B955&gt;0,VLOOKUP(B955,КВСР!A340:B1505,2),IF(C955&gt;0,VLOOKUP(C955,КФСР!A340:B1852,2),IF(D955&gt;0,VLOOKUP(D955,Программа!A$1:B$5124,2),IF(F955&gt;0,VLOOKUP(F955,КВР!A$1:B$5001,2),IF(E955&gt;0,VLOOKUP(E955,Направление!A$1:B$4812,2))))))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55" s="114"/>
      <c r="C955" s="109"/>
      <c r="D955" s="111" t="s">
        <v>323</v>
      </c>
      <c r="E955" s="109"/>
      <c r="F955" s="111"/>
      <c r="G955" s="286">
        <v>0</v>
      </c>
      <c r="H955" s="275">
        <f t="shared" si="220"/>
        <v>0</v>
      </c>
      <c r="I955" s="286">
        <f t="shared" si="220"/>
        <v>0</v>
      </c>
    </row>
    <row r="956" spans="1:9" ht="31.5" hidden="1" x14ac:dyDescent="0.25">
      <c r="A956" s="779" t="str">
        <f>IF(B956&gt;0,VLOOKUP(B956,КВСР!A341:B1506,2),IF(C956&gt;0,VLOOKUP(C956,КФСР!A341:B1853,2),IF(D956&gt;0,VLOOKUP(D956,Программа!A$1:B$5124,2),IF(F956&gt;0,VLOOKUP(F956,КВР!A$1:B$5001,2),IF(E956&gt;0,VLOOKUP(E956,Направление!A$1:B$4812,2))))))</f>
        <v>Расходы на развитие муниципальной службы</v>
      </c>
      <c r="B956" s="114"/>
      <c r="C956" s="109"/>
      <c r="D956" s="111"/>
      <c r="E956" s="109">
        <v>12200</v>
      </c>
      <c r="F956" s="111"/>
      <c r="G956" s="286">
        <v>0</v>
      </c>
      <c r="H956" s="275">
        <f t="shared" si="220"/>
        <v>0</v>
      </c>
      <c r="I956" s="286">
        <f t="shared" si="220"/>
        <v>0</v>
      </c>
    </row>
    <row r="957" spans="1:9" ht="63" hidden="1" x14ac:dyDescent="0.25">
      <c r="A957" s="779" t="str">
        <f>IF(B957&gt;0,VLOOKUP(B957,КВСР!A342:B1507,2),IF(C957&gt;0,VLOOKUP(C957,КФСР!A342:B1854,2),IF(D957&gt;0,VLOOKUP(D957,Программа!A$1:B$5124,2),IF(F957&gt;0,VLOOKUP(F957,КВР!A$1:B$5001,2),IF(E957&gt;0,VLOOKUP(E957,Направление!A$1:B$4812,2))))))</f>
        <v xml:space="preserve">Закупка товаров, работ и услуг для обеспечения государственных (муниципальных) нужд
</v>
      </c>
      <c r="B957" s="114"/>
      <c r="C957" s="109"/>
      <c r="D957" s="111"/>
      <c r="E957" s="109"/>
      <c r="F957" s="111">
        <v>200</v>
      </c>
      <c r="G957" s="286">
        <v>0</v>
      </c>
      <c r="H957" s="275"/>
      <c r="I957" s="117">
        <f>G957+H957</f>
        <v>0</v>
      </c>
    </row>
    <row r="958" spans="1:9" hidden="1" x14ac:dyDescent="0.25">
      <c r="A958" s="779" t="str">
        <f>IF(B958&gt;0,VLOOKUP(B958,КВСР!A343:B1508,2),IF(C958&gt;0,VLOOKUP(C958,КФСР!A343:B1855,2),IF(D958&gt;0,VLOOKUP(D958,Программа!A$1:B$5124,2),IF(F958&gt;0,VLOOKUP(F958,КВР!A$1:B$5001,2),IF(E958&gt;0,VLOOKUP(E958,Направление!A$1:B$4812,2))))))</f>
        <v>Непрограммные расходы бюджета</v>
      </c>
      <c r="B958" s="114"/>
      <c r="C958" s="109"/>
      <c r="D958" s="111" t="s">
        <v>311</v>
      </c>
      <c r="E958" s="109"/>
      <c r="F958" s="111"/>
      <c r="G958" s="286">
        <v>0</v>
      </c>
      <c r="H958" s="886">
        <f t="shared" ref="H958:I959" si="221">H959</f>
        <v>0</v>
      </c>
      <c r="I958" s="286">
        <f t="shared" si="221"/>
        <v>0</v>
      </c>
    </row>
    <row r="959" spans="1:9" ht="47.25" hidden="1" x14ac:dyDescent="0.25">
      <c r="A959" s="779" t="str">
        <f>IF(B959&gt;0,VLOOKUP(B959,КВСР!A344:B1509,2),IF(C959&gt;0,VLOOKUP(C959,КФСР!A344:B1856,2),IF(D959&gt;0,VLOOKUP(D959,Программа!A$1:B$5124,2),IF(F959&gt;0,VLOOKUP(F959,КВР!A$1:B$5001,2),IF(E959&gt;0,VLOOKUP(E959,Направление!A$1:B$4812,2))))))</f>
        <v>Обеспечение деятельности подведомственных учреждений органов местного самоуправления</v>
      </c>
      <c r="B959" s="114"/>
      <c r="C959" s="109"/>
      <c r="D959" s="111"/>
      <c r="E959" s="109">
        <v>12100</v>
      </c>
      <c r="F959" s="111"/>
      <c r="G959" s="286">
        <v>0</v>
      </c>
      <c r="H959" s="275">
        <f t="shared" si="221"/>
        <v>0</v>
      </c>
      <c r="I959" s="286">
        <f t="shared" si="221"/>
        <v>0</v>
      </c>
    </row>
    <row r="960" spans="1:9" ht="63" hidden="1" x14ac:dyDescent="0.25">
      <c r="A960" s="779" t="str">
        <f>IF(B960&gt;0,VLOOKUP(B960,КВСР!A345:B1510,2),IF(C960&gt;0,VLOOKUP(C960,КФСР!A345:B1857,2),IF(D960&gt;0,VLOOKUP(D960,Программа!A$1:B$5124,2),IF(F960&gt;0,VLOOKUP(F960,КВР!A$1:B$5001,2),IF(E960&gt;0,VLOOKUP(E960,Направление!A$1:B$4812,2))))))</f>
        <v xml:space="preserve">Закупка товаров, работ и услуг для обеспечения государственных (муниципальных) нужд
</v>
      </c>
      <c r="B960" s="114"/>
      <c r="C960" s="109"/>
      <c r="D960" s="111"/>
      <c r="E960" s="109"/>
      <c r="F960" s="111">
        <v>200</v>
      </c>
      <c r="G960" s="286">
        <v>0</v>
      </c>
      <c r="H960" s="275"/>
      <c r="I960" s="117">
        <f>G960+H960</f>
        <v>0</v>
      </c>
    </row>
    <row r="961" spans="1:9" ht="31.5" hidden="1" x14ac:dyDescent="0.25">
      <c r="A961" s="779" t="str">
        <f>IF(B961&gt;0,VLOOKUP(B961,КВСР!A338:B1503,2),IF(C961&gt;0,VLOOKUP(C961,КФСР!A338:B1850,2),IF(D961&gt;0,VLOOKUP(D961,Программа!A$1:B$5124,2),IF(F961&gt;0,VLOOKUP(F961,КВР!A$1:B$5001,2),IF(E961&gt;0,VLOOKUP(E961,Направление!A$1:B$4812,2))))))</f>
        <v>Обслуживание государственного (муниципального) внутреннего долга</v>
      </c>
      <c r="B961" s="114"/>
      <c r="C961" s="109">
        <v>1301</v>
      </c>
      <c r="D961" s="110"/>
      <c r="E961" s="109"/>
      <c r="F961" s="111"/>
      <c r="G961" s="268">
        <v>300000</v>
      </c>
      <c r="H961" s="330">
        <f t="shared" ref="H961:I961" si="222">H962</f>
        <v>-300000</v>
      </c>
      <c r="I961" s="330">
        <f t="shared" si="222"/>
        <v>0</v>
      </c>
    </row>
    <row r="962" spans="1:9" hidden="1" x14ac:dyDescent="0.25">
      <c r="A962" s="779" t="str">
        <f>IF(B962&gt;0,VLOOKUP(B962,КВСР!A339:B1504,2),IF(C962&gt;0,VLOOKUP(C962,КФСР!A339:B1851,2),IF(D962&gt;0,VLOOKUP(D962,Программа!A$1:B$5124,2),IF(F962&gt;0,VLOOKUP(F962,КВР!A$1:B$5001,2),IF(E962&gt;0,VLOOKUP(E962,Направление!A$1:B$4812,2))))))</f>
        <v>Непрограммные расходы бюджета</v>
      </c>
      <c r="B962" s="114"/>
      <c r="C962" s="109"/>
      <c r="D962" s="110" t="s">
        <v>311</v>
      </c>
      <c r="E962" s="109"/>
      <c r="F962" s="111"/>
      <c r="G962" s="268">
        <v>300000</v>
      </c>
      <c r="H962" s="330">
        <f t="shared" ref="H962:I962" si="223">H963</f>
        <v>-300000</v>
      </c>
      <c r="I962" s="330">
        <f t="shared" si="223"/>
        <v>0</v>
      </c>
    </row>
    <row r="963" spans="1:9" ht="31.5" hidden="1" x14ac:dyDescent="0.25">
      <c r="A963" s="779" t="str">
        <f>IF(B963&gt;0,VLOOKUP(B963,КВСР!A340:B1505,2),IF(C963&gt;0,VLOOKUP(C963,КФСР!A340:B1852,2),IF(D963&gt;0,VLOOKUP(D963,Программа!A$1:B$5124,2),IF(F963&gt;0,VLOOKUP(F963,КВР!A$1:B$5001,2),IF(E963&gt;0,VLOOKUP(E963,Направление!A$1:B$4812,2))))))</f>
        <v>Процентные платежи по обслуживанию муниципального долга</v>
      </c>
      <c r="B963" s="114"/>
      <c r="C963" s="109"/>
      <c r="D963" s="110"/>
      <c r="E963" s="109">
        <v>12800</v>
      </c>
      <c r="F963" s="111"/>
      <c r="G963" s="268">
        <v>300000</v>
      </c>
      <c r="H963" s="330">
        <f t="shared" ref="H963:I963" si="224">H964</f>
        <v>-300000</v>
      </c>
      <c r="I963" s="330">
        <f t="shared" si="224"/>
        <v>0</v>
      </c>
    </row>
    <row r="964" spans="1:9" ht="31.5" hidden="1" x14ac:dyDescent="0.25">
      <c r="A964" s="779" t="str">
        <f>IF(B964&gt;0,VLOOKUP(B964,КВСР!A341:B1506,2),IF(C964&gt;0,VLOOKUP(C964,КФСР!A341:B1853,2),IF(D964&gt;0,VLOOKUP(D964,Программа!A$1:B$5124,2),IF(F964&gt;0,VLOOKUP(F964,КВР!A$1:B$5001,2),IF(E964&gt;0,VLOOKUP(E964,Направление!A$1:B$4812,2))))))</f>
        <v>Обслуживание государственного долга Российской Федерации</v>
      </c>
      <c r="B964" s="114"/>
      <c r="C964" s="109"/>
      <c r="D964" s="111"/>
      <c r="E964" s="109"/>
      <c r="F964" s="111">
        <v>700</v>
      </c>
      <c r="G964" s="286">
        <v>300000</v>
      </c>
      <c r="H964" s="275">
        <v>-300000</v>
      </c>
      <c r="I964" s="117">
        <f t="shared" si="214"/>
        <v>0</v>
      </c>
    </row>
    <row r="965" spans="1:9" ht="63" x14ac:dyDescent="0.25">
      <c r="A965" s="779" t="str">
        <f>IF(B965&gt;0,VLOOKUP(B965,КВСР!A342:B1507,2),IF(C965&gt;0,VLOOKUP(C965,КФСР!A342:B1854,2),IF(D965&gt;0,VLOOKUP(D965,Программа!A$1:B$5124,2),IF(F965&gt;0,VLOOKUP(F965,КВР!A$1:B$5001,2),IF(E965&gt;0,VLOOKUP(E965,Направление!A$1:B$4812,2))))))</f>
        <v>Дотации на выравнивание бюджетной обеспеченности субъектов Российской Федерации и муниципальных образований</v>
      </c>
      <c r="B965" s="114"/>
      <c r="C965" s="109">
        <v>1401</v>
      </c>
      <c r="D965" s="110"/>
      <c r="E965" s="109"/>
      <c r="F965" s="111"/>
      <c r="G965" s="268">
        <v>300000</v>
      </c>
      <c r="H965" s="330">
        <f t="shared" ref="H965:I965" si="225">H966</f>
        <v>0</v>
      </c>
      <c r="I965" s="330">
        <f t="shared" si="225"/>
        <v>300000</v>
      </c>
    </row>
    <row r="966" spans="1:9" ht="31.5" x14ac:dyDescent="0.25">
      <c r="A966" s="779" t="str">
        <f>IF(B966&gt;0,VLOOKUP(B966,КВСР!A343:B1508,2),IF(C966&gt;0,VLOOKUP(C966,КФСР!A343:B1855,2),IF(D966&gt;0,VLOOKUP(D966,Программа!A$1:B$5124,2),IF(F966&gt;0,VLOOKUP(F966,КВР!A$1:B$5001,2),IF(E966&gt;0,VLOOKUP(E966,Направление!A$1:B$4812,2))))))</f>
        <v>Межбюджетные трансферты  поселениям района</v>
      </c>
      <c r="B966" s="114"/>
      <c r="C966" s="109"/>
      <c r="D966" s="110" t="s">
        <v>478</v>
      </c>
      <c r="E966" s="109"/>
      <c r="F966" s="111"/>
      <c r="G966" s="268">
        <v>300000</v>
      </c>
      <c r="H966" s="330">
        <f>H967</f>
        <v>0</v>
      </c>
      <c r="I966" s="330">
        <f>I967</f>
        <v>300000</v>
      </c>
    </row>
    <row r="967" spans="1:9" ht="47.25" x14ac:dyDescent="0.25">
      <c r="A967" s="779" t="str">
        <f>IF(B967&gt;0,VLOOKUP(B967,КВСР!A347:B1512,2),IF(C967&gt;0,VLOOKUP(C967,КФСР!A347:B1859,2),IF(D967&gt;0,VLOOKUP(D967,Программа!A$1:B$5124,2),IF(F967&gt;0,VLOOKUP(F967,КВР!A$1:B$5001,2),IF(E967&gt;0,VLOOKUP(E967,Направление!A$1:B$4812,2))))))</f>
        <v>Дотации поселениям района  на выравнивание бюджетной обеспеченности</v>
      </c>
      <c r="B967" s="114"/>
      <c r="C967" s="109"/>
      <c r="D967" s="110"/>
      <c r="E967" s="109">
        <v>10800</v>
      </c>
      <c r="F967" s="111"/>
      <c r="G967" s="268">
        <v>300000</v>
      </c>
      <c r="H967" s="330">
        <f>H968</f>
        <v>0</v>
      </c>
      <c r="I967" s="330">
        <f>I968</f>
        <v>300000</v>
      </c>
    </row>
    <row r="968" spans="1:9" x14ac:dyDescent="0.25">
      <c r="A968" s="779" t="str">
        <f>IF(B968&gt;0,VLOOKUP(B968,КВСР!A348:B1513,2),IF(C968&gt;0,VLOOKUP(C968,КФСР!A348:B1860,2),IF(D968&gt;0,VLOOKUP(D968,Программа!A$1:B$5124,2),IF(F968&gt;0,VLOOKUP(F968,КВР!A$1:B$5001,2),IF(E968&gt;0,VLOOKUP(E968,Направление!A$1:B$4812,2))))))</f>
        <v xml:space="preserve"> Межбюджетные трансферты</v>
      </c>
      <c r="B968" s="114"/>
      <c r="C968" s="109"/>
      <c r="D968" s="111"/>
      <c r="E968" s="109"/>
      <c r="F968" s="111">
        <v>500</v>
      </c>
      <c r="G968" s="268">
        <v>300000</v>
      </c>
      <c r="H968" s="330"/>
      <c r="I968" s="117">
        <f t="shared" si="214"/>
        <v>300000</v>
      </c>
    </row>
    <row r="969" spans="1:9" ht="47.25" x14ac:dyDescent="0.25">
      <c r="A969" s="778" t="str">
        <f>IF(B969&gt;0,VLOOKUP(B969,КВСР!A352:B1517,2),IF(C969&gt;0,VLOOKUP(C969,КФСР!A352:B1864,2),IF(D969&gt;0,VLOOKUP(D969,Программа!A$1:B$5124,2),IF(F969&gt;0,VLOOKUP(F969,КВР!A$1:B$5001,2),IF(E969&gt;0,VLOOKUP(E969,Направление!A$1:B$4812,2))))))</f>
        <v>Департамент культуры, туризма и молодежной политики Администрации ТМР</v>
      </c>
      <c r="B969" s="108">
        <v>956</v>
      </c>
      <c r="C969" s="109"/>
      <c r="D969" s="110"/>
      <c r="E969" s="109"/>
      <c r="F969" s="111"/>
      <c r="G969" s="368">
        <v>216217868</v>
      </c>
      <c r="H969" s="329">
        <f>H983+H987+H1013+H1051+H1124+H970+H1161+H975</f>
        <v>5279173</v>
      </c>
      <c r="I969" s="329">
        <f>I983+I987+I1013+I1051+I1124+I970+I1161+I975</f>
        <v>221497041</v>
      </c>
    </row>
    <row r="970" spans="1:9" ht="47.25" x14ac:dyDescent="0.25">
      <c r="A970" s="779" t="str">
        <f>IF(B970&gt;0,VLOOKUP(B970,КВСР!A349:B1514,2),IF(C970&gt;0,VLOOKUP(C970,КФСР!A349:B1861,2),IF(D970&gt;0,VLOOKUP(D970,Программа!A$1:B$5124,2),IF(F970&gt;0,VLOOKUP(F970,КВР!A$1:B$5001,2),IF(E970&gt;0,VLOOKUP(E970,Направление!A$1:B$4812,2))))))</f>
        <v>Другие вопросы в области национальной безопасности и правоохранительной деятельности</v>
      </c>
      <c r="B970" s="108"/>
      <c r="C970" s="109">
        <v>314</v>
      </c>
      <c r="D970" s="110"/>
      <c r="E970" s="109"/>
      <c r="F970" s="111"/>
      <c r="G970" s="428">
        <v>180000</v>
      </c>
      <c r="H970" s="684">
        <f t="shared" ref="H970:I973" si="226">H971</f>
        <v>0</v>
      </c>
      <c r="I970" s="428">
        <f t="shared" si="226"/>
        <v>180000</v>
      </c>
    </row>
    <row r="971" spans="1:9" ht="63" x14ac:dyDescent="0.25">
      <c r="A971" s="779" t="str">
        <f>IF(B971&gt;0,VLOOKUP(B971,КВСР!A350:B1515,2),IF(C971&gt;0,VLOOKUP(C971,КФСР!A350:B1862,2),IF(D971&gt;0,VLOOKUP(D971,Программа!A$1:B$5124,2),IF(F971&gt;0,VLOOKUP(F971,КВР!A$1:B$5001,2),IF(E971&gt;0,VLOOKUP(E971,Направление!A$1:B$4812,2))))))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71" s="108"/>
      <c r="C971" s="109"/>
      <c r="D971" s="110" t="s">
        <v>426</v>
      </c>
      <c r="E971" s="109"/>
      <c r="F971" s="111"/>
      <c r="G971" s="428">
        <v>180000</v>
      </c>
      <c r="H971" s="684">
        <f t="shared" si="226"/>
        <v>0</v>
      </c>
      <c r="I971" s="428">
        <f t="shared" si="226"/>
        <v>180000</v>
      </c>
    </row>
    <row r="972" spans="1:9" ht="31.5" x14ac:dyDescent="0.25">
      <c r="A972" s="779" t="str">
        <f>IF(B972&gt;0,VLOOKUP(B972,КВСР!A351:B1516,2),IF(C972&gt;0,VLOOKUP(C972,КФСР!A351:B1863,2),IF(D972&gt;0,VLOOKUP(D972,Программа!A$1:B$5124,2),IF(F972&gt;0,VLOOKUP(F972,КВР!A$1:B$5001,2),IF(E972&gt;0,VLOOKUP(E972,Направление!A$1:B$4812,2))))))</f>
        <v>Реализация мероприятий по профилактике правонарушений</v>
      </c>
      <c r="B972" s="108"/>
      <c r="C972" s="109"/>
      <c r="D972" s="110" t="s">
        <v>428</v>
      </c>
      <c r="E972" s="109"/>
      <c r="F972" s="111"/>
      <c r="G972" s="428">
        <v>180000</v>
      </c>
      <c r="H972" s="684">
        <f t="shared" si="226"/>
        <v>0</v>
      </c>
      <c r="I972" s="428">
        <f t="shared" si="226"/>
        <v>180000</v>
      </c>
    </row>
    <row r="973" spans="1:9" ht="31.5" x14ac:dyDescent="0.25">
      <c r="A973" s="779" t="str">
        <f>IF(B973&gt;0,VLOOKUP(B973,КВСР!A352:B1517,2),IF(C973&gt;0,VLOOKUP(C973,КФСР!A352:B1864,2),IF(D973&gt;0,VLOOKUP(D973,Программа!A$1:B$5124,2),IF(F973&gt;0,VLOOKUP(F973,КВР!A$1:B$5001,2),IF(E973&gt;0,VLOOKUP(E973,Направление!A$1:B$4812,2))))))</f>
        <v>Обеспечение деятельности народных дружин</v>
      </c>
      <c r="B973" s="108"/>
      <c r="C973" s="109"/>
      <c r="D973" s="110"/>
      <c r="E973" s="109">
        <v>29486</v>
      </c>
      <c r="F973" s="111"/>
      <c r="G973" s="428">
        <v>180000</v>
      </c>
      <c r="H973" s="684">
        <f t="shared" si="226"/>
        <v>0</v>
      </c>
      <c r="I973" s="428">
        <f t="shared" si="226"/>
        <v>180000</v>
      </c>
    </row>
    <row r="974" spans="1:9" ht="47.25" x14ac:dyDescent="0.25">
      <c r="A974" s="779" t="str">
        <f>IF(B974&gt;0,VLOOKUP(B974,КВСР!A353:B1518,2),IF(C974&gt;0,VLOOKUP(C974,КФСР!A353:B1865,2),IF(D974&gt;0,VLOOKUP(D974,Программа!A$1:B$5124,2),IF(F974&gt;0,VLOOKUP(F974,КВР!A$1:B$5001,2),IF(E974&gt;0,VLOOKUP(E974,Направление!A$1:B$4812,2))))))</f>
        <v>Предоставление субсидий бюджетным, автономным учреждениям и иным некоммерческим организациям</v>
      </c>
      <c r="B974" s="108"/>
      <c r="C974" s="109"/>
      <c r="D974" s="110"/>
      <c r="E974" s="109"/>
      <c r="F974" s="111">
        <v>600</v>
      </c>
      <c r="G974" s="428">
        <v>180000</v>
      </c>
      <c r="H974" s="684"/>
      <c r="I974" s="429">
        <f>G974+H974</f>
        <v>180000</v>
      </c>
    </row>
    <row r="975" spans="1:9" x14ac:dyDescent="0.25">
      <c r="A975" s="779" t="str">
        <f>IF(B975&gt;0,VLOOKUP(B975,КВСР!A354:B1519,2),IF(C975&gt;0,VLOOKUP(C975,КФСР!A354:B1866,2),IF(D975&gt;0,VLOOKUP(D975,Программа!A$1:B$5124,2),IF(F975&gt;0,VLOOKUP(F975,КВР!A$1:B$5001,2),IF(E975&gt;0,VLOOKUP(E975,Направление!A$1:B$4812,2))))))</f>
        <v xml:space="preserve"> Общеэкономические вопросы</v>
      </c>
      <c r="B975" s="108"/>
      <c r="C975" s="109">
        <v>401</v>
      </c>
      <c r="D975" s="110"/>
      <c r="E975" s="109"/>
      <c r="F975" s="111"/>
      <c r="G975" s="428">
        <v>524458</v>
      </c>
      <c r="H975" s="684">
        <f>H976</f>
        <v>52447</v>
      </c>
      <c r="I975" s="428">
        <f t="shared" ref="H975:I981" si="227">I976</f>
        <v>576905</v>
      </c>
    </row>
    <row r="976" spans="1:9" ht="63" x14ac:dyDescent="0.25">
      <c r="A976" s="779" t="str">
        <f>IF(B976&gt;0,VLOOKUP(B976,КВСР!A355:B1520,2),IF(C976&gt;0,VLOOKUP(C976,КФСР!A355:B1867,2),IF(D976&gt;0,VLOOKUP(D976,Программа!A$1:B$5124,2),IF(F976&gt;0,VLOOKUP(F976,КВР!A$1:B$5001,2),IF(E976&gt;0,VLOOKUP(E976,Направление!A$1:B$4812,2))))))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976" s="108"/>
      <c r="C976" s="109"/>
      <c r="D976" s="110" t="s">
        <v>396</v>
      </c>
      <c r="E976" s="109"/>
      <c r="F976" s="111"/>
      <c r="G976" s="428">
        <v>524458</v>
      </c>
      <c r="H976" s="684">
        <f>H977</f>
        <v>52447</v>
      </c>
      <c r="I976" s="428">
        <f t="shared" si="227"/>
        <v>576905</v>
      </c>
    </row>
    <row r="977" spans="1:9" ht="31.5" x14ac:dyDescent="0.25">
      <c r="A977" s="779" t="str">
        <f>IF(B977&gt;0,VLOOKUP(B977,КВСР!A356:B1521,2),IF(C977&gt;0,VLOOKUP(C977,КФСР!A356:B1868,2),IF(D977&gt;0,VLOOKUP(D977,Программа!A$1:B$5124,2),IF(F977&gt;0,VLOOKUP(F977,КВР!A$1:B$5001,2),IF(E977&gt;0,VLOOKUP(E977,Направление!A$1:B$4812,2))))))</f>
        <v>Ведомственная целевая программа «Молодежь»</v>
      </c>
      <c r="B977" s="108"/>
      <c r="C977" s="109"/>
      <c r="D977" s="110" t="s">
        <v>499</v>
      </c>
      <c r="E977" s="109"/>
      <c r="F977" s="111"/>
      <c r="G977" s="428">
        <v>524458</v>
      </c>
      <c r="H977" s="684">
        <f t="shared" si="227"/>
        <v>52447</v>
      </c>
      <c r="I977" s="428">
        <f t="shared" si="227"/>
        <v>576905</v>
      </c>
    </row>
    <row r="978" spans="1:9" ht="47.25" x14ac:dyDescent="0.25">
      <c r="A978" s="779" t="str">
        <f>IF(B978&gt;0,VLOOKUP(B978,КВСР!A357:B1522,2),IF(C978&gt;0,VLOOKUP(C978,КФСР!A357:B1869,2),IF(D978&gt;0,VLOOKUP(D978,Программа!A$1:B$5124,2),IF(F978&gt;0,VLOOKUP(F978,КВР!A$1:B$5001,2),IF(E978&gt;0,VLOOKUP(E978,Направление!A$1:B$4812,2))))))</f>
        <v>Обеспечение качества и доступности услуг(работ) в сфере молодежной политики</v>
      </c>
      <c r="B978" s="108"/>
      <c r="C978" s="109"/>
      <c r="D978" s="110" t="s">
        <v>1091</v>
      </c>
      <c r="E978" s="109"/>
      <c r="F978" s="111"/>
      <c r="G978" s="428">
        <v>524458</v>
      </c>
      <c r="H978" s="684">
        <f>H981+H979</f>
        <v>52447</v>
      </c>
      <c r="I978" s="428">
        <f>I981+I979</f>
        <v>576905</v>
      </c>
    </row>
    <row r="979" spans="1:9" ht="63" x14ac:dyDescent="0.25">
      <c r="A979" s="779" t="str">
        <f>IF(B979&gt;0,VLOOKUP(B979,КВСР!A358:B1523,2),IF(C979&gt;0,VLOOKUP(C979,КФСР!A358:B1870,2),IF(D979&gt;0,VLOOKUP(D979,Программа!A$1:B$5124,2),IF(F979&gt;0,VLOOKUP(F979,КВР!A$1:B$5001,2),IF(E979&gt;0,VLOOKUP(E979,Направление!A$1:B$4812,2))))))</f>
        <v>Расходы на обеспечение трудоустройства несовершеннолетних граждан на временные рабочие места (софинансирование)</v>
      </c>
      <c r="B979" s="108"/>
      <c r="C979" s="109"/>
      <c r="D979" s="110"/>
      <c r="E979" s="109">
        <v>16950</v>
      </c>
      <c r="F979" s="111"/>
      <c r="G979" s="428">
        <v>42500</v>
      </c>
      <c r="H979" s="684">
        <f t="shared" ref="H979:I979" si="228">H980</f>
        <v>4251</v>
      </c>
      <c r="I979" s="428">
        <f t="shared" si="228"/>
        <v>46751</v>
      </c>
    </row>
    <row r="980" spans="1:9" ht="47.25" x14ac:dyDescent="0.25">
      <c r="A980" s="779" t="str">
        <f>IF(B980&gt;0,VLOOKUP(B980,КВСР!A359:B1524,2),IF(C980&gt;0,VLOOKUP(C980,КФСР!A359:B1871,2),IF(D980&gt;0,VLOOKUP(D980,Программа!A$1:B$5124,2),IF(F980&gt;0,VLOOKUP(F980,КВР!A$1:B$5001,2),IF(E980&gt;0,VLOOKUP(E980,Направление!A$1:B$4812,2))))))</f>
        <v>Предоставление субсидий бюджетным, автономным учреждениям и иным некоммерческим организациям</v>
      </c>
      <c r="B980" s="108"/>
      <c r="C980" s="109"/>
      <c r="D980" s="110"/>
      <c r="E980" s="109"/>
      <c r="F980" s="111">
        <v>600</v>
      </c>
      <c r="G980" s="428">
        <v>42500</v>
      </c>
      <c r="H980" s="684">
        <v>4251</v>
      </c>
      <c r="I980" s="428">
        <f>G980+H980</f>
        <v>46751</v>
      </c>
    </row>
    <row r="981" spans="1:9" ht="47.25" x14ac:dyDescent="0.25">
      <c r="A981" s="779" t="str">
        <f>IF(B981&gt;0,VLOOKUP(B981,КВСР!A358:B1523,2),IF(C981&gt;0,VLOOKUP(C981,КФСР!A358:B1870,2),IF(D981&gt;0,VLOOKUP(D981,Программа!A$1:B$5124,2),IF(F981&gt;0,VLOOKUP(F981,КВР!A$1:B$5001,2),IF(E981&gt;0,VLOOKUP(E981,Направление!A$1:B$4812,2))))))</f>
        <v>Расходы на обеспечение трудоустройства несовершеннолетних граждан на временные рабочие места</v>
      </c>
      <c r="B981" s="108"/>
      <c r="C981" s="109"/>
      <c r="D981" s="110"/>
      <c r="E981" s="109">
        <v>76950</v>
      </c>
      <c r="F981" s="111"/>
      <c r="G981" s="428">
        <v>481958</v>
      </c>
      <c r="H981" s="684">
        <f t="shared" si="227"/>
        <v>48196</v>
      </c>
      <c r="I981" s="428">
        <f t="shared" si="227"/>
        <v>530154</v>
      </c>
    </row>
    <row r="982" spans="1:9" ht="47.25" x14ac:dyDescent="0.25">
      <c r="A982" s="779" t="str">
        <f>IF(B982&gt;0,VLOOKUP(B982,КВСР!A359:B1524,2),IF(C982&gt;0,VLOOKUP(C982,КФСР!A359:B1871,2),IF(D982&gt;0,VLOOKUP(D982,Программа!A$1:B$5124,2),IF(F982&gt;0,VLOOKUP(F982,КВР!A$1:B$5001,2),IF(E982&gt;0,VLOOKUP(E982,Направление!A$1:B$4812,2))))))</f>
        <v>Предоставление субсидий бюджетным, автономным учреждениям и иным некоммерческим организациям</v>
      </c>
      <c r="B982" s="108"/>
      <c r="C982" s="109"/>
      <c r="D982" s="110"/>
      <c r="E982" s="109"/>
      <c r="F982" s="111">
        <v>600</v>
      </c>
      <c r="G982" s="428">
        <v>481958</v>
      </c>
      <c r="H982" s="684">
        <v>48196</v>
      </c>
      <c r="I982" s="429">
        <f>G982+H982</f>
        <v>530154</v>
      </c>
    </row>
    <row r="983" spans="1:9" x14ac:dyDescent="0.25">
      <c r="A983" s="779" t="str">
        <f>IF(B983&gt;0,VLOOKUP(B983,КВСР!A353:B1518,2),IF(C983&gt;0,VLOOKUP(C983,КФСР!A353:B1865,2),IF(D983&gt;0,VLOOKUP(D983,Программа!A$1:B$5124,2),IF(F983&gt;0,VLOOKUP(F983,КВР!A$1:B$5001,2),IF(E983&gt;0,VLOOKUP(E983,Направление!A$1:B$4812,2))))))</f>
        <v>Транспорт</v>
      </c>
      <c r="B983" s="108"/>
      <c r="C983" s="109">
        <v>408</v>
      </c>
      <c r="D983" s="111"/>
      <c r="E983" s="109"/>
      <c r="F983" s="111"/>
      <c r="G983" s="286">
        <v>2000000</v>
      </c>
      <c r="H983" s="275">
        <f>H984</f>
        <v>1000000</v>
      </c>
      <c r="I983" s="117">
        <f t="shared" si="214"/>
        <v>3000000</v>
      </c>
    </row>
    <row r="984" spans="1:9" ht="22.7" customHeight="1" x14ac:dyDescent="0.25">
      <c r="A984" s="779" t="str">
        <f>IF(B984&gt;0,VLOOKUP(B984,КВСР!A354:B1519,2),IF(C984&gt;0,VLOOKUP(C984,КФСР!A354:B1866,2),IF(D984&gt;0,VLOOKUP(D984,Программа!A$1:B$5124,2),IF(F984&gt;0,VLOOKUP(F984,КВР!A$1:B$5001,2),IF(E984&gt;0,VLOOKUP(E984,Направление!A$1:B$4812,2))))))</f>
        <v>Непрограммные расходы бюджета</v>
      </c>
      <c r="B984" s="108"/>
      <c r="C984" s="109"/>
      <c r="D984" s="110" t="s">
        <v>311</v>
      </c>
      <c r="E984" s="109"/>
      <c r="F984" s="111"/>
      <c r="G984" s="286">
        <v>2000000</v>
      </c>
      <c r="H984" s="275">
        <f>H985</f>
        <v>1000000</v>
      </c>
      <c r="I984" s="117">
        <f t="shared" si="214"/>
        <v>3000000</v>
      </c>
    </row>
    <row r="985" spans="1:9" ht="48.75" customHeight="1" x14ac:dyDescent="0.25">
      <c r="A985" s="779" t="str">
        <f>IF(B985&gt;0,VLOOKUP(B985,КВСР!A355:B1520,2),IF(C985&gt;0,VLOOKUP(C985,КФСР!A355:B1867,2),IF(D985&gt;0,VLOOKUP(D985,Программа!A$1:B$5124,2),IF(F985&gt;0,VLOOKUP(F985,КВР!A$1:B$5001,2),IF(E985&gt;0,VLOOKUP(E985,Направление!A$1:B$4812,2))))))</f>
        <v>Обеспечение мероприятий по осуществлению грузопассажирских  перевозок на речном транспорте</v>
      </c>
      <c r="B985" s="108"/>
      <c r="C985" s="109"/>
      <c r="D985" s="111"/>
      <c r="E985" s="109">
        <v>29166</v>
      </c>
      <c r="F985" s="111"/>
      <c r="G985" s="286">
        <v>2000000</v>
      </c>
      <c r="H985" s="275">
        <f>SUM(H986:H986)</f>
        <v>1000000</v>
      </c>
      <c r="I985" s="117">
        <f t="shared" si="214"/>
        <v>3000000</v>
      </c>
    </row>
    <row r="986" spans="1:9" ht="47.25" x14ac:dyDescent="0.25">
      <c r="A986" s="779" t="str">
        <f>IF(B986&gt;0,VLOOKUP(B986,КВСР!A357:B1522,2),IF(C986&gt;0,VLOOKUP(C986,КФСР!A357:B1869,2),IF(D986&gt;0,VLOOKUP(D986,Программа!A$1:B$5124,2),IF(F986&gt;0,VLOOKUP(F986,КВР!A$1:B$5001,2),IF(E986&gt;0,VLOOKUP(E986,Направление!A$1:B$4812,2))))))</f>
        <v>Предоставление субсидий бюджетным, автономным учреждениям и иным некоммерческим организациям</v>
      </c>
      <c r="B986" s="108"/>
      <c r="C986" s="109"/>
      <c r="D986" s="111"/>
      <c r="E986" s="109"/>
      <c r="F986" s="111">
        <v>600</v>
      </c>
      <c r="G986" s="286">
        <v>2000000</v>
      </c>
      <c r="H986" s="275">
        <v>1000000</v>
      </c>
      <c r="I986" s="117">
        <f t="shared" si="214"/>
        <v>3000000</v>
      </c>
    </row>
    <row r="987" spans="1:9" s="130" customFormat="1" x14ac:dyDescent="0.25">
      <c r="A987" s="779" t="str">
        <f>IF(B987&gt;0,VLOOKUP(B987,КВСР!A358:B1523,2),IF(C987&gt;0,VLOOKUP(C987,КФСР!A358:B1870,2),IF(D987&gt;0,VLOOKUP(D987,Программа!A$1:B$5124,2),IF(F987&gt;0,VLOOKUP(F987,КВР!A$1:B$5001,2),IF(E987&gt;0,VLOOKUP(E987,Направление!A$1:B$4812,2))))))</f>
        <v>Дополнительное образование детей</v>
      </c>
      <c r="B987" s="114"/>
      <c r="C987" s="109">
        <v>703</v>
      </c>
      <c r="D987" s="110"/>
      <c r="E987" s="109"/>
      <c r="F987" s="111"/>
      <c r="G987" s="268">
        <v>32466691</v>
      </c>
      <c r="H987" s="330">
        <f>H988+H1002</f>
        <v>0</v>
      </c>
      <c r="I987" s="330">
        <f>I988+I1002</f>
        <v>32466691</v>
      </c>
    </row>
    <row r="988" spans="1:9" s="130" customFormat="1" ht="63" x14ac:dyDescent="0.25">
      <c r="A988" s="779" t="str">
        <f>IF(B988&gt;0,VLOOKUP(B988,КВСР!A359:B1524,2),IF(C988&gt;0,VLOOKUP(C988,КФСР!A359:B1871,2),IF(D988&gt;0,VLOOKUP(D988,Программа!A$1:B$5124,2),IF(F988&gt;0,VLOOKUP(F988,КВР!A$1:B$5001,2),IF(E988&gt;0,VLOOKUP(E988,Направление!A$1:B$4812,2))))))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988" s="114"/>
      <c r="C988" s="109"/>
      <c r="D988" s="123" t="s">
        <v>396</v>
      </c>
      <c r="E988" s="121"/>
      <c r="F988" s="111"/>
      <c r="G988" s="268">
        <v>32338691</v>
      </c>
      <c r="H988" s="330">
        <f>H989</f>
        <v>-20000</v>
      </c>
      <c r="I988" s="330">
        <f>I989</f>
        <v>32318691</v>
      </c>
    </row>
    <row r="989" spans="1:9" s="130" customFormat="1" ht="47.25" x14ac:dyDescent="0.25">
      <c r="A989" s="779" t="str">
        <f>IF(B989&gt;0,VLOOKUP(B989,КВСР!A360:B1525,2),IF(C989&gt;0,VLOOKUP(C989,КФСР!A360:B1872,2),IF(D989&gt;0,VLOOKUP(D989,Программа!A$1:B$5124,2),IF(F989&gt;0,VLOOKUP(F989,КВР!A$1:B$5001,2),IF(E989&gt;0,VLOOKUP(E989,Направление!A$1:B$4812,2))))))</f>
        <v>Ведомственная целевая программа «Сохранение и развитие культуры Тутаевского муниципального района»</v>
      </c>
      <c r="B989" s="114"/>
      <c r="C989" s="109"/>
      <c r="D989" s="123" t="s">
        <v>494</v>
      </c>
      <c r="E989" s="121"/>
      <c r="F989" s="111"/>
      <c r="G989" s="268">
        <v>32338691</v>
      </c>
      <c r="H989" s="330">
        <f>H990+H999</f>
        <v>-20000</v>
      </c>
      <c r="I989" s="330">
        <f>I990+I999</f>
        <v>32318691</v>
      </c>
    </row>
    <row r="990" spans="1:9" s="130" customFormat="1" ht="47.25" x14ac:dyDescent="0.25">
      <c r="A990" s="779" t="str">
        <f>IF(B990&gt;0,VLOOKUP(B990,КВСР!A361:B1526,2),IF(C990&gt;0,VLOOKUP(C990,КФСР!A361:B1873,2),IF(D990&gt;0,VLOOKUP(D990,Программа!A$1:B$5124,2),IF(F990&gt;0,VLOOKUP(F990,КВР!A$1:B$5001,2),IF(E990&gt;0,VLOOKUP(E990,Направление!A$1:B$4812,2))))))</f>
        <v>Реализация дополнительных образовательных программ в сфере культуры</v>
      </c>
      <c r="B990" s="114"/>
      <c r="C990" s="109"/>
      <c r="D990" s="110" t="s">
        <v>496</v>
      </c>
      <c r="E990" s="109"/>
      <c r="F990" s="111"/>
      <c r="G990" s="268">
        <v>32338691</v>
      </c>
      <c r="H990" s="330">
        <f>H993+H997+H991+H995</f>
        <v>-20000</v>
      </c>
      <c r="I990" s="330">
        <f>I993+I997+I991+I995</f>
        <v>32318691</v>
      </c>
    </row>
    <row r="991" spans="1:9" s="130" customFormat="1" ht="31.5" x14ac:dyDescent="0.25">
      <c r="A991" s="779" t="str">
        <f>IF(B991&gt;0,VLOOKUP(B991,КВСР!A361:B1526,2),IF(C991&gt;0,VLOOKUP(C991,КФСР!A361:B1873,2),IF(D991&gt;0,VLOOKUP(D991,Программа!A$1:B$5124,2),IF(F991&gt;0,VLOOKUP(F991,КВР!A$1:B$5001,2),IF(E991&gt;0,VLOOKUP(E991,Направление!A$1:B$4812,2))))))</f>
        <v xml:space="preserve">Выплата ежемесячных разовых стипендий главы </v>
      </c>
      <c r="B991" s="114"/>
      <c r="C991" s="109"/>
      <c r="D991" s="110"/>
      <c r="E991" s="109">
        <v>12700</v>
      </c>
      <c r="F991" s="111"/>
      <c r="G991" s="268">
        <v>60000</v>
      </c>
      <c r="H991" s="330">
        <f>H992</f>
        <v>-20000</v>
      </c>
      <c r="I991" s="330">
        <f>I992</f>
        <v>40000</v>
      </c>
    </row>
    <row r="992" spans="1:9" s="130" customFormat="1" ht="47.25" x14ac:dyDescent="0.25">
      <c r="A992" s="779" t="str">
        <f>IF(B992&gt;0,VLOOKUP(B992,КВСР!A362:B1527,2),IF(C992&gt;0,VLOOKUP(C992,КФСР!A362:B1874,2),IF(D992&gt;0,VLOOKUP(D992,Программа!A$1:B$5124,2),IF(F992&gt;0,VLOOKUP(F992,КВР!A$1:B$5001,2),IF(E992&gt;0,VLOOKUP(E992,Направление!A$1:B$4812,2))))))</f>
        <v>Предоставление субсидий бюджетным, автономным учреждениям и иным некоммерческим организациям</v>
      </c>
      <c r="B992" s="114"/>
      <c r="C992" s="109"/>
      <c r="D992" s="111"/>
      <c r="E992" s="109"/>
      <c r="F992" s="111">
        <v>600</v>
      </c>
      <c r="G992" s="268">
        <v>60000</v>
      </c>
      <c r="H992" s="330">
        <v>-20000</v>
      </c>
      <c r="I992" s="117">
        <f t="shared" si="214"/>
        <v>40000</v>
      </c>
    </row>
    <row r="993" spans="1:9" s="130" customFormat="1" ht="31.5" x14ac:dyDescent="0.25">
      <c r="A993" s="779" t="str">
        <f>IF(B993&gt;0,VLOOKUP(B993,КВСР!A361:B1526,2),IF(C993&gt;0,VLOOKUP(C993,КФСР!A361:B1873,2),IF(D993&gt;0,VLOOKUP(D993,Программа!A$1:B$5124,2),IF(F993&gt;0,VLOOKUP(F993,КВР!A$1:B$5001,2),IF(E993&gt;0,VLOOKUP(E993,Направление!A$1:B$4812,2))))))</f>
        <v>Обеспечение деятельности учреждений дополнительного образования</v>
      </c>
      <c r="B993" s="114"/>
      <c r="C993" s="109"/>
      <c r="D993" s="110"/>
      <c r="E993" s="109">
        <v>13210</v>
      </c>
      <c r="F993" s="111"/>
      <c r="G993" s="286">
        <v>13494326</v>
      </c>
      <c r="H993" s="275">
        <f>H994</f>
        <v>0</v>
      </c>
      <c r="I993" s="275">
        <f>I994</f>
        <v>13494326</v>
      </c>
    </row>
    <row r="994" spans="1:9" s="130" customFormat="1" ht="47.25" x14ac:dyDescent="0.25">
      <c r="A994" s="779" t="str">
        <f>IF(B994&gt;0,VLOOKUP(B994,КВСР!A362:B1527,2),IF(C994&gt;0,VLOOKUP(C994,КФСР!A362:B1874,2),IF(D994&gt;0,VLOOKUP(D994,Программа!A$1:B$5124,2),IF(F994&gt;0,VLOOKUP(F994,КВР!A$1:B$5001,2),IF(E994&gt;0,VLOOKUP(E994,Направление!A$1:B$4812,2))))))</f>
        <v>Предоставление субсидий бюджетным, автономным учреждениям и иным некоммерческим организациям</v>
      </c>
      <c r="B994" s="114"/>
      <c r="C994" s="109"/>
      <c r="D994" s="111"/>
      <c r="E994" s="109"/>
      <c r="F994" s="111">
        <v>600</v>
      </c>
      <c r="G994" s="286">
        <v>13494326</v>
      </c>
      <c r="H994" s="275"/>
      <c r="I994" s="117">
        <f t="shared" si="214"/>
        <v>13494326</v>
      </c>
    </row>
    <row r="995" spans="1:9" s="130" customFormat="1" ht="47.25" x14ac:dyDescent="0.25">
      <c r="A995" s="779" t="str">
        <f>IF(B995&gt;0,VLOOKUP(B995,КВСР!A363:B1528,2),IF(C995&gt;0,VLOOKUP(C995,КФСР!A363:B1875,2),IF(D995&gt;0,VLOOKUP(D995,Программа!A$1:B$5124,2),IF(F995&gt;0,VLOOKUP(F995,КВР!A$1:B$5001,2),IF(E995&gt;0,VLOOKUP(E995,Направление!A$1:B$4812,2))))))</f>
        <v>Расходы на повышение оплаты труда работников муниципальных учреждений в сфере культуры</v>
      </c>
      <c r="B995" s="114"/>
      <c r="C995" s="109"/>
      <c r="D995" s="111"/>
      <c r="E995" s="109">
        <v>15900</v>
      </c>
      <c r="F995" s="111"/>
      <c r="G995" s="286">
        <v>12514144</v>
      </c>
      <c r="H995" s="275">
        <f>H996</f>
        <v>0</v>
      </c>
      <c r="I995" s="275">
        <f>I996</f>
        <v>12514144</v>
      </c>
    </row>
    <row r="996" spans="1:9" s="130" customFormat="1" ht="47.25" x14ac:dyDescent="0.25">
      <c r="A996" s="779" t="str">
        <f>IF(B996&gt;0,VLOOKUP(B996,КВСР!A364:B1529,2),IF(C996&gt;0,VLOOKUP(C996,КФСР!A364:B1876,2),IF(D996&gt;0,VLOOKUP(D996,Программа!A$1:B$5124,2),IF(F996&gt;0,VLOOKUP(F996,КВР!A$1:B$5001,2),IF(E996&gt;0,VLOOKUP(E996,Направление!A$1:B$4812,2))))))</f>
        <v>Предоставление субсидий бюджетным, автономным учреждениям и иным некоммерческим организациям</v>
      </c>
      <c r="B996" s="114"/>
      <c r="C996" s="109"/>
      <c r="D996" s="111"/>
      <c r="E996" s="109"/>
      <c r="F996" s="111">
        <v>600</v>
      </c>
      <c r="G996" s="286">
        <v>12514144</v>
      </c>
      <c r="H996" s="286"/>
      <c r="I996" s="117">
        <f t="shared" si="214"/>
        <v>12514144</v>
      </c>
    </row>
    <row r="997" spans="1:9" s="130" customFormat="1" ht="47.25" x14ac:dyDescent="0.25">
      <c r="A997" s="779" t="str">
        <f>IF(B997&gt;0,VLOOKUP(B997,КВСР!A363:B1528,2),IF(C997&gt;0,VLOOKUP(C997,КФСР!A363:B1875,2),IF(D997&gt;0,VLOOKUP(D997,Программа!A$1:B$5124,2),IF(F997&gt;0,VLOOKUP(F997,КВР!A$1:B$5001,2),IF(E997&gt;0,VLOOKUP(E997,Направление!A$1:B$4812,2))))))</f>
        <v>Расходы на повышение оплаты труда работников муниципальных учреждений в сфере культуры</v>
      </c>
      <c r="B997" s="114"/>
      <c r="C997" s="109"/>
      <c r="D997" s="110"/>
      <c r="E997" s="109">
        <v>75900</v>
      </c>
      <c r="F997" s="111"/>
      <c r="G997" s="286">
        <v>6270221</v>
      </c>
      <c r="H997" s="275">
        <f>H998</f>
        <v>0</v>
      </c>
      <c r="I997" s="117">
        <f t="shared" si="214"/>
        <v>6270221</v>
      </c>
    </row>
    <row r="998" spans="1:9" s="130" customFormat="1" ht="47.25" x14ac:dyDescent="0.25">
      <c r="A998" s="779" t="str">
        <f>IF(B998&gt;0,VLOOKUP(B998,КВСР!A364:B1529,2),IF(C998&gt;0,VLOOKUP(C998,КФСР!A364:B1876,2),IF(D998&gt;0,VLOOKUP(D998,Программа!A$1:B$5124,2),IF(F998&gt;0,VLOOKUP(F998,КВР!A$1:B$5001,2),IF(E998&gt;0,VLOOKUP(E998,Направление!A$1:B$4812,2))))))</f>
        <v>Предоставление субсидий бюджетным, автономным учреждениям и иным некоммерческим организациям</v>
      </c>
      <c r="B998" s="114"/>
      <c r="C998" s="109"/>
      <c r="D998" s="111"/>
      <c r="E998" s="109"/>
      <c r="F998" s="111">
        <v>600</v>
      </c>
      <c r="G998" s="286">
        <v>6270221</v>
      </c>
      <c r="H998" s="275"/>
      <c r="I998" s="117">
        <f t="shared" si="214"/>
        <v>6270221</v>
      </c>
    </row>
    <row r="999" spans="1:9" s="130" customFormat="1" hidden="1" x14ac:dyDescent="0.25">
      <c r="A999" s="779" t="str">
        <f>IF(B999&gt;0,VLOOKUP(B999,КВСР!A365:B1530,2),IF(C999&gt;0,VLOOKUP(C999,КФСР!A365:B1877,2),IF(D999&gt;0,VLOOKUP(D999,Программа!A$1:B$5124,2),IF(F999&gt;0,VLOOKUP(F999,КВР!A$1:B$5001,2),IF(E999&gt;0,VLOOKUP(E999,Направление!A$1:B$4812,2))))))</f>
        <v>Федеральный проект "Культурная среда"</v>
      </c>
      <c r="B999" s="114"/>
      <c r="C999" s="109"/>
      <c r="D999" s="111" t="s">
        <v>1570</v>
      </c>
      <c r="E999" s="109"/>
      <c r="F999" s="111"/>
      <c r="G999" s="286">
        <v>0</v>
      </c>
      <c r="H999" s="275">
        <f t="shared" ref="H999:I1000" si="229">H1000</f>
        <v>0</v>
      </c>
      <c r="I999" s="286">
        <f t="shared" si="229"/>
        <v>0</v>
      </c>
    </row>
    <row r="1000" spans="1:9" s="130" customFormat="1" ht="78.75" hidden="1" x14ac:dyDescent="0.25">
      <c r="A1000" s="781" t="str">
        <f>IF(B1000&gt;0,VLOOKUP(B1000,КВСР!A366:B1531,2),IF(C1000&gt;0,VLOOKUP(C1000,КФСР!A366:B1878,2),IF(D1000&gt;0,VLOOKUP(D1000,Программа!A$1:B$5124,2),IF(F1000&gt;0,VLOOKUP(F1000,КВР!A$1:B$5001,2),IF(E1000&gt;0,VLOOKUP(E1000,Направление!A$1:B$4812,2)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00" s="114"/>
      <c r="C1000" s="109"/>
      <c r="D1000" s="111"/>
      <c r="E1000" s="109">
        <v>55191</v>
      </c>
      <c r="F1000" s="111"/>
      <c r="G1000" s="286">
        <v>0</v>
      </c>
      <c r="H1000" s="275">
        <f t="shared" si="229"/>
        <v>0</v>
      </c>
      <c r="I1000" s="286">
        <f t="shared" si="229"/>
        <v>0</v>
      </c>
    </row>
    <row r="1001" spans="1:9" s="130" customFormat="1" ht="47.25" hidden="1" x14ac:dyDescent="0.25">
      <c r="A1001" s="779" t="str">
        <f>IF(B1001&gt;0,VLOOKUP(B1001,КВСР!A367:B1532,2),IF(C1001&gt;0,VLOOKUP(C1001,КФСР!A367:B1879,2),IF(D1001&gt;0,VLOOKUP(D1001,Программа!A$1:B$5124,2),IF(F1001&gt;0,VLOOKUP(F1001,КВР!A$1:B$5001,2),IF(E1001&gt;0,VLOOKUP(E1001,Направление!A$1:B$4812,2))))))</f>
        <v>Предоставление субсидий бюджетным, автономным учреждениям и иным некоммерческим организациям</v>
      </c>
      <c r="B1001" s="114"/>
      <c r="C1001" s="109"/>
      <c r="D1001" s="111"/>
      <c r="E1001" s="109"/>
      <c r="F1001" s="111">
        <v>600</v>
      </c>
      <c r="G1001" s="286">
        <v>0</v>
      </c>
      <c r="H1001" s="275"/>
      <c r="I1001" s="117">
        <f>G1001+H1001</f>
        <v>0</v>
      </c>
    </row>
    <row r="1002" spans="1:9" s="130" customFormat="1" ht="47.25" x14ac:dyDescent="0.25">
      <c r="A1002" s="779" t="str">
        <f>IF(B1002&gt;0,VLOOKUP(B1002,КВСР!A365:B1530,2),IF(C1002&gt;0,VLOOKUP(C1002,КФСР!A365:B1877,2),IF(D1002&gt;0,VLOOKUP(D1002,Программа!A$1:B$5124,2),IF(F1002&gt;0,VLOOKUP(F1002,КВР!A$1:B$5001,2),IF(E1002&gt;0,VLOOKUP(E1002,Направление!A$1:B$4812,2))))))</f>
        <v>Муниципальная программа "Социальная поддержка населения Тутаевского муниципального района"</v>
      </c>
      <c r="B1002" s="114"/>
      <c r="C1002" s="109"/>
      <c r="D1002" s="111" t="s">
        <v>376</v>
      </c>
      <c r="E1002" s="109"/>
      <c r="F1002" s="111"/>
      <c r="G1002" s="286">
        <v>128000</v>
      </c>
      <c r="H1002" s="275">
        <f t="shared" ref="H1002:I1008" si="230">H1003</f>
        <v>20000</v>
      </c>
      <c r="I1002" s="275">
        <f t="shared" si="230"/>
        <v>148000</v>
      </c>
    </row>
    <row r="1003" spans="1:9" s="130" customFormat="1" ht="47.25" x14ac:dyDescent="0.25">
      <c r="A1003" s="779" t="str">
        <f>IF(B1003&gt;0,VLOOKUP(B1003,КВСР!A366:B1531,2),IF(C1003&gt;0,VLOOKUP(C1003,КФСР!A366:B1878,2),IF(D1003&gt;0,VLOOKUP(D1003,Программа!A$1:B$5124,2),IF(F1003&gt;0,VLOOKUP(F1003,КВР!A$1:B$5001,2),IF(E1003&gt;0,VLOOKUP(E1003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1003" s="114"/>
      <c r="C1003" s="109"/>
      <c r="D1003" s="110" t="s">
        <v>378</v>
      </c>
      <c r="E1003" s="109"/>
      <c r="F1003" s="111"/>
      <c r="G1003" s="286">
        <v>128000</v>
      </c>
      <c r="H1003" s="275">
        <f>H1007+H1004+H1010</f>
        <v>20000</v>
      </c>
      <c r="I1003" s="286">
        <f>I1007+I1004+I1010</f>
        <v>148000</v>
      </c>
    </row>
    <row r="1004" spans="1:9" s="130" customFormat="1" ht="63" hidden="1" x14ac:dyDescent="0.25">
      <c r="A1004" s="779" t="str">
        <f>IF(B1004&gt;0,VLOOKUP(B1004,КВСР!A367:B1532,2),IF(C1004&gt;0,VLOOKUP(C1004,КФСР!A367:B1879,2),IF(D1004&gt;0,VLOOKUP(D1004,Программа!A$1:B$5124,2),IF(F1004&gt;0,VLOOKUP(F1004,КВР!A$1:B$5001,2),IF(E1004&gt;0,VLOOKUP(E1004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04" s="114"/>
      <c r="C1004" s="109"/>
      <c r="D1004" s="110" t="s">
        <v>379</v>
      </c>
      <c r="E1004" s="109"/>
      <c r="F1004" s="111"/>
      <c r="G1004" s="286">
        <v>0</v>
      </c>
      <c r="H1004" s="275">
        <f>H1005</f>
        <v>0</v>
      </c>
      <c r="I1004" s="117">
        <f t="shared" si="214"/>
        <v>0</v>
      </c>
    </row>
    <row r="1005" spans="1:9" s="130" customFormat="1" ht="31.5" hidden="1" x14ac:dyDescent="0.25">
      <c r="A1005" s="779" t="str">
        <f>IF(B1005&gt;0,VLOOKUP(B1005,КВСР!A368:B1533,2),IF(C1005&gt;0,VLOOKUP(C1005,КФСР!A368:B1880,2),IF(D1005&gt;0,VLOOKUP(D1005,Программа!A$1:B$5124,2),IF(F1005&gt;0,VLOOKUP(F1005,КВР!A$1:B$5001,2),IF(E1005&gt;0,VLOOKUP(E1005,Направление!A$1:B$4812,2))))))</f>
        <v>Расходы на реализацию мероприятий по улучшению условий и охраны труда</v>
      </c>
      <c r="B1005" s="114"/>
      <c r="C1005" s="109"/>
      <c r="D1005" s="110"/>
      <c r="E1005" s="109">
        <v>16150</v>
      </c>
      <c r="F1005" s="111"/>
      <c r="G1005" s="286">
        <v>0</v>
      </c>
      <c r="H1005" s="275">
        <f>H1006</f>
        <v>0</v>
      </c>
      <c r="I1005" s="117">
        <f t="shared" si="214"/>
        <v>0</v>
      </c>
    </row>
    <row r="1006" spans="1:9" s="130" customFormat="1" ht="47.25" hidden="1" x14ac:dyDescent="0.25">
      <c r="A1006" s="779" t="str">
        <f>IF(B1006&gt;0,VLOOKUP(B1006,КВСР!A369:B1534,2),IF(C1006&gt;0,VLOOKUP(C1006,КФСР!A369:B1881,2),IF(D1006&gt;0,VLOOKUP(D1006,Программа!A$1:B$5124,2),IF(F1006&gt;0,VLOOKUP(F1006,КВР!A$1:B$5001,2),IF(E1006&gt;0,VLOOKUP(E1006,Направление!A$1:B$4812,2))))))</f>
        <v>Предоставление субсидий бюджетным, автономным учреждениям и иным некоммерческим организациям</v>
      </c>
      <c r="B1006" s="114"/>
      <c r="C1006" s="109"/>
      <c r="D1006" s="110"/>
      <c r="E1006" s="109"/>
      <c r="F1006" s="111">
        <v>600</v>
      </c>
      <c r="G1006" s="286">
        <v>0</v>
      </c>
      <c r="H1006" s="275"/>
      <c r="I1006" s="117">
        <f t="shared" si="214"/>
        <v>0</v>
      </c>
    </row>
    <row r="1007" spans="1:9" s="130" customFormat="1" ht="63" x14ac:dyDescent="0.25">
      <c r="A1007" s="779" t="str">
        <f>IF(B1007&gt;0,VLOOKUP(B1007,КВСР!A366:B1531,2),IF(C1007&gt;0,VLOOKUP(C1007,КФСР!A366:B1878,2),IF(D1007&gt;0,VLOOKUP(D1007,Программа!A$1:B$5124,2),IF(F1007&gt;0,VLOOKUP(F1007,КВР!A$1:B$5001,2),IF(E1007&gt;0,VLOOKUP(E1007,Направление!A$1:B$4812,2))))))</f>
        <v>Превентивные меры, направленные на снижение производственного травматизма и профессиональной заболеваемости</v>
      </c>
      <c r="B1007" s="114"/>
      <c r="C1007" s="109"/>
      <c r="D1007" s="110" t="s">
        <v>1341</v>
      </c>
      <c r="E1007" s="109"/>
      <c r="F1007" s="111"/>
      <c r="G1007" s="286">
        <v>80000</v>
      </c>
      <c r="H1007" s="275">
        <f t="shared" si="230"/>
        <v>48000</v>
      </c>
      <c r="I1007" s="275">
        <f t="shared" si="230"/>
        <v>128000</v>
      </c>
    </row>
    <row r="1008" spans="1:9" s="130" customFormat="1" ht="31.5" x14ac:dyDescent="0.25">
      <c r="A1008" s="779" t="str">
        <f>IF(B1008&gt;0,VLOOKUP(B1008,КВСР!A367:B1532,2),IF(C1008&gt;0,VLOOKUP(C1008,КФСР!A367:B1879,2),IF(D1008&gt;0,VLOOKUP(D1008,Программа!A$1:B$5124,2),IF(F1008&gt;0,VLOOKUP(F1008,КВР!A$1:B$5001,2),IF(E1008&gt;0,VLOOKUP(E1008,Направление!A$1:B$4812,2))))))</f>
        <v>Расходы на реализацию мероприятий по улучшению условий и охраны труда</v>
      </c>
      <c r="B1008" s="114"/>
      <c r="C1008" s="109"/>
      <c r="D1008" s="111"/>
      <c r="E1008" s="109">
        <v>16150</v>
      </c>
      <c r="F1008" s="111"/>
      <c r="G1008" s="286">
        <v>80000</v>
      </c>
      <c r="H1008" s="275">
        <f t="shared" si="230"/>
        <v>48000</v>
      </c>
      <c r="I1008" s="275">
        <f t="shared" si="230"/>
        <v>128000</v>
      </c>
    </row>
    <row r="1009" spans="1:9" s="130" customFormat="1" ht="47.25" x14ac:dyDescent="0.25">
      <c r="A1009" s="779" t="str">
        <f>IF(B1009&gt;0,VLOOKUP(B1009,КВСР!A368:B1533,2),IF(C1009&gt;0,VLOOKUP(C1009,КФСР!A368:B1880,2),IF(D1009&gt;0,VLOOKUP(D1009,Программа!A$1:B$5124,2),IF(F1009&gt;0,VLOOKUP(F1009,КВР!A$1:B$5001,2),IF(E1009&gt;0,VLOOKUP(E1009,Направление!A$1:B$4812,2))))))</f>
        <v>Предоставление субсидий бюджетным, автономным учреждениям и иным некоммерческим организациям</v>
      </c>
      <c r="B1009" s="114"/>
      <c r="C1009" s="109"/>
      <c r="D1009" s="111"/>
      <c r="E1009" s="109"/>
      <c r="F1009" s="111">
        <v>600</v>
      </c>
      <c r="G1009" s="286">
        <v>80000</v>
      </c>
      <c r="H1009" s="275">
        <v>48000</v>
      </c>
      <c r="I1009" s="117">
        <f t="shared" si="214"/>
        <v>128000</v>
      </c>
    </row>
    <row r="1010" spans="1:9" s="130" customFormat="1" ht="47.25" x14ac:dyDescent="0.25">
      <c r="A1010" s="779" t="str">
        <f>IF(B1010&gt;0,VLOOKUP(B1010,КВСР!A369:B1534,2),IF(C1010&gt;0,VLOOKUP(C1010,КФСР!A369:B1881,2),IF(D1010&gt;0,VLOOKUP(D1010,Программа!A$1:B$5124,2),IF(F1010&gt;0,VLOOKUP(F1010,КВР!A$1:B$5001,2),IF(E1010&gt;0,VLOOKUP(E1010,Направление!A$1:B$4812,2))))))</f>
        <v>Обучение по охране труда работников организаций Тутаевского муниципального района</v>
      </c>
      <c r="B1010" s="114"/>
      <c r="C1010" s="109"/>
      <c r="D1010" s="110" t="s">
        <v>1036</v>
      </c>
      <c r="E1010" s="109"/>
      <c r="F1010" s="111"/>
      <c r="G1010" s="286">
        <v>48000</v>
      </c>
      <c r="H1010" s="275">
        <f>H1011</f>
        <v>-28000</v>
      </c>
      <c r="I1010" s="275">
        <f>I1011</f>
        <v>20000</v>
      </c>
    </row>
    <row r="1011" spans="1:9" s="130" customFormat="1" ht="31.5" x14ac:dyDescent="0.25">
      <c r="A1011" s="779" t="str">
        <f>IF(B1011&gt;0,VLOOKUP(B1011,КВСР!A370:B1535,2),IF(C1011&gt;0,VLOOKUP(C1011,КФСР!A370:B1882,2),IF(D1011&gt;0,VLOOKUP(D1011,Программа!A$1:B$5124,2),IF(F1011&gt;0,VLOOKUP(F1011,КВР!A$1:B$5001,2),IF(E1011&gt;0,VLOOKUP(E1011,Направление!A$1:B$4812,2))))))</f>
        <v>Расходы на реализацию мероприятий по улучшению условий и охраны труда</v>
      </c>
      <c r="B1011" s="114"/>
      <c r="C1011" s="109"/>
      <c r="D1011" s="111"/>
      <c r="E1011" s="109">
        <v>16150</v>
      </c>
      <c r="F1011" s="111"/>
      <c r="G1011" s="286">
        <v>48000</v>
      </c>
      <c r="H1011" s="275">
        <f>H1012</f>
        <v>-28000</v>
      </c>
      <c r="I1011" s="275">
        <f>I1012</f>
        <v>20000</v>
      </c>
    </row>
    <row r="1012" spans="1:9" s="130" customFormat="1" ht="47.25" x14ac:dyDescent="0.25">
      <c r="A1012" s="779" t="str">
        <f>IF(B1012&gt;0,VLOOKUP(B1012,КВСР!A371:B1536,2),IF(C1012&gt;0,VLOOKUP(C1012,КФСР!A371:B1883,2),IF(D1012&gt;0,VLOOKUP(D1012,Программа!A$1:B$5124,2),IF(F1012&gt;0,VLOOKUP(F1012,КВР!A$1:B$5001,2),IF(E1012&gt;0,VLOOKUP(E1012,Направление!A$1:B$4812,2))))))</f>
        <v>Предоставление субсидий бюджетным, автономным учреждениям и иным некоммерческим организациям</v>
      </c>
      <c r="B1012" s="114"/>
      <c r="C1012" s="109"/>
      <c r="D1012" s="111"/>
      <c r="E1012" s="109"/>
      <c r="F1012" s="111">
        <v>600</v>
      </c>
      <c r="G1012" s="286">
        <v>48000</v>
      </c>
      <c r="H1012" s="275">
        <v>-28000</v>
      </c>
      <c r="I1012" s="117">
        <f t="shared" ref="I1012" si="231">SUM(G1012:H1012)</f>
        <v>20000</v>
      </c>
    </row>
    <row r="1013" spans="1:9" s="130" customFormat="1" x14ac:dyDescent="0.25">
      <c r="A1013" s="779" t="str">
        <f>IF(B1013&gt;0,VLOOKUP(B1013,КВСР!A362:B1527,2),IF(C1013&gt;0,VLOOKUP(C1013,КФСР!A362:B1874,2),IF(D1013&gt;0,VLOOKUP(D1013,Программа!A$1:B$5124,2),IF(F1013&gt;0,VLOOKUP(F1013,КВР!A$1:B$5001,2),IF(E1013&gt;0,VLOOKUP(E1013,Направление!A$1:B$4812,2))))))</f>
        <v>Молодежная политика</v>
      </c>
      <c r="B1013" s="114"/>
      <c r="C1013" s="109">
        <v>707</v>
      </c>
      <c r="D1013" s="110"/>
      <c r="E1013" s="109"/>
      <c r="F1013" s="111"/>
      <c r="G1013" s="268">
        <v>16075803</v>
      </c>
      <c r="H1013" s="330">
        <f>H1014+H1046</f>
        <v>302749</v>
      </c>
      <c r="I1013" s="330">
        <f>I1014+I1046</f>
        <v>16378552</v>
      </c>
    </row>
    <row r="1014" spans="1:9" s="130" customFormat="1" ht="63" x14ac:dyDescent="0.25">
      <c r="A1014" s="779" t="str">
        <f>IF(B1014&gt;0,VLOOKUP(B1014,КВСР!A363:B1528,2),IF(C1014&gt;0,VLOOKUP(C1014,КФСР!A363:B1875,2),IF(D1014&gt;0,VLOOKUP(D1014,Программа!A$1:B$5124,2),IF(F1014&gt;0,VLOOKUP(F1014,КВР!A$1:B$5001,2),IF(E1014&gt;0,VLOOKUP(E1014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014" s="114"/>
      <c r="C1014" s="109"/>
      <c r="D1014" s="110" t="s">
        <v>396</v>
      </c>
      <c r="E1014" s="109"/>
      <c r="F1014" s="111"/>
      <c r="G1014" s="268">
        <v>16075803</v>
      </c>
      <c r="H1014" s="330">
        <f>H1015+H1036+H1042</f>
        <v>302749</v>
      </c>
      <c r="I1014" s="330">
        <f>I1015+I1036+I1042</f>
        <v>16378552</v>
      </c>
    </row>
    <row r="1015" spans="1:9" s="130" customFormat="1" ht="31.5" x14ac:dyDescent="0.25">
      <c r="A1015" s="779" t="str">
        <f>IF(B1015&gt;0,VLOOKUP(B1015,КВСР!A364:B1529,2),IF(C1015&gt;0,VLOOKUP(C1015,КФСР!A364:B1876,2),IF(D1015&gt;0,VLOOKUP(D1015,Программа!A$1:B$5124,2),IF(F1015&gt;0,VLOOKUP(F1015,КВР!A$1:B$5001,2),IF(E1015&gt;0,VLOOKUP(E1015,Направление!A$1:B$4812,2))))))</f>
        <v>Ведомственная целевая программа «Молодежь»</v>
      </c>
      <c r="B1015" s="114"/>
      <c r="C1015" s="109"/>
      <c r="D1015" s="110" t="s">
        <v>499</v>
      </c>
      <c r="E1015" s="109"/>
      <c r="F1015" s="111"/>
      <c r="G1015" s="268">
        <v>15715330</v>
      </c>
      <c r="H1015" s="330">
        <f>H1016+H1031</f>
        <v>245749</v>
      </c>
      <c r="I1015" s="330">
        <f>I1016+I1031</f>
        <v>15961079</v>
      </c>
    </row>
    <row r="1016" spans="1:9" s="130" customFormat="1" ht="63" x14ac:dyDescent="0.25">
      <c r="A1016" s="779" t="str">
        <f>IF(B1016&gt;0,VLOOKUP(B1016,КВСР!A364:B1529,2),IF(C1016&gt;0,VLOOKUP(C1016,КФСР!A364:B1876,2),IF(D1016&gt;0,VLOOKUP(D1016,Программа!A$1:B$5124,2),IF(F1016&gt;0,VLOOKUP(F1016,КВР!A$1:B$5001,2),IF(E1016&gt;0,VLOOKUP(E1016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16" s="114"/>
      <c r="C1016" s="109"/>
      <c r="D1016" s="110" t="s">
        <v>501</v>
      </c>
      <c r="E1016" s="109"/>
      <c r="F1016" s="111"/>
      <c r="G1016" s="268">
        <v>15580330</v>
      </c>
      <c r="H1016" s="330">
        <f>H1017+H1019+H1027+H1023+H1025+H1029+H1021</f>
        <v>245749</v>
      </c>
      <c r="I1016" s="330">
        <f>I1017+I1019+I1027+I1023+I1025+I1029+I1021</f>
        <v>15826079</v>
      </c>
    </row>
    <row r="1017" spans="1:9" s="130" customFormat="1" ht="47.25" x14ac:dyDescent="0.25">
      <c r="A1017" s="779" t="str">
        <f>IF(B1017&gt;0,VLOOKUP(B1017,КВСР!A365:B1530,2),IF(C1017&gt;0,VLOOKUP(C1017,КФСР!A365:B1877,2),IF(D1017&gt;0,VLOOKUP(D1017,Программа!A$1:B$5124,2),IF(F1017&gt;0,VLOOKUP(F1017,КВР!A$1:B$5001,2),IF(E1017&gt;0,VLOOKUP(E1017,Направление!A$1:B$4812,2))))))</f>
        <v>Расходы на осуществление деятельности в сфере молодежной политики социальными учреждениями молодежи</v>
      </c>
      <c r="B1017" s="114"/>
      <c r="C1017" s="109"/>
      <c r="D1017" s="110"/>
      <c r="E1017" s="109">
        <v>10650</v>
      </c>
      <c r="F1017" s="111"/>
      <c r="G1017" s="286">
        <v>2215744</v>
      </c>
      <c r="H1017" s="275">
        <f>H1018</f>
        <v>0</v>
      </c>
      <c r="I1017" s="117">
        <f t="shared" si="214"/>
        <v>2215744</v>
      </c>
    </row>
    <row r="1018" spans="1:9" s="130" customFormat="1" ht="47.25" x14ac:dyDescent="0.25">
      <c r="A1018" s="779" t="str">
        <f>IF(B1018&gt;0,VLOOKUP(B1018,КВСР!A366:B1531,2),IF(C1018&gt;0,VLOOKUP(C1018,КФСР!A366:B1878,2),IF(D1018&gt;0,VLOOKUP(D1018,Программа!A$1:B$5124,2),IF(F1018&gt;0,VLOOKUP(F1018,КВР!A$1:B$5001,2),IF(E1018&gt;0,VLOOKUP(E1018,Направление!A$1:B$4812,2))))))</f>
        <v>Предоставление субсидий бюджетным, автономным учреждениям и иным некоммерческим организациям</v>
      </c>
      <c r="B1018" s="114"/>
      <c r="C1018" s="109"/>
      <c r="D1018" s="111"/>
      <c r="E1018" s="109"/>
      <c r="F1018" s="111">
        <v>600</v>
      </c>
      <c r="G1018" s="286">
        <v>2215744</v>
      </c>
      <c r="H1018" s="275"/>
      <c r="I1018" s="117">
        <f t="shared" si="214"/>
        <v>2215744</v>
      </c>
    </row>
    <row r="1019" spans="1:9" s="130" customFormat="1" ht="31.5" x14ac:dyDescent="0.25">
      <c r="A1019" s="779" t="str">
        <f>IF(B1019&gt;0,VLOOKUP(B1019,КВСР!A367:B1532,2),IF(C1019&gt;0,VLOOKUP(C1019,КФСР!A367:B1879,2),IF(D1019&gt;0,VLOOKUP(D1019,Программа!A$1:B$5124,2),IF(F1019&gt;0,VLOOKUP(F1019,КВР!A$1:B$5001,2),IF(E1019&gt;0,VLOOKUP(E1019,Направление!A$1:B$4812,2))))))</f>
        <v xml:space="preserve">Обеспечение деятельности учреждений в сфере молодежной политики </v>
      </c>
      <c r="B1019" s="114"/>
      <c r="C1019" s="109"/>
      <c r="D1019" s="110"/>
      <c r="E1019" s="109">
        <v>14510</v>
      </c>
      <c r="F1019" s="111"/>
      <c r="G1019" s="268">
        <v>9517319</v>
      </c>
      <c r="H1019" s="330">
        <f>H1020</f>
        <v>245749</v>
      </c>
      <c r="I1019" s="330">
        <f>I1020</f>
        <v>9763068</v>
      </c>
    </row>
    <row r="1020" spans="1:9" s="130" customFormat="1" ht="47.25" x14ac:dyDescent="0.25">
      <c r="A1020" s="779" t="str">
        <f>IF(B1020&gt;0,VLOOKUP(B1020,КВСР!A368:B1533,2),IF(C1020&gt;0,VLOOKUP(C1020,КФСР!A368:B1880,2),IF(D1020&gt;0,VLOOKUP(D1020,Программа!A$1:B$5124,2),IF(F1020&gt;0,VLOOKUP(F1020,КВР!A$1:B$5001,2),IF(E1020&gt;0,VLOOKUP(E1020,Направление!A$1:B$4812,2))))))</f>
        <v>Предоставление субсидий бюджетным, автономным учреждениям и иным некоммерческим организациям</v>
      </c>
      <c r="B1020" s="114"/>
      <c r="C1020" s="109"/>
      <c r="D1020" s="111"/>
      <c r="E1020" s="109"/>
      <c r="F1020" s="111">
        <v>600</v>
      </c>
      <c r="G1020" s="286">
        <v>9517319</v>
      </c>
      <c r="H1020" s="275">
        <f>45749+200000</f>
        <v>245749</v>
      </c>
      <c r="I1020" s="117">
        <f t="shared" si="214"/>
        <v>9763068</v>
      </c>
    </row>
    <row r="1021" spans="1:9" s="130" customFormat="1" ht="47.25" x14ac:dyDescent="0.25">
      <c r="A1021" s="779" t="str">
        <f>IF(B1021&gt;0,VLOOKUP(B1021,КВСР!A369:B1534,2),IF(C1021&gt;0,VLOOKUP(C1021,КФСР!A369:B1881,2),IF(D1021&gt;0,VLOOKUP(D1021,Программа!A$1:B$5124,2),IF(F1021&gt;0,VLOOKUP(F1021,КВР!A$1:B$5001,2),IF(E1021&gt;0,VLOOKUP(E1021,Направление!A$1:B$4812,2))))))</f>
        <v>Расходы на реализацию мероприятий инициативного бюджетирования на территории Ярославской области</v>
      </c>
      <c r="B1021" s="114"/>
      <c r="C1021" s="109"/>
      <c r="D1021" s="111"/>
      <c r="E1021" s="109">
        <v>15350</v>
      </c>
      <c r="F1021" s="111"/>
      <c r="G1021" s="286">
        <v>681523</v>
      </c>
      <c r="H1021" s="275">
        <f>H1022</f>
        <v>0</v>
      </c>
      <c r="I1021" s="275">
        <f>I1022</f>
        <v>681523</v>
      </c>
    </row>
    <row r="1022" spans="1:9" s="130" customFormat="1" ht="47.25" x14ac:dyDescent="0.25">
      <c r="A1022" s="779" t="str">
        <f>IF(B1022&gt;0,VLOOKUP(B1022,КВСР!A370:B1535,2),IF(C1022&gt;0,VLOOKUP(C1022,КФСР!A370:B1882,2),IF(D1022&gt;0,VLOOKUP(D1022,Программа!A$1:B$5124,2),IF(F1022&gt;0,VLOOKUP(F1022,КВР!A$1:B$5001,2),IF(E1022&gt;0,VLOOKUP(E1022,Направление!A$1:B$4812,2))))))</f>
        <v>Предоставление субсидий бюджетным, автономным учреждениям и иным некоммерческим организациям</v>
      </c>
      <c r="B1022" s="114"/>
      <c r="C1022" s="109"/>
      <c r="D1022" s="111"/>
      <c r="E1022" s="109"/>
      <c r="F1022" s="111">
        <v>600</v>
      </c>
      <c r="G1022" s="286">
        <v>681523</v>
      </c>
      <c r="H1022" s="275"/>
      <c r="I1022" s="117">
        <f t="shared" si="214"/>
        <v>681523</v>
      </c>
    </row>
    <row r="1023" spans="1:9" s="130" customFormat="1" ht="63" x14ac:dyDescent="0.25">
      <c r="A1023" s="779" t="str">
        <f>IF(B1023&gt;0,VLOOKUP(B1023,КВСР!A371:B1536,2),IF(C1023&gt;0,VLOOKUP(C1023,КФСР!A371:B1883,2),IF(D1023&gt;0,VLOOKUP(D1023,Программа!A$1:B$5124,2),IF(F1023&gt;0,VLOOKUP(F1023,КВР!A$1:B$5001,2),IF(E1023&gt;0,VLOOKUP(E1023,Направление!A$1:B$4812,2)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23" s="114"/>
      <c r="C1023" s="109"/>
      <c r="D1023" s="111"/>
      <c r="E1023" s="109">
        <v>70650</v>
      </c>
      <c r="F1023" s="111"/>
      <c r="G1023" s="286">
        <v>2215744</v>
      </c>
      <c r="H1023" s="275">
        <f>H1024</f>
        <v>0</v>
      </c>
      <c r="I1023" s="117">
        <f t="shared" si="214"/>
        <v>2215744</v>
      </c>
    </row>
    <row r="1024" spans="1:9" s="130" customFormat="1" ht="47.25" x14ac:dyDescent="0.25">
      <c r="A1024" s="779" t="str">
        <f>IF(B1024&gt;0,VLOOKUP(B1024,КВСР!A372:B1537,2),IF(C1024&gt;0,VLOOKUP(C1024,КФСР!A372:B1884,2),IF(D1024&gt;0,VLOOKUP(D1024,Программа!A$1:B$5124,2),IF(F1024&gt;0,VLOOKUP(F1024,КВР!A$1:B$5001,2),IF(E1024&gt;0,VLOOKUP(E1024,Направление!A$1:B$4812,2))))))</f>
        <v>Предоставление субсидий бюджетным, автономным учреждениям и иным некоммерческим организациям</v>
      </c>
      <c r="B1024" s="114"/>
      <c r="C1024" s="109"/>
      <c r="D1024" s="110"/>
      <c r="E1024" s="109"/>
      <c r="F1024" s="111">
        <v>600</v>
      </c>
      <c r="G1024" s="286">
        <v>2215744</v>
      </c>
      <c r="H1024" s="275"/>
      <c r="I1024" s="117">
        <f t="shared" si="214"/>
        <v>2215744</v>
      </c>
    </row>
    <row r="1025" spans="1:9" s="130" customFormat="1" hidden="1" x14ac:dyDescent="0.25">
      <c r="A1025" s="779" t="str">
        <f>IF(B1025&gt;0,VLOOKUP(B1025,КВСР!A373:B1538,2),IF(C1025&gt;0,VLOOKUP(C1025,КФСР!A373:B1885,2),IF(D1025&gt;0,VLOOKUP(D1025,Программа!A$1:B$5124,2),IF(F1025&gt;0,VLOOKUP(F1025,КВР!A$1:B$5001,2),IF(E1025&gt;0,VLOOKUP(E1025,Направление!A$1:B$4812,2))))))</f>
        <v xml:space="preserve">Иная дотация </v>
      </c>
      <c r="B1025" s="114"/>
      <c r="C1025" s="109"/>
      <c r="D1025" s="110"/>
      <c r="E1025" s="109">
        <v>73260</v>
      </c>
      <c r="F1025" s="111"/>
      <c r="G1025" s="286">
        <v>0</v>
      </c>
      <c r="H1025" s="275">
        <f t="shared" ref="H1025:I1025" si="232">H1026</f>
        <v>0</v>
      </c>
      <c r="I1025" s="286">
        <f t="shared" si="232"/>
        <v>0</v>
      </c>
    </row>
    <row r="1026" spans="1:9" s="130" customFormat="1" ht="47.25" hidden="1" x14ac:dyDescent="0.25">
      <c r="A1026" s="779" t="str">
        <f>IF(B1026&gt;0,VLOOKUP(B1026,КВСР!A374:B1539,2),IF(C1026&gt;0,VLOOKUP(C1026,КФСР!A374:B1886,2),IF(D1026&gt;0,VLOOKUP(D1026,Программа!A$1:B$5124,2),IF(F1026&gt;0,VLOOKUP(F1026,КВР!A$1:B$5001,2),IF(E1026&gt;0,VLOOKUP(E1026,Направление!A$1:B$4812,2))))))</f>
        <v>Предоставление субсидий бюджетным, автономным учреждениям и иным некоммерческим организациям</v>
      </c>
      <c r="B1026" s="114"/>
      <c r="C1026" s="109"/>
      <c r="D1026" s="110"/>
      <c r="E1026" s="109"/>
      <c r="F1026" s="111">
        <v>600</v>
      </c>
      <c r="G1026" s="286">
        <v>0</v>
      </c>
      <c r="H1026" s="275"/>
      <c r="I1026" s="117">
        <f>G1026+H1026</f>
        <v>0</v>
      </c>
    </row>
    <row r="1027" spans="1:9" s="130" customFormat="1" ht="47.25" x14ac:dyDescent="0.25">
      <c r="A1027" s="779" t="str">
        <f>IF(B1027&gt;0,VLOOKUP(B1027,КВСР!A375:B1540,2),IF(C1027&gt;0,VLOOKUP(C1027,КФСР!A375:B1887,2),IF(D1027&gt;0,VLOOKUP(D1027,Программа!A$1:B$5124,2),IF(F1027&gt;0,VLOOKUP(F1027,КВР!A$1:B$5001,2),IF(E1027&gt;0,VLOOKUP(E1027,Направление!A$1:B$4812,2))))))</f>
        <v>Расходы на реализацию мероприятий инициативного бюджетирования на территории Ярославской области</v>
      </c>
      <c r="B1027" s="114"/>
      <c r="C1027" s="109"/>
      <c r="D1027" s="110"/>
      <c r="E1027" s="109">
        <v>75350</v>
      </c>
      <c r="F1027" s="111"/>
      <c r="G1027" s="286">
        <v>950000</v>
      </c>
      <c r="H1027" s="275">
        <f>H1028</f>
        <v>0</v>
      </c>
      <c r="I1027" s="117">
        <f t="shared" si="214"/>
        <v>950000</v>
      </c>
    </row>
    <row r="1028" spans="1:9" s="130" customFormat="1" ht="47.25" x14ac:dyDescent="0.25">
      <c r="A1028" s="779" t="str">
        <f>IF(B1028&gt;0,VLOOKUP(B1028,КВСР!A376:B1541,2),IF(C1028&gt;0,VLOOKUP(C1028,КФСР!A376:B1888,2),IF(D1028&gt;0,VLOOKUP(D1028,Программа!A$1:B$5124,2),IF(F1028&gt;0,VLOOKUP(F1028,КВР!A$1:B$5001,2),IF(E1028&gt;0,VLOOKUP(E1028,Направление!A$1:B$4812,2)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10"/>
      <c r="E1028" s="109"/>
      <c r="F1028" s="111">
        <v>600</v>
      </c>
      <c r="G1028" s="268">
        <v>950000</v>
      </c>
      <c r="H1028" s="330"/>
      <c r="I1028" s="117">
        <f t="shared" si="214"/>
        <v>950000</v>
      </c>
    </row>
    <row r="1029" spans="1:9" s="130" customFormat="1" ht="47.25" hidden="1" x14ac:dyDescent="0.25">
      <c r="A1029" s="779" t="str">
        <f>IF(B1029&gt;0,VLOOKUP(B1029,КВСР!A377:B1542,2),IF(C1029&gt;0,VLOOKUP(C1029,КФСР!A377:B1889,2),IF(D1029&gt;0,VLOOKUP(D1029,Программа!A$1:B$5124,2),IF(F1029&gt;0,VLOOKUP(F1029,КВР!A$1:B$5001,2),IF(E1029&gt;0,VLOOKUP(E1029,Направление!A$1:B$4812,2))))))</f>
        <v>Расходы на обеспечение трудоустройства несовершеннолетних граждан на временные рабочие места</v>
      </c>
      <c r="B1029" s="114"/>
      <c r="C1029" s="109"/>
      <c r="D1029" s="110"/>
      <c r="E1029" s="109">
        <v>76150</v>
      </c>
      <c r="F1029" s="111"/>
      <c r="G1029" s="268">
        <v>0</v>
      </c>
      <c r="H1029" s="330">
        <f t="shared" ref="H1029:I1029" si="233">H1030</f>
        <v>0</v>
      </c>
      <c r="I1029" s="268">
        <f t="shared" si="233"/>
        <v>0</v>
      </c>
    </row>
    <row r="1030" spans="1:9" s="130" customFormat="1" ht="47.25" hidden="1" x14ac:dyDescent="0.25">
      <c r="A1030" s="779" t="str">
        <f>IF(B1030&gt;0,VLOOKUP(B1030,КВСР!A378:B1543,2),IF(C1030&gt;0,VLOOKUP(C1030,КФСР!A378:B1890,2),IF(D1030&gt;0,VLOOKUP(D1030,Программа!A$1:B$5124,2),IF(F1030&gt;0,VLOOKUP(F1030,КВР!A$1:B$5001,2),IF(E1030&gt;0,VLOOKUP(E1030,Направление!A$1:B$4812,2))))))</f>
        <v>Предоставление субсидий бюджетным, автономным учреждениям и иным некоммерческим организациям</v>
      </c>
      <c r="B1030" s="114"/>
      <c r="C1030" s="109"/>
      <c r="D1030" s="110"/>
      <c r="E1030" s="109"/>
      <c r="F1030" s="111">
        <v>600</v>
      </c>
      <c r="G1030" s="268">
        <v>0</v>
      </c>
      <c r="H1030" s="330"/>
      <c r="I1030" s="117">
        <f>G1030+H1030</f>
        <v>0</v>
      </c>
    </row>
    <row r="1031" spans="1:9" s="130" customFormat="1" ht="47.25" x14ac:dyDescent="0.25">
      <c r="A1031" s="779" t="str">
        <f>IF(B1031&gt;0,VLOOKUP(B1031,КВСР!A371:B1536,2),IF(C1031&gt;0,VLOOKUP(C1031,КФСР!A371:B1883,2),IF(D1031&gt;0,VLOOKUP(D1031,Программа!A$1:B$5124,2),IF(F1031&gt;0,VLOOKUP(F1031,КВР!A$1:B$5001,2),IF(E1031&gt;0,VLOOKUP(E1031,Направление!A$1:B$4812,2))))))</f>
        <v>Обеспечение качества и доступности услуг(работ) в сфере молодежной политики</v>
      </c>
      <c r="B1031" s="114"/>
      <c r="C1031" s="109"/>
      <c r="D1031" s="110" t="s">
        <v>1091</v>
      </c>
      <c r="E1031" s="109"/>
      <c r="F1031" s="111"/>
      <c r="G1031" s="268">
        <v>135000</v>
      </c>
      <c r="H1031" s="330">
        <f>H1032+H1034</f>
        <v>0</v>
      </c>
      <c r="I1031" s="330">
        <f>I1032+I1034</f>
        <v>135000</v>
      </c>
    </row>
    <row r="1032" spans="1:9" s="130" customFormat="1" ht="31.5" x14ac:dyDescent="0.25">
      <c r="A1032" s="779" t="str">
        <f>IF(B1032&gt;0,VLOOKUP(B1032,КВСР!A372:B1537,2),IF(C1032&gt;0,VLOOKUP(C1032,КФСР!A372:B1884,2),IF(D1032&gt;0,VLOOKUP(D1032,Программа!A$1:B$5124,2),IF(F1032&gt;0,VLOOKUP(F1032,КВР!A$1:B$5001,2),IF(E1032&gt;0,VLOOKUP(E1032,Направление!A$1:B$4812,2))))))</f>
        <v xml:space="preserve">Выплата ежемесячных разовых стипендий главы </v>
      </c>
      <c r="B1032" s="114"/>
      <c r="C1032" s="109"/>
      <c r="D1032" s="110"/>
      <c r="E1032" s="109">
        <v>12700</v>
      </c>
      <c r="F1032" s="111"/>
      <c r="G1032" s="268">
        <v>135000</v>
      </c>
      <c r="H1032" s="330">
        <f>H1033</f>
        <v>0</v>
      </c>
      <c r="I1032" s="330">
        <f>I1033</f>
        <v>135000</v>
      </c>
    </row>
    <row r="1033" spans="1:9" s="130" customFormat="1" ht="47.25" x14ac:dyDescent="0.25">
      <c r="A1033" s="779" t="str">
        <f>IF(B1033&gt;0,VLOOKUP(B1033,КВСР!A373:B1538,2),IF(C1033&gt;0,VLOOKUP(C1033,КФСР!A373:B1885,2),IF(D1033&gt;0,VLOOKUP(D1033,Программа!A$1:B$5124,2),IF(F1033&gt;0,VLOOKUP(F1033,КВР!A$1:B$5001,2),IF(E1033&gt;0,VLOOKUP(E1033,Направление!A$1:B$4812,2))))))</f>
        <v>Предоставление субсидий бюджетным, автономным учреждениям и иным некоммерческим организациям</v>
      </c>
      <c r="B1033" s="114"/>
      <c r="C1033" s="109"/>
      <c r="D1033" s="110"/>
      <c r="E1033" s="109"/>
      <c r="F1033" s="111">
        <v>600</v>
      </c>
      <c r="G1033" s="268">
        <v>135000</v>
      </c>
      <c r="H1033" s="330"/>
      <c r="I1033" s="117">
        <f t="shared" si="214"/>
        <v>135000</v>
      </c>
    </row>
    <row r="1034" spans="1:9" s="130" customFormat="1" ht="31.5" hidden="1" x14ac:dyDescent="0.25">
      <c r="A1034" s="779" t="str">
        <f>IF(B1034&gt;0,VLOOKUP(B1034,КВСР!A374:B1539,2),IF(C1034&gt;0,VLOOKUP(C1034,КФСР!A374:B1886,2),IF(D1034&gt;0,VLOOKUP(D1034,Программа!A$1:B$5124,2),IF(F1034&gt;0,VLOOKUP(F1034,КВР!A$1:B$5001,2),IF(E1034&gt;0,VLOOKUP(E1034,Направление!A$1:B$4812,2))))))</f>
        <v xml:space="preserve">Обеспечение деятельности учреждений в сфере молодежной политики </v>
      </c>
      <c r="B1034" s="114"/>
      <c r="C1034" s="109"/>
      <c r="D1034" s="110"/>
      <c r="E1034" s="109">
        <v>14510</v>
      </c>
      <c r="F1034" s="111"/>
      <c r="G1034" s="268">
        <v>0</v>
      </c>
      <c r="H1034" s="330">
        <f>H1035</f>
        <v>0</v>
      </c>
      <c r="I1034" s="117">
        <f t="shared" ref="I1034:I1134" si="234">SUM(G1034:H1034)</f>
        <v>0</v>
      </c>
    </row>
    <row r="1035" spans="1:9" s="130" customFormat="1" ht="47.25" hidden="1" x14ac:dyDescent="0.25">
      <c r="A1035" s="779" t="str">
        <f>IF(B1035&gt;0,VLOOKUP(B1035,КВСР!A374:B1539,2),IF(C1035&gt;0,VLOOKUP(C1035,КФСР!A374:B1886,2),IF(D1035&gt;0,VLOOKUP(D1035,Программа!A$1:B$5124,2),IF(F1035&gt;0,VLOOKUP(F1035,КВР!A$1:B$5001,2),IF(E1035&gt;0,VLOOKUP(E1035,Направление!A$1:B$4812,2))))))</f>
        <v>Предоставление субсидий бюджетным, автономным учреждениям и иным некоммерческим организациям</v>
      </c>
      <c r="B1035" s="114"/>
      <c r="C1035" s="109"/>
      <c r="D1035" s="110"/>
      <c r="E1035" s="109"/>
      <c r="F1035" s="111">
        <v>600</v>
      </c>
      <c r="G1035" s="268">
        <v>0</v>
      </c>
      <c r="H1035" s="330"/>
      <c r="I1035" s="117">
        <f t="shared" si="234"/>
        <v>0</v>
      </c>
    </row>
    <row r="1036" spans="1:9" s="130" customFormat="1" ht="94.5" x14ac:dyDescent="0.25">
      <c r="A1036" s="779" t="str">
        <f>IF(B1036&gt;0,VLOOKUP(B1036,КВСР!A371:B1536,2),IF(C1036&gt;0,VLOOKUP(C1036,КФСР!A371:B1883,2),IF(D1036&gt;0,VLOOKUP(D1036,Программа!A$1:B$5124,2),IF(F1036&gt;0,VLOOKUP(F1036,КВР!A$1:B$5001,2),IF(E1036&gt;0,VLOOKUP(E1036,Направление!A$1:B$4812,2)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36" s="114"/>
      <c r="C1036" s="109"/>
      <c r="D1036" s="110" t="s">
        <v>398</v>
      </c>
      <c r="E1036" s="109"/>
      <c r="F1036" s="111"/>
      <c r="G1036" s="268">
        <v>230473</v>
      </c>
      <c r="H1036" s="330">
        <f t="shared" ref="H1036:I1038" si="235">H1037</f>
        <v>57000</v>
      </c>
      <c r="I1036" s="330">
        <f t="shared" si="235"/>
        <v>287473</v>
      </c>
    </row>
    <row r="1037" spans="1:9" s="130" customFormat="1" ht="78.75" x14ac:dyDescent="0.25">
      <c r="A1037" s="779" t="str">
        <f>IF(B1037&gt;0,VLOOKUP(B1037,КВСР!A372:B1537,2),IF(C1037&gt;0,VLOOKUP(C1037,КФСР!A372:B1884,2),IF(D1037&gt;0,VLOOKUP(D1037,Программа!A$1:B$5124,2),IF(F1037&gt;0,VLOOKUP(F1037,КВР!A$1:B$5001,2),IF(E1037&gt;0,VLOOKUP(E1037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37" s="114"/>
      <c r="C1037" s="109"/>
      <c r="D1037" s="110" t="s">
        <v>400</v>
      </c>
      <c r="E1037" s="109"/>
      <c r="F1037" s="111"/>
      <c r="G1037" s="268">
        <v>230473</v>
      </c>
      <c r="H1037" s="330">
        <f t="shared" ref="H1037" si="236">H1038+H1040</f>
        <v>57000</v>
      </c>
      <c r="I1037" s="330">
        <f t="shared" ref="I1037" si="237">I1038+I1040</f>
        <v>287473</v>
      </c>
    </row>
    <row r="1038" spans="1:9" s="130" customFormat="1" ht="31.5" x14ac:dyDescent="0.25">
      <c r="A1038" s="779" t="str">
        <f>IF(B1038&gt;0,VLOOKUP(B1038,КВСР!A374:B1539,2),IF(C1038&gt;0,VLOOKUP(C1038,КФСР!A374:B1886,2),IF(D1038&gt;0,VLOOKUP(D1038,Программа!A$1:B$5124,2),IF(F1038&gt;0,VLOOKUP(F1038,КВР!A$1:B$5001,2),IF(E1038&gt;0,VLOOKUP(E1038,Направление!A$1:B$4812,2))))))</f>
        <v>Мероприятия по патриотическому воспитанию граждан</v>
      </c>
      <c r="B1038" s="114"/>
      <c r="C1038" s="109"/>
      <c r="D1038" s="110"/>
      <c r="E1038" s="109">
        <v>14880</v>
      </c>
      <c r="F1038" s="111"/>
      <c r="G1038" s="268">
        <v>200000</v>
      </c>
      <c r="H1038" s="330">
        <f t="shared" si="235"/>
        <v>57000</v>
      </c>
      <c r="I1038" s="330">
        <f t="shared" si="235"/>
        <v>257000</v>
      </c>
    </row>
    <row r="1039" spans="1:9" s="130" customFormat="1" ht="47.25" x14ac:dyDescent="0.25">
      <c r="A1039" s="779" t="str">
        <f>IF(B1039&gt;0,VLOOKUP(B1039,КВСР!A375:B1540,2),IF(C1039&gt;0,VLOOKUP(C1039,КФСР!A375:B1887,2),IF(D1039&gt;0,VLOOKUP(D1039,Программа!A$1:B$5124,2),IF(F1039&gt;0,VLOOKUP(F1039,КВР!A$1:B$5001,2),IF(E1039&gt;0,VLOOKUP(E1039,Направление!A$1:B$4812,2))))))</f>
        <v>Предоставление субсидий бюджетным, автономным учреждениям и иным некоммерческим организациям</v>
      </c>
      <c r="B1039" s="114"/>
      <c r="C1039" s="109"/>
      <c r="D1039" s="110"/>
      <c r="E1039" s="109"/>
      <c r="F1039" s="111">
        <v>600</v>
      </c>
      <c r="G1039" s="268">
        <v>200000</v>
      </c>
      <c r="H1039" s="330">
        <v>57000</v>
      </c>
      <c r="I1039" s="117">
        <f t="shared" si="234"/>
        <v>257000</v>
      </c>
    </row>
    <row r="1040" spans="1:9" s="130" customFormat="1" ht="31.5" x14ac:dyDescent="0.25">
      <c r="A1040" s="779" t="str">
        <f>IF(B1040&gt;0,VLOOKUP(B1040,КВСР!A376:B1541,2),IF(C1040&gt;0,VLOOKUP(C1040,КФСР!A376:B1888,2),IF(D1040&gt;0,VLOOKUP(D1040,Программа!A$1:B$5124,2),IF(F1040&gt;0,VLOOKUP(F1040,КВР!A$1:B$5001,2),IF(E1040&gt;0,VLOOKUP(E1040,Направление!A$1:B$4812,2))))))</f>
        <v>Мероприятия по патриотическому воспитанию граждан</v>
      </c>
      <c r="B1040" s="114"/>
      <c r="C1040" s="109"/>
      <c r="D1040" s="110"/>
      <c r="E1040" s="109">
        <v>74880</v>
      </c>
      <c r="F1040" s="111"/>
      <c r="G1040" s="268">
        <v>30473</v>
      </c>
      <c r="H1040" s="330">
        <f t="shared" ref="H1040:I1040" si="238">H1041</f>
        <v>0</v>
      </c>
      <c r="I1040" s="268">
        <f t="shared" si="238"/>
        <v>30473</v>
      </c>
    </row>
    <row r="1041" spans="1:9" s="130" customFormat="1" ht="47.25" x14ac:dyDescent="0.25">
      <c r="A1041" s="779" t="str">
        <f>IF(B1041&gt;0,VLOOKUP(B1041,КВСР!A377:B1542,2),IF(C1041&gt;0,VLOOKUP(C1041,КФСР!A377:B1889,2),IF(D1041&gt;0,VLOOKUP(D1041,Программа!A$1:B$5124,2),IF(F1041&gt;0,VLOOKUP(F1041,КВР!A$1:B$5001,2),IF(E1041&gt;0,VLOOKUP(E1041,Направление!A$1:B$4812,2))))))</f>
        <v>Предоставление субсидий бюджетным, автономным учреждениям и иным некоммерческим организациям</v>
      </c>
      <c r="B1041" s="114"/>
      <c r="C1041" s="109"/>
      <c r="D1041" s="110"/>
      <c r="E1041" s="109"/>
      <c r="F1041" s="111">
        <v>600</v>
      </c>
      <c r="G1041" s="268">
        <v>30473</v>
      </c>
      <c r="H1041" s="330"/>
      <c r="I1041" s="117">
        <f>G1041+H1041</f>
        <v>30473</v>
      </c>
    </row>
    <row r="1042" spans="1:9" s="130" customFormat="1" ht="63" x14ac:dyDescent="0.25">
      <c r="A1042" s="779" t="str">
        <f>IF(B1042&gt;0,VLOOKUP(B1042,КВСР!A376:B1541,2),IF(C1042&gt;0,VLOOKUP(C1042,КФСР!A376:B1888,2),IF(D1042&gt;0,VLOOKUP(D1042,Программа!A$1:B$5124,2),IF(F1042&gt;0,VLOOKUP(F1042,КВР!A$1:B$5001,2),IF(E1042&gt;0,VLOOKUP(E1042,Направление!A$1:B$4812,2)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42" s="114"/>
      <c r="C1042" s="109"/>
      <c r="D1042" s="110" t="s">
        <v>403</v>
      </c>
      <c r="E1042" s="109"/>
      <c r="F1042" s="111"/>
      <c r="G1042" s="268">
        <v>130000</v>
      </c>
      <c r="H1042" s="330">
        <f t="shared" ref="H1042:I1044" si="239">H1043</f>
        <v>0</v>
      </c>
      <c r="I1042" s="330">
        <f t="shared" si="239"/>
        <v>130000</v>
      </c>
    </row>
    <row r="1043" spans="1:9" s="130" customFormat="1" ht="47.25" x14ac:dyDescent="0.25">
      <c r="A1043" s="779" t="str">
        <f>IF(B1043&gt;0,VLOOKUP(B1043,КВСР!A377:B1542,2),IF(C1043&gt;0,VLOOKUP(C1043,КФСР!A377:B1889,2),IF(D1043&gt;0,VLOOKUP(D1043,Программа!A$1:B$5124,2),IF(F1043&gt;0,VLOOKUP(F1043,КВР!A$1:B$5001,2),IF(E1043&gt;0,VLOOKUP(E1043,Направление!A$1:B$4812,2))))))</f>
        <v>Развитие системы профилактики немедицинского потребления наркотиков</v>
      </c>
      <c r="B1043" s="114"/>
      <c r="C1043" s="109"/>
      <c r="D1043" s="110" t="s">
        <v>405</v>
      </c>
      <c r="E1043" s="109"/>
      <c r="F1043" s="111"/>
      <c r="G1043" s="268">
        <v>130000</v>
      </c>
      <c r="H1043" s="330">
        <f t="shared" si="239"/>
        <v>0</v>
      </c>
      <c r="I1043" s="330">
        <f t="shared" si="239"/>
        <v>130000</v>
      </c>
    </row>
    <row r="1044" spans="1:9" s="130" customFormat="1" ht="63" x14ac:dyDescent="0.25">
      <c r="A1044" s="779" t="str">
        <f>IF(B1044&gt;0,VLOOKUP(B1044,КВСР!A378:B1543,2),IF(C1044&gt;0,VLOOKUP(C1044,КФСР!A378:B1890,2),IF(D1044&gt;0,VLOOKUP(D1044,Программа!A$1:B$5124,2),IF(F1044&gt;0,VLOOKUP(F1044,КВР!A$1:B$5001,2),IF(E1044&gt;0,VLOOKUP(E1044,Направление!A$1:B$4812,2))))))</f>
        <v>Расходы на реализацию  МЦП "Комплексные меры противодействия злоупотреблению наркотиками и их незаконному обороту"</v>
      </c>
      <c r="B1044" s="132"/>
      <c r="C1044" s="127"/>
      <c r="D1044" s="126"/>
      <c r="E1044" s="127">
        <v>13820</v>
      </c>
      <c r="F1044" s="129"/>
      <c r="G1044" s="286">
        <v>130000</v>
      </c>
      <c r="H1044" s="275">
        <f t="shared" si="239"/>
        <v>0</v>
      </c>
      <c r="I1044" s="275">
        <f t="shared" si="239"/>
        <v>130000</v>
      </c>
    </row>
    <row r="1045" spans="1:9" s="130" customFormat="1" ht="47.25" x14ac:dyDescent="0.25">
      <c r="A1045" s="779" t="str">
        <f>IF(B1045&gt;0,VLOOKUP(B1045,КВСР!A379:B1544,2),IF(C1045&gt;0,VLOOKUP(C1045,КФСР!A379:B1891,2),IF(D1045&gt;0,VLOOKUP(D1045,Программа!A$1:B$5124,2),IF(F1045&gt;0,VLOOKUP(F1045,КВР!A$1:B$5001,2),IF(E1045&gt;0,VLOOKUP(E1045,Направление!A$1:B$4812,2))))))</f>
        <v>Предоставление субсидий бюджетным, автономным учреждениям и иным некоммерческим организациям</v>
      </c>
      <c r="B1045" s="114"/>
      <c r="C1045" s="109"/>
      <c r="D1045" s="110"/>
      <c r="E1045" s="109"/>
      <c r="F1045" s="111">
        <v>600</v>
      </c>
      <c r="G1045" s="268">
        <v>130000</v>
      </c>
      <c r="H1045" s="330"/>
      <c r="I1045" s="117">
        <f t="shared" si="234"/>
        <v>130000</v>
      </c>
    </row>
    <row r="1046" spans="1:9" s="130" customFormat="1" ht="47.25" hidden="1" x14ac:dyDescent="0.25">
      <c r="A1046" s="779" t="str">
        <f>IF(B1046&gt;0,VLOOKUP(B1046,КВСР!A376:B1541,2),IF(C1046&gt;0,VLOOKUP(C1046,КФСР!A376:B1888,2),IF(D1046&gt;0,VLOOKUP(D1046,Программа!A$1:B$5124,2),IF(F1046&gt;0,VLOOKUP(F1046,КВР!A$1:B$5001,2),IF(E1046&gt;0,VLOOKUP(E1046,Направление!A$1:B$4812,2))))))</f>
        <v>Муниципальная программа "Социальная поддержка населения Тутаевского муниципального района"</v>
      </c>
      <c r="B1046" s="114"/>
      <c r="C1046" s="109"/>
      <c r="D1046" s="110" t="s">
        <v>376</v>
      </c>
      <c r="E1046" s="109"/>
      <c r="F1046" s="111"/>
      <c r="G1046" s="268">
        <v>0</v>
      </c>
      <c r="H1046" s="330">
        <f t="shared" ref="H1046:H1049" si="240">H1047</f>
        <v>0</v>
      </c>
      <c r="I1046" s="117">
        <f t="shared" si="234"/>
        <v>0</v>
      </c>
    </row>
    <row r="1047" spans="1:9" s="130" customFormat="1" ht="47.25" hidden="1" x14ac:dyDescent="0.25">
      <c r="A1047" s="779" t="str">
        <f>IF(B1047&gt;0,VLOOKUP(B1047,КВСР!A377:B1542,2),IF(C1047&gt;0,VLOOKUP(C1047,КФСР!A377:B1889,2),IF(D1047&gt;0,VLOOKUP(D1047,Программа!A$1:B$5124,2),IF(F1047&gt;0,VLOOKUP(F1047,КВР!A$1:B$5001,2),IF(E1047&gt;0,VLOOKUP(E1047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1047" s="114"/>
      <c r="C1047" s="109"/>
      <c r="D1047" s="110" t="s">
        <v>378</v>
      </c>
      <c r="E1047" s="109"/>
      <c r="F1047" s="111"/>
      <c r="G1047" s="268">
        <v>0</v>
      </c>
      <c r="H1047" s="330">
        <f>H1049</f>
        <v>0</v>
      </c>
      <c r="I1047" s="117">
        <f t="shared" si="234"/>
        <v>0</v>
      </c>
    </row>
    <row r="1048" spans="1:9" s="130" customFormat="1" ht="47.25" hidden="1" x14ac:dyDescent="0.25">
      <c r="A1048" s="779" t="str">
        <f>IF(B1048&gt;0,VLOOKUP(B1048,КВСР!A378:B1543,2),IF(C1048&gt;0,VLOOKUP(C1048,КФСР!A378:B1890,2),IF(D1048&gt;0,VLOOKUP(D1048,Программа!A$1:B$5124,2),IF(F1048&gt;0,VLOOKUP(F1048,КВР!A$1:B$5001,2),IF(E1048&gt;0,VLOOKUP(E1048,Направление!A$1:B$4812,2))))))</f>
        <v>Обучение по охране труда работников организаций Тутаевского муниципального района</v>
      </c>
      <c r="B1048" s="114"/>
      <c r="C1048" s="109"/>
      <c r="D1048" s="110" t="s">
        <v>1036</v>
      </c>
      <c r="E1048" s="109"/>
      <c r="F1048" s="111"/>
      <c r="G1048" s="268">
        <v>0</v>
      </c>
      <c r="H1048" s="330">
        <f t="shared" ref="H1048:I1048" si="241">H1049</f>
        <v>0</v>
      </c>
      <c r="I1048" s="268">
        <f t="shared" si="241"/>
        <v>0</v>
      </c>
    </row>
    <row r="1049" spans="1:9" s="130" customFormat="1" ht="31.5" hidden="1" x14ac:dyDescent="0.25">
      <c r="A1049" s="779" t="str">
        <f>IF(B1049&gt;0,VLOOKUP(B1049,КВСР!A378:B1543,2),IF(C1049&gt;0,VLOOKUP(C1049,КФСР!A378:B1890,2),IF(D1049&gt;0,VLOOKUP(D1049,Программа!A$1:B$5124,2),IF(F1049&gt;0,VLOOKUP(F1049,КВР!A$1:B$5001,2),IF(E1049&gt;0,VLOOKUP(E1049,Направление!A$1:B$4812,2))))))</f>
        <v>Расходы на реализацию мероприятий по улучшению условий и охраны труда</v>
      </c>
      <c r="B1049" s="114"/>
      <c r="C1049" s="109"/>
      <c r="D1049" s="110"/>
      <c r="E1049" s="109">
        <v>16150</v>
      </c>
      <c r="F1049" s="111"/>
      <c r="G1049" s="268">
        <v>0</v>
      </c>
      <c r="H1049" s="330">
        <f t="shared" si="240"/>
        <v>0</v>
      </c>
      <c r="I1049" s="117">
        <f t="shared" si="234"/>
        <v>0</v>
      </c>
    </row>
    <row r="1050" spans="1:9" s="130" customFormat="1" ht="47.25" hidden="1" x14ac:dyDescent="0.25">
      <c r="A1050" s="779" t="str">
        <f>IF(B1050&gt;0,VLOOKUP(B1050,КВСР!A379:B1544,2),IF(C1050&gt;0,VLOOKUP(C1050,КФСР!A379:B1891,2),IF(D1050&gt;0,VLOOKUP(D1050,Программа!A$1:B$5124,2),IF(F1050&gt;0,VLOOKUP(F1050,КВР!A$1:B$5001,2),IF(E1050&gt;0,VLOOKUP(E1050,Направление!A$1:B$4812,2))))))</f>
        <v>Предоставление субсидий бюджетным, автономным учреждениям и иным некоммерческим организациям</v>
      </c>
      <c r="B1050" s="114"/>
      <c r="C1050" s="109"/>
      <c r="D1050" s="111"/>
      <c r="E1050" s="109"/>
      <c r="F1050" s="111">
        <v>600</v>
      </c>
      <c r="G1050" s="268">
        <v>0</v>
      </c>
      <c r="H1050" s="330"/>
      <c r="I1050" s="117">
        <f t="shared" si="234"/>
        <v>0</v>
      </c>
    </row>
    <row r="1051" spans="1:9" s="130" customFormat="1" x14ac:dyDescent="0.25">
      <c r="A1051" s="779" t="str">
        <f>IF(B1051&gt;0,VLOOKUP(B1051,КВСР!A386:B1551,2),IF(C1051&gt;0,VLOOKUP(C1051,КФСР!A386:B1898,2),IF(D1051&gt;0,VLOOKUP(D1051,Программа!A$1:B$5124,2),IF(F1051&gt;0,VLOOKUP(F1051,КВР!A$1:B$5001,2),IF(E1051&gt;0,VLOOKUP(E1051,Направление!A$1:B$4812,2))))))</f>
        <v>Культура</v>
      </c>
      <c r="B1051" s="114"/>
      <c r="C1051" s="109">
        <v>801</v>
      </c>
      <c r="D1051" s="123"/>
      <c r="E1051" s="121"/>
      <c r="F1051" s="122"/>
      <c r="G1051" s="268">
        <v>130782845</v>
      </c>
      <c r="H1051" s="330">
        <f>H1052+H1120+H1109</f>
        <v>2365197.0000000005</v>
      </c>
      <c r="I1051" s="330">
        <f>I1052+I1120+I1109</f>
        <v>133148042.00000001</v>
      </c>
    </row>
    <row r="1052" spans="1:9" s="130" customFormat="1" ht="63" x14ac:dyDescent="0.25">
      <c r="A1052" s="779" t="str">
        <f>IF(B1052&gt;0,VLOOKUP(B1052,КВСР!A387:B1552,2),IF(C1052&gt;0,VLOOKUP(C1052,КФСР!A387:B1899,2),IF(D1052&gt;0,VLOOKUP(D1052,Программа!A$1:B$5124,2),IF(F1052&gt;0,VLOOKUP(F1052,КВР!A$1:B$5001,2),IF(E1052&gt;0,VLOOKUP(E1052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052" s="114"/>
      <c r="C1052" s="109"/>
      <c r="D1052" s="123" t="s">
        <v>396</v>
      </c>
      <c r="E1052" s="121"/>
      <c r="F1052" s="122"/>
      <c r="G1052" s="268">
        <v>130389845</v>
      </c>
      <c r="H1052" s="330">
        <f>H1057+H1053</f>
        <v>2365197.0000000005</v>
      </c>
      <c r="I1052" s="330">
        <f>I1057+I1053</f>
        <v>132755042.00000001</v>
      </c>
    </row>
    <row r="1053" spans="1:9" s="130" customFormat="1" ht="94.5" x14ac:dyDescent="0.25">
      <c r="A1053" s="779" t="str">
        <f>IF(B1053&gt;0,VLOOKUP(B1053,КВСР!A388:B1553,2),IF(C1053&gt;0,VLOOKUP(C1053,КФСР!A388:B1900,2),IF(D1053&gt;0,VLOOKUP(D1053,Программа!A$1:B$5124,2),IF(F1053&gt;0,VLOOKUP(F1053,КВР!A$1:B$5001,2),IF(E1053&gt;0,VLOOKUP(E1053,Направление!A$1:B$4812,2)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53" s="114"/>
      <c r="C1053" s="109"/>
      <c r="D1053" s="123" t="s">
        <v>398</v>
      </c>
      <c r="E1053" s="121"/>
      <c r="F1053" s="122"/>
      <c r="G1053" s="268">
        <v>300000</v>
      </c>
      <c r="H1053" s="268">
        <f t="shared" ref="H1053:I1055" si="242">H1054</f>
        <v>-170000</v>
      </c>
      <c r="I1053" s="268">
        <f t="shared" si="242"/>
        <v>130000</v>
      </c>
    </row>
    <row r="1054" spans="1:9" s="130" customFormat="1" ht="78.75" x14ac:dyDescent="0.25">
      <c r="A1054" s="779" t="str">
        <f>IF(B1054&gt;0,VLOOKUP(B1054,КВСР!A388:B1553,2),IF(C1054&gt;0,VLOOKUP(C1054,КФСР!A388:B1900,2),IF(D1054&gt;0,VLOOKUP(D1054,Программа!A$1:B$5124,2),IF(F1054&gt;0,VLOOKUP(F1054,КВР!A$1:B$5001,2),IF(E1054&gt;0,VLOOKUP(E1054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54" s="114"/>
      <c r="C1054" s="109"/>
      <c r="D1054" s="123" t="s">
        <v>400</v>
      </c>
      <c r="E1054" s="121"/>
      <c r="F1054" s="122"/>
      <c r="G1054" s="268">
        <v>300000</v>
      </c>
      <c r="H1054" s="268">
        <f t="shared" si="242"/>
        <v>-170000</v>
      </c>
      <c r="I1054" s="268">
        <f t="shared" si="242"/>
        <v>130000</v>
      </c>
    </row>
    <row r="1055" spans="1:9" s="130" customFormat="1" ht="47.25" x14ac:dyDescent="0.25">
      <c r="A1055" s="779" t="str">
        <f>IF(B1055&gt;0,VLOOKUP(B1055,КВСР!A389:B1554,2),IF(C1055&gt;0,VLOOKUP(C1055,КФСР!A389:B1901,2),IF(D1055&gt;0,VLOOKUP(D1055,Программа!A$1:B$5124,2),IF(F1055&gt;0,VLOOKUP(F1055,КВР!A$1:B$5001,2),IF(E1055&gt;0,VLOOKUP(E1055,Направление!A$1:B$4812,2))))))</f>
        <v xml:space="preserve">Обеспечение мероприятий по содержанию  военно-мемориального комплекса </v>
      </c>
      <c r="B1055" s="114"/>
      <c r="C1055" s="109"/>
      <c r="D1055" s="123"/>
      <c r="E1055" s="121">
        <v>29686</v>
      </c>
      <c r="F1055" s="122"/>
      <c r="G1055" s="268">
        <v>300000</v>
      </c>
      <c r="H1055" s="268">
        <f t="shared" si="242"/>
        <v>-170000</v>
      </c>
      <c r="I1055" s="268">
        <f t="shared" si="242"/>
        <v>130000</v>
      </c>
    </row>
    <row r="1056" spans="1:9" s="130" customFormat="1" ht="47.25" x14ac:dyDescent="0.25">
      <c r="A1056" s="779" t="str">
        <f>IF(B1056&gt;0,VLOOKUP(B1056,КВСР!A390:B1555,2),IF(C1056&gt;0,VLOOKUP(C1056,КФСР!A390:B1902,2),IF(D1056&gt;0,VLOOKUP(D1056,Программа!A$1:B$5124,2),IF(F1056&gt;0,VLOOKUP(F1056,КВР!A$1:B$5001,2),IF(E1056&gt;0,VLOOKUP(E1056,Направление!A$1:B$4812,2))))))</f>
        <v>Предоставление субсидий бюджетным, автономным учреждениям и иным некоммерческим организациям</v>
      </c>
      <c r="B1056" s="114"/>
      <c r="C1056" s="109"/>
      <c r="D1056" s="123"/>
      <c r="E1056" s="121"/>
      <c r="F1056" s="122">
        <v>600</v>
      </c>
      <c r="G1056" s="268">
        <v>300000</v>
      </c>
      <c r="H1056" s="268">
        <v>-170000</v>
      </c>
      <c r="I1056" s="268">
        <f t="shared" si="234"/>
        <v>130000</v>
      </c>
    </row>
    <row r="1057" spans="1:9" s="130" customFormat="1" ht="47.25" x14ac:dyDescent="0.25">
      <c r="A1057" s="779" t="str">
        <f>IF(B1057&gt;0,VLOOKUP(B1057,КВСР!A388:B1553,2),IF(C1057&gt;0,VLOOKUP(C1057,КФСР!A388:B1900,2),IF(D1057&gt;0,VLOOKUP(D1057,Программа!A$1:B$5124,2),IF(F1057&gt;0,VLOOKUP(F1057,КВР!A$1:B$5001,2),IF(E1057&gt;0,VLOOKUP(E1057,Направление!A$1:B$4812,2))))))</f>
        <v>Ведомственная целевая программа «Сохранение и развитие культуры Тутаевского муниципального района»</v>
      </c>
      <c r="B1057" s="114"/>
      <c r="C1057" s="109"/>
      <c r="D1057" s="123" t="s">
        <v>494</v>
      </c>
      <c r="E1057" s="121"/>
      <c r="F1057" s="122"/>
      <c r="G1057" s="268">
        <v>130089845</v>
      </c>
      <c r="H1057" s="330">
        <f>H1058+H1085+H1102</f>
        <v>2535197.0000000005</v>
      </c>
      <c r="I1057" s="330">
        <f>I1058+I1085+I1102</f>
        <v>132625042.00000001</v>
      </c>
    </row>
    <row r="1058" spans="1:9" s="130" customFormat="1" ht="31.5" x14ac:dyDescent="0.25">
      <c r="A1058" s="779" t="str">
        <f>IF(B1058&gt;0,VLOOKUP(B1058,КВСР!A389:B1554,2),IF(C1058&gt;0,VLOOKUP(C1058,КФСР!A389:B1901,2),IF(D1058&gt;0,VLOOKUP(D1058,Программа!A$1:B$5124,2),IF(F1058&gt;0,VLOOKUP(F1058,КВР!A$1:B$5001,2),IF(E1058&gt;0,VLOOKUP(E1058,Направление!A$1:B$4812,2))))))</f>
        <v>Содействие доступу граждан к культурным ценностям</v>
      </c>
      <c r="B1058" s="114"/>
      <c r="C1058" s="109"/>
      <c r="D1058" s="123" t="s">
        <v>512</v>
      </c>
      <c r="E1058" s="121"/>
      <c r="F1058" s="122"/>
      <c r="G1058" s="268">
        <v>100651250</v>
      </c>
      <c r="H1058" s="330">
        <f>H1061+H1069+H1059+H1063+H1081+H1067+H1073+H1079+H1071+H1083+H1065+H1075+H1077</f>
        <v>1974992.0000000005</v>
      </c>
      <c r="I1058" s="330">
        <f>I1061+I1069+I1059+I1063+I1081+I1067+I1073+I1079+I1071+I1083+I1065+I1075+I1077</f>
        <v>102626242.00000001</v>
      </c>
    </row>
    <row r="1059" spans="1:9" s="130" customFormat="1" ht="31.5" x14ac:dyDescent="0.25">
      <c r="A1059" s="779" t="str">
        <f>IF(B1059&gt;0,VLOOKUP(B1059,КВСР!A389:B1554,2),IF(C1059&gt;0,VLOOKUP(C1059,КФСР!A389:B1901,2),IF(D1059&gt;0,VLOOKUP(D1059,Программа!A$1:B$5124,2),IF(F1059&gt;0,VLOOKUP(F1059,КВР!A$1:B$5001,2),IF(E1059&gt;0,VLOOKUP(E1059,Направление!A$1:B$4812,2))))))</f>
        <v xml:space="preserve">Выплата ежемесячных разовых стипендий главы </v>
      </c>
      <c r="B1059" s="114"/>
      <c r="C1059" s="109"/>
      <c r="D1059" s="123"/>
      <c r="E1059" s="121">
        <v>12700</v>
      </c>
      <c r="F1059" s="122"/>
      <c r="G1059" s="268">
        <v>60000</v>
      </c>
      <c r="H1059" s="330">
        <f>H1060</f>
        <v>0</v>
      </c>
      <c r="I1059" s="330">
        <f>I1060</f>
        <v>60000</v>
      </c>
    </row>
    <row r="1060" spans="1:9" s="130" customFormat="1" ht="47.25" x14ac:dyDescent="0.25">
      <c r="A1060" s="779" t="str">
        <f>IF(B1060&gt;0,VLOOKUP(B1060,КВСР!A390:B1555,2),IF(C1060&gt;0,VLOOKUP(C1060,КФСР!A390:B1902,2),IF(D1060&gt;0,VLOOKUP(D1060,Программа!A$1:B$5124,2),IF(F1060&gt;0,VLOOKUP(F1060,КВР!A$1:B$5001,2),IF(E1060&gt;0,VLOOKUP(E1060,Направление!A$1:B$4812,2))))))</f>
        <v>Предоставление субсидий бюджетным, автономным учреждениям и иным некоммерческим организациям</v>
      </c>
      <c r="B1060" s="114"/>
      <c r="C1060" s="109"/>
      <c r="D1060" s="122"/>
      <c r="E1060" s="121"/>
      <c r="F1060" s="122">
        <v>600</v>
      </c>
      <c r="G1060" s="268">
        <v>60000</v>
      </c>
      <c r="H1060" s="330"/>
      <c r="I1060" s="117">
        <f t="shared" si="234"/>
        <v>60000</v>
      </c>
    </row>
    <row r="1061" spans="1:9" s="130" customFormat="1" ht="31.5" x14ac:dyDescent="0.25">
      <c r="A1061" s="779" t="str">
        <f>IF(B1061&gt;0,VLOOKUP(B1061,КВСР!A389:B1554,2),IF(C1061&gt;0,VLOOKUP(C1061,КФСР!A389:B1901,2),IF(D1061&gt;0,VLOOKUP(D1061,Программа!A$1:B$5124,2),IF(F1061&gt;0,VLOOKUP(F1061,КВР!A$1:B$5001,2),IF(E1061&gt;0,VLOOKUP(E1061,Направление!A$1:B$4812,2))))))</f>
        <v>Обеспечение деятельности учреждений по организации досуга в сфере культуры</v>
      </c>
      <c r="B1061" s="114"/>
      <c r="C1061" s="109"/>
      <c r="D1061" s="123"/>
      <c r="E1061" s="121">
        <v>15010</v>
      </c>
      <c r="F1061" s="122"/>
      <c r="G1061" s="268">
        <v>29766299</v>
      </c>
      <c r="H1061" s="330">
        <f>H1062</f>
        <v>2033493.45</v>
      </c>
      <c r="I1061" s="330">
        <f>I1062</f>
        <v>31799792.449999999</v>
      </c>
    </row>
    <row r="1062" spans="1:9" s="130" customFormat="1" ht="47.25" x14ac:dyDescent="0.25">
      <c r="A1062" s="779" t="str">
        <f>IF(B1062&gt;0,VLOOKUP(B1062,КВСР!A390:B1555,2),IF(C1062&gt;0,VLOOKUP(C1062,КФСР!A390:B1902,2),IF(D1062&gt;0,VLOOKUP(D1062,Программа!A$1:B$5124,2),IF(F1062&gt;0,VLOOKUP(F1062,КВР!A$1:B$5001,2),IF(E1062&gt;0,VLOOKUP(E1062,Направление!A$1:B$4812,2))))))</f>
        <v>Предоставление субсидий бюджетным, автономным учреждениям и иным некоммерческим организациям</v>
      </c>
      <c r="B1062" s="114"/>
      <c r="C1062" s="109"/>
      <c r="D1062" s="122"/>
      <c r="E1062" s="121"/>
      <c r="F1062" s="122">
        <v>600</v>
      </c>
      <c r="G1062" s="268">
        <v>29766299</v>
      </c>
      <c r="H1062" s="330">
        <f>88000-150000+2095493.45</f>
        <v>2033493.45</v>
      </c>
      <c r="I1062" s="117">
        <f t="shared" si="234"/>
        <v>31799792.449999999</v>
      </c>
    </row>
    <row r="1063" spans="1:9" s="130" customFormat="1" x14ac:dyDescent="0.25">
      <c r="A1063" s="779" t="str">
        <f>IF(B1063&gt;0,VLOOKUP(B1063,КВСР!A393:B1558,2),IF(C1063&gt;0,VLOOKUP(C1063,КФСР!A393:B1905,2),IF(D1063&gt;0,VLOOKUP(D1063,Программа!A$1:B$5124,2),IF(F1063&gt;0,VLOOKUP(F1063,КВР!A$1:B$5001,2),IF(E1063&gt;0,VLOOKUP(E1063,Направление!A$1:B$4812,2))))))</f>
        <v>Мероприятия в сфере культуры</v>
      </c>
      <c r="B1063" s="114"/>
      <c r="C1063" s="109"/>
      <c r="D1063" s="123"/>
      <c r="E1063" s="121">
        <v>15220</v>
      </c>
      <c r="F1063" s="122"/>
      <c r="G1063" s="268">
        <v>3625500</v>
      </c>
      <c r="H1063" s="330">
        <f>H1064</f>
        <v>-379260</v>
      </c>
      <c r="I1063" s="330">
        <f>I1064</f>
        <v>3246240</v>
      </c>
    </row>
    <row r="1064" spans="1:9" s="130" customFormat="1" ht="47.25" x14ac:dyDescent="0.25">
      <c r="A1064" s="779" t="str">
        <f>IF(B1064&gt;0,VLOOKUP(B1064,КВСР!A394:B1559,2),IF(C1064&gt;0,VLOOKUP(C1064,КФСР!A394:B1906,2),IF(D1064&gt;0,VLOOKUP(D1064,Программа!A$1:B$5124,2),IF(F1064&gt;0,VLOOKUP(F1064,КВР!A$1:B$5001,2),IF(E1064&gt;0,VLOOKUP(E1064,Направление!A$1:B$4812,2))))))</f>
        <v>Предоставление субсидий бюджетным, автономным учреждениям и иным некоммерческим организациям</v>
      </c>
      <c r="B1064" s="114"/>
      <c r="C1064" s="109"/>
      <c r="D1064" s="123"/>
      <c r="E1064" s="121"/>
      <c r="F1064" s="122">
        <v>600</v>
      </c>
      <c r="G1064" s="268">
        <v>3625500</v>
      </c>
      <c r="H1064" s="330">
        <f>77040-456300</f>
        <v>-379260</v>
      </c>
      <c r="I1064" s="117">
        <f t="shared" si="234"/>
        <v>3246240</v>
      </c>
    </row>
    <row r="1065" spans="1:9" s="130" customFormat="1" ht="47.25" x14ac:dyDescent="0.25">
      <c r="A1065" s="779" t="str">
        <f>IF(B1065&gt;0,VLOOKUP(B1065,КВСР!A395:B1560,2),IF(C1065&gt;0,VLOOKUP(C1065,КФСР!A395:B1907,2),IF(D1065&gt;0,VLOOKUP(D1065,Программа!A$1:B$5124,2),IF(F1065&gt;0,VLOOKUP(F1065,КВР!A$1:B$5001,2),IF(E1065&gt;0,VLOOKUP(E1065,Направление!A$1:B$4812,2))))))</f>
        <v>Расходы на реализацию мероприятий инициативного бюджетирования на территории Ярославской области</v>
      </c>
      <c r="B1065" s="114"/>
      <c r="C1065" s="109"/>
      <c r="D1065" s="123"/>
      <c r="E1065" s="121">
        <v>15350</v>
      </c>
      <c r="F1065" s="122"/>
      <c r="G1065" s="268">
        <v>55001</v>
      </c>
      <c r="H1065" s="268">
        <f t="shared" ref="H1065:I1065" si="243">H1066</f>
        <v>10603.95</v>
      </c>
      <c r="I1065" s="268">
        <f t="shared" si="243"/>
        <v>65604.95</v>
      </c>
    </row>
    <row r="1066" spans="1:9" s="130" customFormat="1" ht="47.25" x14ac:dyDescent="0.25">
      <c r="A1066" s="779" t="str">
        <f>IF(B1066&gt;0,VLOOKUP(B1066,КВСР!A396:B1561,2),IF(C1066&gt;0,VLOOKUP(C1066,КФСР!A396:B1908,2),IF(D1066&gt;0,VLOOKUP(D1066,Программа!A$1:B$5124,2),IF(F1066&gt;0,VLOOKUP(F1066,КВР!A$1:B$5001,2),IF(E1066&gt;0,VLOOKUP(E1066,Направление!A$1:B$4812,2))))))</f>
        <v>Предоставление субсидий бюджетным, автономным учреждениям и иным некоммерческим организациям</v>
      </c>
      <c r="B1066" s="114"/>
      <c r="C1066" s="109"/>
      <c r="D1066" s="123"/>
      <c r="E1066" s="121"/>
      <c r="F1066" s="122">
        <v>600</v>
      </c>
      <c r="G1066" s="268">
        <v>55001</v>
      </c>
      <c r="H1066" s="330">
        <v>10603.95</v>
      </c>
      <c r="I1066" s="117">
        <f t="shared" si="234"/>
        <v>65604.95</v>
      </c>
    </row>
    <row r="1067" spans="1:9" s="130" customFormat="1" ht="47.25" x14ac:dyDescent="0.25">
      <c r="A1067" s="779" t="str">
        <f>IF(B1067&gt;0,VLOOKUP(B1067,КВСР!A395:B1560,2),IF(C1067&gt;0,VLOOKUP(C1067,КФСР!A395:B1907,2),IF(D1067&gt;0,VLOOKUP(D1067,Программа!A$1:B$5124,2),IF(F1067&gt;0,VLOOKUP(F1067,КВР!A$1:B$5001,2),IF(E1067&gt;0,VLOOKUP(E1067,Направление!A$1:B$4812,2))))))</f>
        <v>Расходы на повышение оплаты труда работников муниципальных учреждений в сфере культуры</v>
      </c>
      <c r="B1067" s="114"/>
      <c r="C1067" s="109"/>
      <c r="D1067" s="123"/>
      <c r="E1067" s="121">
        <v>15900</v>
      </c>
      <c r="F1067" s="122"/>
      <c r="G1067" s="268">
        <v>41244877</v>
      </c>
      <c r="H1067" s="330">
        <f t="shared" ref="H1067:I1067" si="244">H1068</f>
        <v>658934.60000000009</v>
      </c>
      <c r="I1067" s="268">
        <f t="shared" si="244"/>
        <v>41903811.600000001</v>
      </c>
    </row>
    <row r="1068" spans="1:9" s="130" customFormat="1" ht="47.25" x14ac:dyDescent="0.25">
      <c r="A1068" s="779" t="str">
        <f>IF(B1068&gt;0,VLOOKUP(B1068,КВСР!A396:B1561,2),IF(C1068&gt;0,VLOOKUP(C1068,КФСР!A396:B1908,2),IF(D1068&gt;0,VLOOKUP(D1068,Программа!A$1:B$5124,2),IF(F1068&gt;0,VLOOKUP(F1068,КВР!A$1:B$5001,2),IF(E1068&gt;0,VLOOKUP(E1068,Направление!A$1:B$4812,2))))))</f>
        <v>Предоставление субсидий бюджетным, автономным учреждениям и иным некоммерческим организациям</v>
      </c>
      <c r="B1068" s="114"/>
      <c r="C1068" s="109"/>
      <c r="D1068" s="123"/>
      <c r="E1068" s="121"/>
      <c r="F1068" s="122">
        <v>600</v>
      </c>
      <c r="G1068" s="268">
        <v>41244877</v>
      </c>
      <c r="H1068" s="268">
        <f>1325032+600000+60000-1326097.4</f>
        <v>658934.60000000009</v>
      </c>
      <c r="I1068" s="117">
        <f t="shared" si="234"/>
        <v>41903811.600000001</v>
      </c>
    </row>
    <row r="1069" spans="1:9" s="130" customFormat="1" x14ac:dyDescent="0.25">
      <c r="A1069" s="779" t="str">
        <f>IF(B1069&gt;0,VLOOKUP(B1069,КВСР!A391:B1556,2),IF(C1069&gt;0,VLOOKUP(C1069,КФСР!A391:B1903,2),IF(D1069&gt;0,VLOOKUP(D1069,Программа!A$1:B$5124,2),IF(F1069&gt;0,VLOOKUP(F1069,КВР!A$1:B$5001,2),IF(E1069&gt;0,VLOOKUP(E1069,Направление!A$1:B$4812,2))))))</f>
        <v>Мероприятия в сфере культуры</v>
      </c>
      <c r="B1069" s="114"/>
      <c r="C1069" s="109"/>
      <c r="D1069" s="123"/>
      <c r="E1069" s="121">
        <v>29216</v>
      </c>
      <c r="F1069" s="122"/>
      <c r="G1069" s="268">
        <v>1644050</v>
      </c>
      <c r="H1069" s="330">
        <f>H1070</f>
        <v>170000</v>
      </c>
      <c r="I1069" s="330">
        <f>I1070</f>
        <v>1814050</v>
      </c>
    </row>
    <row r="1070" spans="1:9" s="130" customFormat="1" ht="47.25" x14ac:dyDescent="0.25">
      <c r="A1070" s="779" t="str">
        <f>IF(B1070&gt;0,VLOOKUP(B1070,КВСР!A392:B1557,2),IF(C1070&gt;0,VLOOKUP(C1070,КФСР!A392:B1904,2),IF(D1070&gt;0,VLOOKUP(D1070,Программа!A$1:B$5124,2),IF(F1070&gt;0,VLOOKUP(F1070,КВР!A$1:B$5001,2),IF(E1070&gt;0,VLOOKUP(E1070,Направление!A$1:B$4812,2))))))</f>
        <v>Предоставление субсидий бюджетным, автономным учреждениям и иным некоммерческим организациям</v>
      </c>
      <c r="B1070" s="114"/>
      <c r="C1070" s="109"/>
      <c r="D1070" s="110"/>
      <c r="E1070" s="109"/>
      <c r="F1070" s="111">
        <v>600</v>
      </c>
      <c r="G1070" s="268">
        <v>1644050</v>
      </c>
      <c r="H1070" s="330">
        <v>170000</v>
      </c>
      <c r="I1070" s="117">
        <f t="shared" si="234"/>
        <v>1814050</v>
      </c>
    </row>
    <row r="1071" spans="1:9" s="130" customFormat="1" ht="31.5" hidden="1" x14ac:dyDescent="0.25">
      <c r="A1071" s="779" t="str">
        <f>IF(B1071&gt;0,VLOOKUP(B1071,КВСР!A393:B1558,2),IF(C1071&gt;0,VLOOKUP(C1071,КФСР!A393:B1905,2),IF(D1071&gt;0,VLOOKUP(D1071,Программа!A$1:B$5124,2),IF(F1071&gt;0,VLOOKUP(F1071,КВР!A$1:B$5001,2),IF(E1071&gt;0,VLOOKUP(E1071,Направление!A$1:B$4812,2))))))</f>
        <v>Обеспечение мероприятий  по работе с детьми и молодежью</v>
      </c>
      <c r="B1071" s="114"/>
      <c r="C1071" s="109"/>
      <c r="D1071" s="110"/>
      <c r="E1071" s="109">
        <v>29346</v>
      </c>
      <c r="F1071" s="111"/>
      <c r="G1071" s="268">
        <v>0</v>
      </c>
      <c r="H1071" s="330">
        <f t="shared" ref="H1071:I1071" si="245">H1072</f>
        <v>0</v>
      </c>
      <c r="I1071" s="268">
        <f t="shared" si="245"/>
        <v>0</v>
      </c>
    </row>
    <row r="1072" spans="1:9" s="130" customFormat="1" ht="47.25" hidden="1" x14ac:dyDescent="0.25">
      <c r="A1072" s="779" t="str">
        <f>IF(B1072&gt;0,VLOOKUP(B1072,КВСР!A394:B1559,2),IF(C1072&gt;0,VLOOKUP(C1072,КФСР!A394:B1906,2),IF(D1072&gt;0,VLOOKUP(D1072,Программа!A$1:B$5124,2),IF(F1072&gt;0,VLOOKUP(F1072,КВР!A$1:B$5001,2),IF(E1072&gt;0,VLOOKUP(E1072,Направление!A$1:B$4812,2))))))</f>
        <v>Предоставление субсидий бюджетным, автономным учреждениям и иным некоммерческим организациям</v>
      </c>
      <c r="B1072" s="114"/>
      <c r="C1072" s="109"/>
      <c r="D1072" s="110"/>
      <c r="E1072" s="109"/>
      <c r="F1072" s="111">
        <v>600</v>
      </c>
      <c r="G1072" s="268">
        <v>0</v>
      </c>
      <c r="H1072" s="330"/>
      <c r="I1072" s="117">
        <f>G1072+H1072</f>
        <v>0</v>
      </c>
    </row>
    <row r="1073" spans="1:9" s="130" customFormat="1" ht="63" x14ac:dyDescent="0.25">
      <c r="A1073" s="779" t="str">
        <f>IF(B1073&gt;0,VLOOKUP(B1073,КВСР!A393:B1558,2),IF(C1073&gt;0,VLOOKUP(C1073,КФСР!A393:B1905,2),IF(D1073&gt;0,VLOOKUP(D1073,Программа!A$1:B$5124,2),IF(F1073&gt;0,VLOOKUP(F1073,КВР!A$1:B$5001,2),IF(E1073&gt;0,VLOOKUP(E1073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73" s="114"/>
      <c r="C1073" s="109"/>
      <c r="D1073" s="110"/>
      <c r="E1073" s="109">
        <v>29556</v>
      </c>
      <c r="F1073" s="111"/>
      <c r="G1073" s="268">
        <v>215000</v>
      </c>
      <c r="H1073" s="330">
        <f t="shared" ref="H1073:I1073" si="246">H1074</f>
        <v>0</v>
      </c>
      <c r="I1073" s="268">
        <f t="shared" si="246"/>
        <v>215000</v>
      </c>
    </row>
    <row r="1074" spans="1:9" s="130" customFormat="1" ht="47.25" x14ac:dyDescent="0.25">
      <c r="A1074" s="779" t="str">
        <f>IF(B1074&gt;0,VLOOKUP(B1074,КВСР!A394:B1559,2),IF(C1074&gt;0,VLOOKUP(C1074,КФСР!A394:B1906,2),IF(D1074&gt;0,VLOOKUP(D1074,Программа!A$1:B$5124,2),IF(F1074&gt;0,VLOOKUP(F1074,КВР!A$1:B$5001,2),IF(E1074&gt;0,VLOOKUP(E1074,Направление!A$1:B$4812,2))))))</f>
        <v>Предоставление субсидий бюджетным, автономным учреждениям и иным некоммерческим организациям</v>
      </c>
      <c r="B1074" s="114"/>
      <c r="C1074" s="109"/>
      <c r="D1074" s="110"/>
      <c r="E1074" s="109"/>
      <c r="F1074" s="111">
        <v>600</v>
      </c>
      <c r="G1074" s="268">
        <v>215000</v>
      </c>
      <c r="H1074" s="330"/>
      <c r="I1074" s="117">
        <f>G1074+H1074</f>
        <v>215000</v>
      </c>
    </row>
    <row r="1075" spans="1:9" s="130" customFormat="1" ht="78.75" x14ac:dyDescent="0.25">
      <c r="A1075" s="779" t="str">
        <f>IF(B1075&gt;0,VLOOKUP(B1075,КВСР!A395:B1560,2),IF(C1075&gt;0,VLOOKUP(C1075,КФСР!A395:B1907,2),IF(D1075&gt;0,VLOOKUP(D1075,Программа!A$1:B$5124,2),IF(F1075&gt;0,VLOOKUP(F1075,КВР!A$1:B$5001,2),IF(E1075&gt;0,VLOOKUP(E1075,Направление!A$1:B$4812,2)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075" s="114"/>
      <c r="C1075" s="109"/>
      <c r="D1075" s="110"/>
      <c r="E1075" s="109">
        <v>70760</v>
      </c>
      <c r="F1075" s="111"/>
      <c r="G1075" s="268">
        <v>900000</v>
      </c>
      <c r="H1075" s="268">
        <f t="shared" ref="H1075:I1075" si="247">H1076</f>
        <v>0</v>
      </c>
      <c r="I1075" s="268">
        <f t="shared" si="247"/>
        <v>900000</v>
      </c>
    </row>
    <row r="1076" spans="1:9" s="130" customFormat="1" ht="47.25" x14ac:dyDescent="0.25">
      <c r="A1076" s="779" t="str">
        <f>IF(B1076&gt;0,VLOOKUP(B1076,КВСР!A396:B1561,2),IF(C1076&gt;0,VLOOKUP(C1076,КФСР!A396:B1908,2),IF(D1076&gt;0,VLOOKUP(D1076,Программа!A$1:B$5124,2),IF(F1076&gt;0,VLOOKUP(F1076,КВР!A$1:B$5001,2),IF(E1076&gt;0,VLOOKUP(E1076,Направление!A$1:B$4812,2))))))</f>
        <v>Предоставление субсидий бюджетным, автономным учреждениям и иным некоммерческим организациям</v>
      </c>
      <c r="B1076" s="114"/>
      <c r="C1076" s="109"/>
      <c r="D1076" s="110"/>
      <c r="E1076" s="109"/>
      <c r="F1076" s="111">
        <v>600</v>
      </c>
      <c r="G1076" s="268">
        <v>900000</v>
      </c>
      <c r="H1076" s="330"/>
      <c r="I1076" s="117">
        <f>G1076+H1076</f>
        <v>900000</v>
      </c>
    </row>
    <row r="1077" spans="1:9" s="130" customFormat="1" ht="63" x14ac:dyDescent="0.25">
      <c r="A1077" s="779" t="str">
        <f>IF(B1077&gt;0,VLOOKUP(B1077,КВСР!A397:B1562,2),IF(C1077&gt;0,VLOOKUP(C1077,КФСР!A397:B1909,2),IF(D1077&gt;0,VLOOKUP(D1077,Программа!A$1:B$5124,2),IF(F1077&gt;0,VLOOKUP(F1077,КВР!A$1:B$5001,2),IF(E1077&gt;0,VLOOKUP(E1077,Направление!A$1:B$4812,2))))))</f>
        <v>Расходы на улучшение значений показателей по отдельным направлениям развития муниципальных образований ЯО</v>
      </c>
      <c r="B1077" s="114"/>
      <c r="C1077" s="109"/>
      <c r="D1077" s="110"/>
      <c r="E1077" s="109">
        <v>70780</v>
      </c>
      <c r="F1077" s="111"/>
      <c r="G1077" s="268">
        <v>590000</v>
      </c>
      <c r="H1077" s="268">
        <f t="shared" ref="H1077:I1077" si="248">H1078</f>
        <v>-518780</v>
      </c>
      <c r="I1077" s="268">
        <f t="shared" si="248"/>
        <v>71220</v>
      </c>
    </row>
    <row r="1078" spans="1:9" s="130" customFormat="1" ht="47.25" x14ac:dyDescent="0.25">
      <c r="A1078" s="779" t="str">
        <f>IF(B1078&gt;0,VLOOKUP(B1078,КВСР!A398:B1563,2),IF(C1078&gt;0,VLOOKUP(C1078,КФСР!A398:B1910,2),IF(D1078&gt;0,VLOOKUP(D1078,Программа!A$1:B$5124,2),IF(F1078&gt;0,VLOOKUP(F1078,КВР!A$1:B$5001,2),IF(E1078&gt;0,VLOOKUP(E1078,Направление!A$1:B$4812,2))))))</f>
        <v>Предоставление субсидий бюджетным, автономным учреждениям и иным некоммерческим организациям</v>
      </c>
      <c r="B1078" s="114"/>
      <c r="C1078" s="109"/>
      <c r="D1078" s="110"/>
      <c r="E1078" s="109"/>
      <c r="F1078" s="111">
        <v>600</v>
      </c>
      <c r="G1078" s="268">
        <v>590000</v>
      </c>
      <c r="H1078" s="330">
        <f>-518780</f>
        <v>-518780</v>
      </c>
      <c r="I1078" s="117">
        <f>G1078+H1078</f>
        <v>71220</v>
      </c>
    </row>
    <row r="1079" spans="1:9" s="130" customFormat="1" ht="47.25" x14ac:dyDescent="0.25">
      <c r="A1079" s="779" t="str">
        <f>IF(B1079&gt;0,VLOOKUP(B1079,КВСР!A395:B1560,2),IF(C1079&gt;0,VLOOKUP(C1079,КФСР!A395:B1907,2),IF(D1079&gt;0,VLOOKUP(D1079,Программа!A$1:B$5124,2),IF(F1079&gt;0,VLOOKUP(F1079,КВР!A$1:B$5001,2),IF(E1079&gt;0,VLOOKUP(E1079,Направление!A$1:B$4812,2))))))</f>
        <v>Расходы на реализацию мероприятий инициативного бюджетирования на территории Ярославской области</v>
      </c>
      <c r="B1079" s="114"/>
      <c r="C1079" s="109"/>
      <c r="D1079" s="110"/>
      <c r="E1079" s="109">
        <v>75350</v>
      </c>
      <c r="F1079" s="111"/>
      <c r="G1079" s="268">
        <v>1000000</v>
      </c>
      <c r="H1079" s="330">
        <f t="shared" ref="H1079:I1079" si="249">H1080</f>
        <v>0</v>
      </c>
      <c r="I1079" s="268">
        <f t="shared" si="249"/>
        <v>1000000</v>
      </c>
    </row>
    <row r="1080" spans="1:9" s="130" customFormat="1" ht="47.25" x14ac:dyDescent="0.25">
      <c r="A1080" s="779" t="str">
        <f>IF(B1080&gt;0,VLOOKUP(B1080,КВСР!A396:B1561,2),IF(C1080&gt;0,VLOOKUP(C1080,КФСР!A396:B1908,2),IF(D1080&gt;0,VLOOKUP(D1080,Программа!A$1:B$5124,2),IF(F1080&gt;0,VLOOKUP(F1080,КВР!A$1:B$5001,2),IF(E1080&gt;0,VLOOKUP(E1080,Направление!A$1:B$4812,2))))))</f>
        <v>Предоставление субсидий бюджетным, автономным учреждениям и иным некоммерческим организациям</v>
      </c>
      <c r="B1080" s="114"/>
      <c r="C1080" s="109"/>
      <c r="D1080" s="110"/>
      <c r="E1080" s="109"/>
      <c r="F1080" s="111">
        <v>600</v>
      </c>
      <c r="G1080" s="268">
        <v>1000000</v>
      </c>
      <c r="H1080" s="330"/>
      <c r="I1080" s="117">
        <f>G1080+H1080</f>
        <v>1000000</v>
      </c>
    </row>
    <row r="1081" spans="1:9" s="130" customFormat="1" ht="47.25" x14ac:dyDescent="0.25">
      <c r="A1081" s="779" t="str">
        <f>IF(B1081&gt;0,VLOOKUP(B1081,КВСР!A393:B1558,2),IF(C1081&gt;0,VLOOKUP(C1081,КФСР!A393:B1905,2),IF(D1081&gt;0,VLOOKUP(D1081,Программа!A$1:B$5124,2),IF(F1081&gt;0,VLOOKUP(F1081,КВР!A$1:B$5001,2),IF(E1081&gt;0,VLOOKUP(E1081,Направление!A$1:B$4812,2))))))</f>
        <v>Расходы на повышение оплаты труда работников муниципальных учреждений в сфере культуры</v>
      </c>
      <c r="B1081" s="114"/>
      <c r="C1081" s="109"/>
      <c r="D1081" s="110"/>
      <c r="E1081" s="109">
        <v>75900</v>
      </c>
      <c r="F1081" s="111"/>
      <c r="G1081" s="268">
        <v>19914200</v>
      </c>
      <c r="H1081" s="330">
        <f>H1082</f>
        <v>0</v>
      </c>
      <c r="I1081" s="330">
        <f>I1082</f>
        <v>19914200</v>
      </c>
    </row>
    <row r="1082" spans="1:9" s="130" customFormat="1" ht="47.25" x14ac:dyDescent="0.25">
      <c r="A1082" s="779" t="str">
        <f>IF(B1082&gt;0,VLOOKUP(B1082,КВСР!A394:B1559,2),IF(C1082&gt;0,VLOOKUP(C1082,КФСР!A394:B1906,2),IF(D1082&gt;0,VLOOKUP(D1082,Программа!A$1:B$5124,2),IF(F1082&gt;0,VLOOKUP(F1082,КВР!A$1:B$5001,2),IF(E1082&gt;0,VLOOKUP(E1082,Направление!A$1:B$4812,2))))))</f>
        <v>Предоставление субсидий бюджетным, автономным учреждениям и иным некоммерческим организациям</v>
      </c>
      <c r="B1082" s="114"/>
      <c r="C1082" s="109"/>
      <c r="D1082" s="110"/>
      <c r="E1082" s="109"/>
      <c r="F1082" s="111">
        <v>600</v>
      </c>
      <c r="G1082" s="268">
        <v>19914200</v>
      </c>
      <c r="H1082" s="330"/>
      <c r="I1082" s="117">
        <f t="shared" si="234"/>
        <v>19914200</v>
      </c>
    </row>
    <row r="1083" spans="1:9" s="130" customFormat="1" ht="78.75" x14ac:dyDescent="0.25">
      <c r="A1083" s="779" t="str">
        <f>IF(B1083&gt;0,VLOOKUP(B1083,КВСР!A395:B1560,2),IF(C1083&gt;0,VLOOKUP(C1083,КФСР!A395:B1907,2),IF(D1083&gt;0,VLOOKUP(D1083,Программа!A$1:B$5124,2),IF(F1083&gt;0,VLOOKUP(F1083,КВР!A$1:B$5001,2),IF(E1083&gt;0,VLOOKUP(E1083,Направление!A$1:B$4812,2)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83" s="114"/>
      <c r="C1083" s="109"/>
      <c r="D1083" s="110"/>
      <c r="E1083" s="109" t="s">
        <v>1496</v>
      </c>
      <c r="F1083" s="111"/>
      <c r="G1083" s="268">
        <v>1636323</v>
      </c>
      <c r="H1083" s="330">
        <f t="shared" ref="H1083:I1083" si="250">H1084</f>
        <v>0</v>
      </c>
      <c r="I1083" s="268">
        <f t="shared" si="250"/>
        <v>1636323</v>
      </c>
    </row>
    <row r="1084" spans="1:9" s="130" customFormat="1" ht="47.25" x14ac:dyDescent="0.25">
      <c r="A1084" s="779" t="str">
        <f>IF(B1084&gt;0,VLOOKUP(B1084,КВСР!A396:B1561,2),IF(C1084&gt;0,VLOOKUP(C1084,КФСР!A396:B1908,2),IF(D1084&gt;0,VLOOKUP(D1084,Программа!A$1:B$5124,2),IF(F1084&gt;0,VLOOKUP(F1084,КВР!A$1:B$5001,2),IF(E1084&gt;0,VLOOKUP(E1084,Направление!A$1:B$4812,2))))))</f>
        <v>Предоставление субсидий бюджетным, автономным учреждениям и иным некоммерческим организациям</v>
      </c>
      <c r="B1084" s="114"/>
      <c r="C1084" s="109"/>
      <c r="D1084" s="110"/>
      <c r="E1084" s="109"/>
      <c r="F1084" s="111">
        <v>600</v>
      </c>
      <c r="G1084" s="268">
        <v>1636323</v>
      </c>
      <c r="H1084" s="330"/>
      <c r="I1084" s="117">
        <f>G1084+H1084</f>
        <v>1636323</v>
      </c>
    </row>
    <row r="1085" spans="1:9" s="130" customFormat="1" ht="47.25" x14ac:dyDescent="0.25">
      <c r="A1085" s="779" t="str">
        <f>IF(B1085&gt;0,VLOOKUP(B1085,КВСР!A395:B1560,2),IF(C1085&gt;0,VLOOKUP(C1085,КФСР!A395:B1907,2),IF(D1085&gt;0,VLOOKUP(D1085,Программа!A$1:B$5124,2),IF(F1085&gt;0,VLOOKUP(F1085,КВР!A$1:B$5001,2),IF(E1085&gt;0,VLOOKUP(E1085,Направление!A$1:B$4812,2))))))</f>
        <v>Поддержка доступа граждан к информационно-библиотечным ресурсам</v>
      </c>
      <c r="B1085" s="114"/>
      <c r="C1085" s="109"/>
      <c r="D1085" s="110" t="s">
        <v>517</v>
      </c>
      <c r="E1085" s="109"/>
      <c r="F1085" s="111"/>
      <c r="G1085" s="268">
        <v>24758815</v>
      </c>
      <c r="H1085" s="330">
        <f>H1086+H1088+H1092+H1090+H1100+H1096+H1094+H1098</f>
        <v>225440</v>
      </c>
      <c r="I1085" s="330">
        <f>I1086+I1088+I1092+I1090+I1100+I1096+I1094+I1098</f>
        <v>24984255</v>
      </c>
    </row>
    <row r="1086" spans="1:9" s="130" customFormat="1" x14ac:dyDescent="0.25">
      <c r="A1086" s="779" t="str">
        <f>IF(B1086&gt;0,VLOOKUP(B1086,КВСР!A396:B1561,2),IF(C1086&gt;0,VLOOKUP(C1086,КФСР!A396:B1908,2),IF(D1086&gt;0,VLOOKUP(D1086,Программа!A$1:B$5124,2),IF(F1086&gt;0,VLOOKUP(F1086,КВР!A$1:B$5001,2),IF(E1086&gt;0,VLOOKUP(E1086,Направление!A$1:B$4812,2))))))</f>
        <v>Обеспечение деятельности библиотек</v>
      </c>
      <c r="B1086" s="114"/>
      <c r="C1086" s="109"/>
      <c r="D1086" s="110"/>
      <c r="E1086" s="109">
        <v>15110</v>
      </c>
      <c r="F1086" s="111"/>
      <c r="G1086" s="268">
        <v>3331650</v>
      </c>
      <c r="H1086" s="330">
        <f>H1087</f>
        <v>310440</v>
      </c>
      <c r="I1086" s="330">
        <f>I1087</f>
        <v>3642090</v>
      </c>
    </row>
    <row r="1087" spans="1:9" s="130" customFormat="1" ht="47.25" x14ac:dyDescent="0.25">
      <c r="A1087" s="779" t="str">
        <f>IF(B1087&gt;0,VLOOKUP(B1087,КВСР!A397:B1562,2),IF(C1087&gt;0,VLOOKUP(C1087,КФСР!A397:B1909,2),IF(D1087&gt;0,VLOOKUP(D1087,Программа!A$1:B$5124,2),IF(F1087&gt;0,VLOOKUP(F1087,КВР!A$1:B$5001,2),IF(E1087&gt;0,VLOOKUP(E1087,Направление!A$1:B$4812,2))))))</f>
        <v>Предоставление субсидий бюджетным, автономным учреждениям и иным некоммерческим организациям</v>
      </c>
      <c r="B1087" s="114"/>
      <c r="C1087" s="109"/>
      <c r="D1087" s="110"/>
      <c r="E1087" s="109"/>
      <c r="F1087" s="111">
        <v>600</v>
      </c>
      <c r="G1087" s="268">
        <v>3331650</v>
      </c>
      <c r="H1087" s="330">
        <f>17000+293440</f>
        <v>310440</v>
      </c>
      <c r="I1087" s="117">
        <f t="shared" si="234"/>
        <v>3642090</v>
      </c>
    </row>
    <row r="1088" spans="1:9" s="130" customFormat="1" x14ac:dyDescent="0.25">
      <c r="A1088" s="779" t="str">
        <f>IF(B1088&gt;0,VLOOKUP(B1088,КВСР!A398:B1563,2),IF(C1088&gt;0,VLOOKUP(C1088,КФСР!A398:B1910,2),IF(D1088&gt;0,VLOOKUP(D1088,Программа!A$1:B$5124,2),IF(F1088&gt;0,VLOOKUP(F1088,КВР!A$1:B$5001,2),IF(E1088&gt;0,VLOOKUP(E1088,Направление!A$1:B$4812,2))))))</f>
        <v>Мероприятия в сфере культуры</v>
      </c>
      <c r="B1088" s="114"/>
      <c r="C1088" s="109"/>
      <c r="D1088" s="110"/>
      <c r="E1088" s="109">
        <v>15220</v>
      </c>
      <c r="F1088" s="111"/>
      <c r="G1088" s="268">
        <v>300000</v>
      </c>
      <c r="H1088" s="330">
        <f>H1089</f>
        <v>0</v>
      </c>
      <c r="I1088" s="330">
        <f>I1089</f>
        <v>300000</v>
      </c>
    </row>
    <row r="1089" spans="1:9" s="130" customFormat="1" ht="47.25" x14ac:dyDescent="0.25">
      <c r="A1089" s="779" t="str">
        <f>IF(B1089&gt;0,VLOOKUP(B1089,КВСР!A399:B1564,2),IF(C1089&gt;0,VLOOKUP(C1089,КФСР!A399:B1911,2),IF(D1089&gt;0,VLOOKUP(D1089,Программа!A$1:B$5124,2),IF(F1089&gt;0,VLOOKUP(F1089,КВР!A$1:B$5001,2),IF(E1089&gt;0,VLOOKUP(E1089,Направление!A$1:B$4812,2))))))</f>
        <v>Предоставление субсидий бюджетным, автономным учреждениям и иным некоммерческим организациям</v>
      </c>
      <c r="B1089" s="114"/>
      <c r="C1089" s="109"/>
      <c r="D1089" s="110"/>
      <c r="E1089" s="109"/>
      <c r="F1089" s="111">
        <v>600</v>
      </c>
      <c r="G1089" s="268">
        <v>300000</v>
      </c>
      <c r="H1089" s="330"/>
      <c r="I1089" s="117">
        <f t="shared" si="234"/>
        <v>300000</v>
      </c>
    </row>
    <row r="1090" spans="1:9" s="130" customFormat="1" ht="47.25" x14ac:dyDescent="0.25">
      <c r="A1090" s="779" t="str">
        <f>IF(B1090&gt;0,VLOOKUP(B1090,КВСР!A400:B1565,2),IF(C1090&gt;0,VLOOKUP(C1090,КФСР!A400:B1912,2),IF(D1090&gt;0,VLOOKUP(D1090,Программа!A$1:B$5124,2),IF(F1090&gt;0,VLOOKUP(F1090,КВР!A$1:B$5001,2),IF(E1090&gt;0,VLOOKUP(E1090,Направление!A$1:B$4812,2))))))</f>
        <v>Расходы на реализацию мероприятий инициативного бюджетирования на территории Ярославской области</v>
      </c>
      <c r="B1090" s="114"/>
      <c r="C1090" s="109"/>
      <c r="D1090" s="110"/>
      <c r="E1090" s="109">
        <v>15350</v>
      </c>
      <c r="F1090" s="111"/>
      <c r="G1090" s="268">
        <v>50000</v>
      </c>
      <c r="H1090" s="330">
        <f t="shared" ref="H1090:I1090" si="251">H1091</f>
        <v>0</v>
      </c>
      <c r="I1090" s="268">
        <f t="shared" si="251"/>
        <v>50000</v>
      </c>
    </row>
    <row r="1091" spans="1:9" s="130" customFormat="1" ht="47.25" x14ac:dyDescent="0.25">
      <c r="A1091" s="779" t="str">
        <f>IF(B1091&gt;0,VLOOKUP(B1091,КВСР!A401:B1566,2),IF(C1091&gt;0,VLOOKUP(C1091,КФСР!A401:B1913,2),IF(D1091&gt;0,VLOOKUP(D1091,Программа!A$1:B$5124,2),IF(F1091&gt;0,VLOOKUP(F1091,КВР!A$1:B$5001,2),IF(E1091&gt;0,VLOOKUP(E1091,Направление!A$1:B$4812,2))))))</f>
        <v>Предоставление субсидий бюджетным, автономным учреждениям и иным некоммерческим организациям</v>
      </c>
      <c r="B1091" s="114"/>
      <c r="C1091" s="109"/>
      <c r="D1091" s="110"/>
      <c r="E1091" s="109"/>
      <c r="F1091" s="111">
        <v>600</v>
      </c>
      <c r="G1091" s="268">
        <v>50000</v>
      </c>
      <c r="H1091" s="330"/>
      <c r="I1091" s="117">
        <f t="shared" si="234"/>
        <v>50000</v>
      </c>
    </row>
    <row r="1092" spans="1:9" s="130" customFormat="1" ht="47.25" x14ac:dyDescent="0.25">
      <c r="A1092" s="779" t="str">
        <f>IF(B1092&gt;0,VLOOKUP(B1092,КВСР!A400:B1565,2),IF(C1092&gt;0,VLOOKUP(C1092,КФСР!A400:B1912,2),IF(D1092&gt;0,VLOOKUP(D1092,Программа!A$1:B$5124,2),IF(F1092&gt;0,VLOOKUP(F1092,КВР!A$1:B$5001,2),IF(E1092&gt;0,VLOOKUP(E1092,Направление!A$1:B$4812,2))))))</f>
        <v>Расходы на повышение оплаты труда работников муниципальных учреждений в сфере культуры</v>
      </c>
      <c r="B1092" s="114"/>
      <c r="C1092" s="109"/>
      <c r="D1092" s="110"/>
      <c r="E1092" s="109">
        <v>15900</v>
      </c>
      <c r="F1092" s="111"/>
      <c r="G1092" s="268">
        <v>12790583</v>
      </c>
      <c r="H1092" s="330">
        <f t="shared" ref="H1092:I1092" si="252">H1093</f>
        <v>-85000</v>
      </c>
      <c r="I1092" s="268">
        <f t="shared" si="252"/>
        <v>12705583</v>
      </c>
    </row>
    <row r="1093" spans="1:9" s="130" customFormat="1" ht="47.25" x14ac:dyDescent="0.25">
      <c r="A1093" s="779" t="str">
        <f>IF(B1093&gt;0,VLOOKUP(B1093,КВСР!A401:B1566,2),IF(C1093&gt;0,VLOOKUP(C1093,КФСР!A401:B1913,2),IF(D1093&gt;0,VLOOKUP(D1093,Программа!A$1:B$5124,2),IF(F1093&gt;0,VLOOKUP(F1093,КВР!A$1:B$5001,2),IF(E1093&gt;0,VLOOKUP(E1093,Направление!A$1:B$4812,2))))))</f>
        <v>Предоставление субсидий бюджетным, автономным учреждениям и иным некоммерческим организациям</v>
      </c>
      <c r="B1093" s="114"/>
      <c r="C1093" s="109"/>
      <c r="D1093" s="110"/>
      <c r="E1093" s="109"/>
      <c r="F1093" s="111">
        <v>600</v>
      </c>
      <c r="G1093" s="268">
        <v>12790583</v>
      </c>
      <c r="H1093" s="268">
        <v>-85000</v>
      </c>
      <c r="I1093" s="117">
        <f>G1093+H1093</f>
        <v>12705583</v>
      </c>
    </row>
    <row r="1094" spans="1:9" s="130" customFormat="1" hidden="1" x14ac:dyDescent="0.25">
      <c r="A1094" s="779" t="str">
        <f>IF(B1094&gt;0,VLOOKUP(B1094,КВСР!A402:B1567,2),IF(C1094&gt;0,VLOOKUP(C1094,КФСР!A402:B1914,2),IF(D1094&gt;0,VLOOKUP(D1094,Программа!A$1:B$5124,2),IF(F1094&gt;0,VLOOKUP(F1094,КВР!A$1:B$5001,2),IF(E1094&gt;0,VLOOKUP(E1094,Направление!A$1:B$4812,2))))))</f>
        <v>Библиотечное обслуживание населения</v>
      </c>
      <c r="B1094" s="114"/>
      <c r="C1094" s="109"/>
      <c r="D1094" s="110"/>
      <c r="E1094" s="109">
        <v>29786</v>
      </c>
      <c r="F1094" s="111"/>
      <c r="G1094" s="268">
        <v>0</v>
      </c>
      <c r="H1094" s="330">
        <f t="shared" ref="H1094:I1094" si="253">H1095</f>
        <v>0</v>
      </c>
      <c r="I1094" s="268">
        <f t="shared" si="253"/>
        <v>0</v>
      </c>
    </row>
    <row r="1095" spans="1:9" s="130" customFormat="1" ht="47.25" hidden="1" x14ac:dyDescent="0.25">
      <c r="A1095" s="779" t="str">
        <f>IF(B1095&gt;0,VLOOKUP(B1095,КВСР!A403:B1568,2),IF(C1095&gt;0,VLOOKUP(C1095,КФСР!A403:B1915,2),IF(D1095&gt;0,VLOOKUP(D1095,Программа!A$1:B$5124,2),IF(F1095&gt;0,VLOOKUP(F1095,КВР!A$1:B$5001,2),IF(E1095&gt;0,VLOOKUP(E1095,Направление!A$1:B$4812,2))))))</f>
        <v>Предоставление субсидий бюджетным, автономным учреждениям и иным некоммерческим организациям</v>
      </c>
      <c r="B1095" s="114"/>
      <c r="C1095" s="109"/>
      <c r="D1095" s="110"/>
      <c r="E1095" s="109"/>
      <c r="F1095" s="111">
        <v>600</v>
      </c>
      <c r="G1095" s="268">
        <v>0</v>
      </c>
      <c r="H1095" s="330"/>
      <c r="I1095" s="117">
        <f t="shared" ref="I1095" si="254">G1095+H1095</f>
        <v>0</v>
      </c>
    </row>
    <row r="1096" spans="1:9" s="130" customFormat="1" ht="31.5" x14ac:dyDescent="0.25">
      <c r="A1096" s="779" t="str">
        <f>IF(B1096&gt;0,VLOOKUP(B1096,КВСР!A402:B1567,2),IF(C1096&gt;0,VLOOKUP(C1096,КФСР!A402:B1914,2),IF(D1096&gt;0,VLOOKUP(D1096,Программа!A$1:B$5124,2),IF(F1096&gt;0,VLOOKUP(F1096,КВР!A$1:B$5001,2),IF(E1096&gt;0,VLOOKUP(E1096,Направление!A$1:B$4812,2))))))</f>
        <v>Расходы на комплектование книжных фондов муниципальных библиотек</v>
      </c>
      <c r="B1096" s="114"/>
      <c r="C1096" s="109"/>
      <c r="D1096" s="110"/>
      <c r="E1096" s="109" t="s">
        <v>1755</v>
      </c>
      <c r="F1096" s="111"/>
      <c r="G1096" s="268">
        <v>176275</v>
      </c>
      <c r="H1096" s="330">
        <f t="shared" ref="H1096:I1096" si="255">H1097</f>
        <v>0</v>
      </c>
      <c r="I1096" s="268">
        <f t="shared" si="255"/>
        <v>176275</v>
      </c>
    </row>
    <row r="1097" spans="1:9" s="130" customFormat="1" ht="47.25" x14ac:dyDescent="0.25">
      <c r="A1097" s="779" t="str">
        <f>IF(B1097&gt;0,VLOOKUP(B1097,КВСР!A403:B1568,2),IF(C1097&gt;0,VLOOKUP(C1097,КФСР!A403:B1915,2),IF(D1097&gt;0,VLOOKUP(D1097,Программа!A$1:B$5124,2),IF(F1097&gt;0,VLOOKUP(F1097,КВР!A$1:B$5001,2),IF(E1097&gt;0,VLOOKUP(E1097,Направление!A$1:B$4812,2))))))</f>
        <v>Предоставление субсидий бюджетным, автономным учреждениям и иным некоммерческим организациям</v>
      </c>
      <c r="B1097" s="114"/>
      <c r="C1097" s="109"/>
      <c r="D1097" s="110"/>
      <c r="E1097" s="109"/>
      <c r="F1097" s="111">
        <v>600</v>
      </c>
      <c r="G1097" s="268">
        <v>176275</v>
      </c>
      <c r="H1097" s="330"/>
      <c r="I1097" s="117">
        <f>G1097+H1097</f>
        <v>176275</v>
      </c>
    </row>
    <row r="1098" spans="1:9" s="130" customFormat="1" ht="47.25" x14ac:dyDescent="0.25">
      <c r="A1098" s="779" t="str">
        <f>IF(B1098&gt;0,VLOOKUP(B1098,КВСР!A404:B1569,2),IF(C1098&gt;0,VLOOKUP(C1098,КФСР!A404:B1916,2),IF(D1098&gt;0,VLOOKUP(D1098,Программа!A$1:B$5124,2),IF(F1098&gt;0,VLOOKUP(F1098,КВР!A$1:B$5001,2),IF(E1098&gt;0,VLOOKUP(E1098,Направление!A$1:B$4812,2))))))</f>
        <v>Расходы на реализацию мероприятий инициативного бюджетирования на территории Ярославской области</v>
      </c>
      <c r="B1098" s="114"/>
      <c r="C1098" s="109"/>
      <c r="D1098" s="110"/>
      <c r="E1098" s="109">
        <v>75350</v>
      </c>
      <c r="F1098" s="111"/>
      <c r="G1098" s="268">
        <v>950000</v>
      </c>
      <c r="H1098" s="268">
        <f t="shared" ref="H1098:I1098" si="256">H1099</f>
        <v>0</v>
      </c>
      <c r="I1098" s="268">
        <f t="shared" si="256"/>
        <v>950000</v>
      </c>
    </row>
    <row r="1099" spans="1:9" s="130" customFormat="1" ht="47.25" x14ac:dyDescent="0.25">
      <c r="A1099" s="779" t="str">
        <f>IF(B1099&gt;0,VLOOKUP(B1099,КВСР!A405:B1570,2),IF(C1099&gt;0,VLOOKUP(C1099,КФСР!A405:B1917,2),IF(D1099&gt;0,VLOOKUP(D1099,Программа!A$1:B$5124,2),IF(F1099&gt;0,VLOOKUP(F1099,КВР!A$1:B$5001,2),IF(E1099&gt;0,VLOOKUP(E1099,Направление!A$1:B$4812,2))))))</f>
        <v>Предоставление субсидий бюджетным, автономным учреждениям и иным некоммерческим организациям</v>
      </c>
      <c r="B1099" s="114"/>
      <c r="C1099" s="109"/>
      <c r="D1099" s="110"/>
      <c r="E1099" s="109"/>
      <c r="F1099" s="111">
        <v>600</v>
      </c>
      <c r="G1099" s="268">
        <v>950000</v>
      </c>
      <c r="H1099" s="330"/>
      <c r="I1099" s="117">
        <f>G1099+H1099</f>
        <v>950000</v>
      </c>
    </row>
    <row r="1100" spans="1:9" s="130" customFormat="1" ht="47.25" x14ac:dyDescent="0.25">
      <c r="A1100" s="779" t="str">
        <f>IF(B1100&gt;0,VLOOKUP(B1100,КВСР!A402:B1567,2),IF(C1100&gt;0,VLOOKUP(C1100,КФСР!A402:B1914,2),IF(D1100&gt;0,VLOOKUP(D1100,Программа!A$1:B$5124,2),IF(F1100&gt;0,VLOOKUP(F1100,КВР!A$1:B$5001,2),IF(E1100&gt;0,VLOOKUP(E1100,Направление!A$1:B$4812,2))))))</f>
        <v>Расходы на повышение оплаты труда работников муниципальных учреждений в сфере культуры</v>
      </c>
      <c r="B1100" s="114"/>
      <c r="C1100" s="109"/>
      <c r="D1100" s="110"/>
      <c r="E1100" s="109">
        <v>75900</v>
      </c>
      <c r="F1100" s="111"/>
      <c r="G1100" s="268">
        <v>7160307</v>
      </c>
      <c r="H1100" s="330">
        <f t="shared" ref="H1100:I1100" si="257">H1101</f>
        <v>0</v>
      </c>
      <c r="I1100" s="268">
        <f t="shared" si="257"/>
        <v>7160307</v>
      </c>
    </row>
    <row r="1101" spans="1:9" s="130" customFormat="1" ht="47.25" x14ac:dyDescent="0.25">
      <c r="A1101" s="779" t="str">
        <f>IF(B1101&gt;0,VLOOKUP(B1101,КВСР!A403:B1568,2),IF(C1101&gt;0,VLOOKUP(C1101,КФСР!A403:B1915,2),IF(D1101&gt;0,VLOOKUP(D1101,Программа!A$1:B$5124,2),IF(F1101&gt;0,VLOOKUP(F1101,КВР!A$1:B$5001,2),IF(E1101&gt;0,VLOOKUP(E1101,Направление!A$1:B$4812,2))))))</f>
        <v>Предоставление субсидий бюджетным, автономным учреждениям и иным некоммерческим организациям</v>
      </c>
      <c r="B1101" s="114"/>
      <c r="C1101" s="109"/>
      <c r="D1101" s="110"/>
      <c r="E1101" s="109"/>
      <c r="F1101" s="111">
        <v>600</v>
      </c>
      <c r="G1101" s="268">
        <v>7160307</v>
      </c>
      <c r="H1101" s="330"/>
      <c r="I1101" s="117">
        <f t="shared" ref="I1101" si="258">G1101+H1101</f>
        <v>7160307</v>
      </c>
    </row>
    <row r="1102" spans="1:9" s="130" customFormat="1" x14ac:dyDescent="0.25">
      <c r="A1102" s="779" t="str">
        <f>IF(B1102&gt;0,VLOOKUP(B1102,КВСР!A404:B1569,2),IF(C1102&gt;0,VLOOKUP(C1102,КФСР!A404:B1916,2),IF(D1102&gt;0,VLOOKUP(D1102,Программа!A$1:B$5124,2),IF(F1102&gt;0,VLOOKUP(F1102,КВР!A$1:B$5001,2),IF(E1102&gt;0,VLOOKUP(E1102,Направление!A$1:B$4812,2))))))</f>
        <v>Федеральный проект "Культурная среда"</v>
      </c>
      <c r="B1102" s="114"/>
      <c r="C1102" s="109"/>
      <c r="D1102" s="110" t="s">
        <v>1570</v>
      </c>
      <c r="E1102" s="109"/>
      <c r="F1102" s="111"/>
      <c r="G1102" s="268">
        <v>4679780</v>
      </c>
      <c r="H1102" s="330">
        <f>H1105+H1103+H1107</f>
        <v>334765</v>
      </c>
      <c r="I1102" s="330">
        <f>I1105+I1103+I1107</f>
        <v>5014545</v>
      </c>
    </row>
    <row r="1103" spans="1:9" s="130" customFormat="1" ht="31.5" x14ac:dyDescent="0.25">
      <c r="A1103" s="779" t="str">
        <f>IF(B1103&gt;0,VLOOKUP(B1103,КВСР!A405:B1570,2),IF(C1103&gt;0,VLOOKUP(C1103,КФСР!A405:B1917,2),IF(D1103&gt;0,VLOOKUP(D1103,Программа!A$1:B$5124,2),IF(F1103&gt;0,VLOOKUP(F1103,КВР!A$1:B$5001,2),IF(E1103&gt;0,VLOOKUP(E1103,Направление!A$1:B$4812,2))))))</f>
        <v>Расходы на проведение капитального ремонта муниципальных библиотек</v>
      </c>
      <c r="B1103" s="114"/>
      <c r="C1103" s="109"/>
      <c r="D1103" s="110"/>
      <c r="E1103" s="109">
        <v>14540</v>
      </c>
      <c r="F1103" s="111"/>
      <c r="G1103" s="268">
        <v>1469853</v>
      </c>
      <c r="H1103" s="268">
        <f t="shared" ref="H1103:I1103" si="259">H1104</f>
        <v>0</v>
      </c>
      <c r="I1103" s="268">
        <f t="shared" si="259"/>
        <v>1469853</v>
      </c>
    </row>
    <row r="1104" spans="1:9" s="130" customFormat="1" ht="51.75" customHeight="1" x14ac:dyDescent="0.25">
      <c r="A1104" s="779" t="str">
        <f>IF(B1104&gt;0,VLOOKUP(B1104,КВСР!A406:B1571,2),IF(C1104&gt;0,VLOOKUP(C1104,КФСР!A406:B1918,2),IF(D1104&gt;0,VLOOKUP(D1104,Программа!A$1:B$5124,2),IF(F1104&gt;0,VLOOKUP(F1104,КВР!A$1:B$5001,2),IF(E1104&gt;0,VLOOKUP(E1104,Направление!A$1:B$4812,2))))))</f>
        <v>Предоставление субсидий бюджетным, автономным учреждениям и иным некоммерческим организациям</v>
      </c>
      <c r="B1104" s="114"/>
      <c r="C1104" s="109"/>
      <c r="D1104" s="110"/>
      <c r="E1104" s="109"/>
      <c r="F1104" s="111">
        <v>600</v>
      </c>
      <c r="G1104" s="268">
        <v>1469853</v>
      </c>
      <c r="H1104" s="330"/>
      <c r="I1104" s="330">
        <f>G1104+H1104</f>
        <v>1469853</v>
      </c>
    </row>
    <row r="1105" spans="1:9" s="130" customFormat="1" ht="47.85" customHeight="1" x14ac:dyDescent="0.25">
      <c r="A1105" s="779" t="str">
        <f>IF(B1105&gt;0,VLOOKUP(B1105,КВСР!A407:B1572,2),IF(C1105&gt;0,VLOOKUP(C1105,КФСР!A407:B1919,2),IF(D1105&gt;0,VLOOKUP(D1105,Программа!A$1:B$5124,2),IF(F1105&gt;0,VLOOKUP(F1105,КВР!A$1:B$5001,2),IF(E1105&gt;0,VLOOKUP(E1105,Направление!A$1:B$4812,2))))))</f>
        <v>Расходы на капитальный ремонт учреждений культурно-досугового типа в сельской местности</v>
      </c>
      <c r="B1105" s="114"/>
      <c r="C1105" s="109"/>
      <c r="D1105" s="110"/>
      <c r="E1105" s="109">
        <v>55133</v>
      </c>
      <c r="F1105" s="111"/>
      <c r="G1105" s="268">
        <v>0</v>
      </c>
      <c r="H1105" s="330">
        <f>H1106</f>
        <v>334765</v>
      </c>
      <c r="I1105" s="330">
        <f>I1106</f>
        <v>334765</v>
      </c>
    </row>
    <row r="1106" spans="1:9" s="130" customFormat="1" ht="47.25" x14ac:dyDescent="0.25">
      <c r="A1106" s="779" t="str">
        <f>IF(B1106&gt;0,VLOOKUP(B1106,КВСР!A406:B1571,2),IF(C1106&gt;0,VLOOKUP(C1106,КФСР!A406:B1918,2),IF(D1106&gt;0,VLOOKUP(D1106,Программа!A$1:B$5124,2),IF(F1106&gt;0,VLOOKUP(F1106,КВР!A$1:B$5001,2),IF(E1106&gt;0,VLOOKUP(E1106,Направление!A$1:B$4812,2))))))</f>
        <v>Предоставление субсидий бюджетным, автономным учреждениям и иным некоммерческим организациям</v>
      </c>
      <c r="B1106" s="114"/>
      <c r="C1106" s="109"/>
      <c r="D1106" s="110"/>
      <c r="E1106" s="109"/>
      <c r="F1106" s="111">
        <v>600</v>
      </c>
      <c r="G1106" s="268">
        <v>0</v>
      </c>
      <c r="H1106" s="330">
        <v>334765</v>
      </c>
      <c r="I1106" s="117">
        <f t="shared" ref="I1106:I1108" si="260">G1106+H1106</f>
        <v>334765</v>
      </c>
    </row>
    <row r="1107" spans="1:9" s="130" customFormat="1" ht="31.5" x14ac:dyDescent="0.25">
      <c r="A1107" s="779" t="str">
        <f>IF(B1107&gt;0,VLOOKUP(B1107,КВСР!A407:B1572,2),IF(C1107&gt;0,VLOOKUP(C1107,КФСР!A407:B1919,2),IF(D1107&gt;0,VLOOKUP(D1107,Программа!A$1:B$5124,2),IF(F1107&gt;0,VLOOKUP(F1107,КВР!A$1:B$5001,2),IF(E1107&gt;0,VLOOKUP(E1107,Направление!A$1:B$4812,2))))))</f>
        <v>Расходы на проведение капитального ремонта муниципальных библиотек</v>
      </c>
      <c r="B1107" s="114"/>
      <c r="C1107" s="109"/>
      <c r="D1107" s="110"/>
      <c r="E1107" s="109">
        <v>74540</v>
      </c>
      <c r="F1107" s="111"/>
      <c r="G1107" s="268">
        <v>3209927</v>
      </c>
      <c r="H1107" s="268">
        <f t="shared" ref="H1107:I1107" si="261">H1108</f>
        <v>0</v>
      </c>
      <c r="I1107" s="268">
        <f t="shared" si="261"/>
        <v>3209927</v>
      </c>
    </row>
    <row r="1108" spans="1:9" s="130" customFormat="1" ht="47.25" x14ac:dyDescent="0.25">
      <c r="A1108" s="779" t="str">
        <f>IF(B1108&gt;0,VLOOKUP(B1108,КВСР!A408:B1573,2),IF(C1108&gt;0,VLOOKUP(C1108,КФСР!A408:B1920,2),IF(D1108&gt;0,VLOOKUP(D1108,Программа!A$1:B$5124,2),IF(F1108&gt;0,VLOOKUP(F1108,КВР!A$1:B$5001,2),IF(E1108&gt;0,VLOOKUP(E1108,Направление!A$1:B$4812,2))))))</f>
        <v>Предоставление субсидий бюджетным, автономным учреждениям и иным некоммерческим организациям</v>
      </c>
      <c r="B1108" s="114"/>
      <c r="C1108" s="109"/>
      <c r="D1108" s="110"/>
      <c r="E1108" s="109"/>
      <c r="F1108" s="111">
        <v>600</v>
      </c>
      <c r="G1108" s="268">
        <v>3209927</v>
      </c>
      <c r="H1108" s="330"/>
      <c r="I1108" s="117">
        <f t="shared" si="260"/>
        <v>3209927</v>
      </c>
    </row>
    <row r="1109" spans="1:9" s="130" customFormat="1" ht="47.25" x14ac:dyDescent="0.25">
      <c r="A1109" s="779" t="str">
        <f>IF(B1109&gt;0,VLOOKUP(B1109,КВСР!A398:B1563,2),IF(C1109&gt;0,VLOOKUP(C1109,КФСР!A398:B1910,2),IF(D1109&gt;0,VLOOKUP(D1109,Программа!A$1:B$5124,2),IF(F1109&gt;0,VLOOKUP(F1109,КВР!A$1:B$5001,2),IF(E1109&gt;0,VLOOKUP(E1109,Направление!A$1:B$4812,2))))))</f>
        <v>Муниципальная программа "Социальная поддержка населения Тутаевского муниципального района"</v>
      </c>
      <c r="B1109" s="114"/>
      <c r="C1109" s="109"/>
      <c r="D1109" s="110" t="s">
        <v>376</v>
      </c>
      <c r="E1109" s="109"/>
      <c r="F1109" s="111"/>
      <c r="G1109" s="268">
        <v>393000</v>
      </c>
      <c r="H1109" s="330">
        <f>H1110</f>
        <v>0</v>
      </c>
      <c r="I1109" s="330">
        <f>I1110</f>
        <v>393000</v>
      </c>
    </row>
    <row r="1110" spans="1:9" s="130" customFormat="1" ht="47.25" x14ac:dyDescent="0.25">
      <c r="A1110" s="779" t="str">
        <f>IF(B1110&gt;0,VLOOKUP(B1110,КВСР!A399:B1564,2),IF(C1110&gt;0,VLOOKUP(C1110,КФСР!A399:B1911,2),IF(D1110&gt;0,VLOOKUP(D1110,Программа!A$1:B$5124,2),IF(F1110&gt;0,VLOOKUP(F1110,КВР!A$1:B$5001,2),IF(E1110&gt;0,VLOOKUP(E1110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1110" s="114"/>
      <c r="C1110" s="109"/>
      <c r="D1110" s="110" t="s">
        <v>378</v>
      </c>
      <c r="E1110" s="109"/>
      <c r="F1110" s="111"/>
      <c r="G1110" s="268">
        <v>393000</v>
      </c>
      <c r="H1110" s="330">
        <f t="shared" ref="H1110" si="262">H1111+H1117+H1114</f>
        <v>0</v>
      </c>
      <c r="I1110" s="330">
        <f t="shared" ref="I1110" si="263">I1111+I1117+I1114</f>
        <v>393000</v>
      </c>
    </row>
    <row r="1111" spans="1:9" s="130" customFormat="1" ht="63" x14ac:dyDescent="0.25">
      <c r="A1111" s="779" t="str">
        <f>IF(B1111&gt;0,VLOOKUP(B1111,КВСР!A400:B1565,2),IF(C1111&gt;0,VLOOKUP(C1111,КФСР!A400:B1912,2),IF(D1111&gt;0,VLOOKUP(D1111,Программа!A$1:B$5124,2),IF(F1111&gt;0,VLOOKUP(F1111,КВР!A$1:B$5001,2),IF(E1111&gt;0,VLOOKUP(E1111,Направление!A$1:B$4812,2)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11" s="114"/>
      <c r="C1111" s="109"/>
      <c r="D1111" s="110" t="s">
        <v>379</v>
      </c>
      <c r="E1111" s="109"/>
      <c r="F1111" s="111"/>
      <c r="G1111" s="268">
        <v>86000</v>
      </c>
      <c r="H1111" s="330">
        <f>H1112</f>
        <v>-26000</v>
      </c>
      <c r="I1111" s="330">
        <f>I1112</f>
        <v>60000</v>
      </c>
    </row>
    <row r="1112" spans="1:9" s="130" customFormat="1" ht="31.5" x14ac:dyDescent="0.25">
      <c r="A1112" s="779" t="str">
        <f>IF(B1112&gt;0,VLOOKUP(B1112,КВСР!A401:B1566,2),IF(C1112&gt;0,VLOOKUP(C1112,КФСР!A401:B1913,2),IF(D1112&gt;0,VLOOKUP(D1112,Программа!A$1:B$5124,2),IF(F1112&gt;0,VLOOKUP(F1112,КВР!A$1:B$5001,2),IF(E1112&gt;0,VLOOKUP(E1112,Направление!A$1:B$4812,2))))))</f>
        <v>Расходы на реализацию мероприятий по улучшению условий и охраны труда</v>
      </c>
      <c r="B1112" s="114"/>
      <c r="C1112" s="109"/>
      <c r="D1112" s="110"/>
      <c r="E1112" s="109">
        <v>16150</v>
      </c>
      <c r="F1112" s="111"/>
      <c r="G1112" s="268">
        <v>86000</v>
      </c>
      <c r="H1112" s="330">
        <f>H1113</f>
        <v>-26000</v>
      </c>
      <c r="I1112" s="330">
        <f>I1113</f>
        <v>60000</v>
      </c>
    </row>
    <row r="1113" spans="1:9" s="130" customFormat="1" ht="47.25" x14ac:dyDescent="0.25">
      <c r="A1113" s="779" t="str">
        <f>IF(B1113&gt;0,VLOOKUP(B1113,КВСР!A402:B1567,2),IF(C1113&gt;0,VLOOKUP(C1113,КФСР!A402:B1914,2),IF(D1113&gt;0,VLOOKUP(D1113,Программа!A$1:B$5124,2),IF(F1113&gt;0,VLOOKUP(F1113,КВР!A$1:B$5001,2),IF(E1113&gt;0,VLOOKUP(E1113,Направление!A$1:B$4812,2))))))</f>
        <v>Предоставление субсидий бюджетным, автономным учреждениям и иным некоммерческим организациям</v>
      </c>
      <c r="B1113" s="114"/>
      <c r="C1113" s="109"/>
      <c r="D1113" s="110"/>
      <c r="E1113" s="109"/>
      <c r="F1113" s="111">
        <v>600</v>
      </c>
      <c r="G1113" s="268">
        <v>86000</v>
      </c>
      <c r="H1113" s="330">
        <v>-26000</v>
      </c>
      <c r="I1113" s="117">
        <f t="shared" si="234"/>
        <v>60000</v>
      </c>
    </row>
    <row r="1114" spans="1:9" s="130" customFormat="1" ht="63" x14ac:dyDescent="0.25">
      <c r="A1114" s="779" t="str">
        <f>IF(B1114&gt;0,VLOOKUP(B1114,КВСР!A403:B1568,2),IF(C1114&gt;0,VLOOKUP(C1114,КФСР!A403:B1915,2),IF(D1114&gt;0,VLOOKUP(D1114,Программа!A$1:B$5124,2),IF(F1114&gt;0,VLOOKUP(F1114,КВР!A$1:B$5001,2),IF(E1114&gt;0,VLOOKUP(E1114,Направление!A$1:B$4812,2))))))</f>
        <v>Превентивные меры, направленные на снижение производственного травматизма и профессиональной заболеваемости</v>
      </c>
      <c r="B1114" s="114"/>
      <c r="C1114" s="109"/>
      <c r="D1114" s="110" t="s">
        <v>1341</v>
      </c>
      <c r="E1114" s="109"/>
      <c r="F1114" s="111"/>
      <c r="G1114" s="268">
        <v>185000</v>
      </c>
      <c r="H1114" s="330">
        <f t="shared" ref="H1114:I1115" si="264">H1115</f>
        <v>20779</v>
      </c>
      <c r="I1114" s="268">
        <f t="shared" si="264"/>
        <v>205779</v>
      </c>
    </row>
    <row r="1115" spans="1:9" s="130" customFormat="1" ht="31.5" x14ac:dyDescent="0.25">
      <c r="A1115" s="779" t="str">
        <f>IF(B1115&gt;0,VLOOKUP(B1115,КВСР!A404:B1569,2),IF(C1115&gt;0,VLOOKUP(C1115,КФСР!A404:B1916,2),IF(D1115&gt;0,VLOOKUP(D1115,Программа!A$1:B$5124,2),IF(F1115&gt;0,VLOOKUP(F1115,КВР!A$1:B$5001,2),IF(E1115&gt;0,VLOOKUP(E1115,Направление!A$1:B$4812,2))))))</f>
        <v>Расходы на реализацию мероприятий по улучшению условий и охраны труда</v>
      </c>
      <c r="B1115" s="114"/>
      <c r="C1115" s="109"/>
      <c r="D1115" s="110"/>
      <c r="E1115" s="109">
        <v>16150</v>
      </c>
      <c r="F1115" s="111"/>
      <c r="G1115" s="268">
        <v>185000</v>
      </c>
      <c r="H1115" s="330">
        <f t="shared" si="264"/>
        <v>20779</v>
      </c>
      <c r="I1115" s="268">
        <f t="shared" si="264"/>
        <v>205779</v>
      </c>
    </row>
    <row r="1116" spans="1:9" s="130" customFormat="1" ht="47.25" x14ac:dyDescent="0.25">
      <c r="A1116" s="779" t="str">
        <f>IF(B1116&gt;0,VLOOKUP(B1116,КВСР!A405:B1570,2),IF(C1116&gt;0,VLOOKUP(C1116,КФСР!A405:B1917,2),IF(D1116&gt;0,VLOOKUP(D1116,Программа!A$1:B$5124,2),IF(F1116&gt;0,VLOOKUP(F1116,КВР!A$1:B$5001,2),IF(E1116&gt;0,VLOOKUP(E1116,Направление!A$1:B$4812,2))))))</f>
        <v>Предоставление субсидий бюджетным, автономным учреждениям и иным некоммерческим организациям</v>
      </c>
      <c r="B1116" s="114"/>
      <c r="C1116" s="109"/>
      <c r="D1116" s="110"/>
      <c r="E1116" s="109"/>
      <c r="F1116" s="111">
        <v>600</v>
      </c>
      <c r="G1116" s="268">
        <v>185000</v>
      </c>
      <c r="H1116" s="330">
        <v>20779</v>
      </c>
      <c r="I1116" s="117">
        <f t="shared" si="234"/>
        <v>205779</v>
      </c>
    </row>
    <row r="1117" spans="1:9" s="130" customFormat="1" ht="47.25" x14ac:dyDescent="0.25">
      <c r="A1117" s="779" t="str">
        <f>IF(B1117&gt;0,VLOOKUP(B1117,КВСР!A403:B1568,2),IF(C1117&gt;0,VLOOKUP(C1117,КФСР!A403:B1915,2),IF(D1117&gt;0,VLOOKUP(D1117,Программа!A$1:B$5124,2),IF(F1117&gt;0,VLOOKUP(F1117,КВР!A$1:B$5001,2),IF(E1117&gt;0,VLOOKUP(E1117,Направление!A$1:B$4812,2))))))</f>
        <v>Обучение по охране труда работников организаций Тутаевского муниципального района</v>
      </c>
      <c r="B1117" s="114"/>
      <c r="C1117" s="109"/>
      <c r="D1117" s="110" t="s">
        <v>1036</v>
      </c>
      <c r="E1117" s="109"/>
      <c r="F1117" s="111"/>
      <c r="G1117" s="268">
        <v>122000</v>
      </c>
      <c r="H1117" s="330">
        <f>H1118</f>
        <v>5221</v>
      </c>
      <c r="I1117" s="330">
        <f>I1118</f>
        <v>127221</v>
      </c>
    </row>
    <row r="1118" spans="1:9" s="130" customFormat="1" ht="31.5" x14ac:dyDescent="0.25">
      <c r="A1118" s="779" t="str">
        <f>IF(B1118&gt;0,VLOOKUP(B1118,КВСР!A404:B1569,2),IF(C1118&gt;0,VLOOKUP(C1118,КФСР!A404:B1916,2),IF(D1118&gt;0,VLOOKUP(D1118,Программа!A$1:B$5124,2),IF(F1118&gt;0,VLOOKUP(F1118,КВР!A$1:B$5001,2),IF(E1118&gt;0,VLOOKUP(E1118,Направление!A$1:B$4812,2))))))</f>
        <v>Расходы на реализацию мероприятий по улучшению условий и охраны труда</v>
      </c>
      <c r="B1118" s="114"/>
      <c r="C1118" s="109"/>
      <c r="D1118" s="110"/>
      <c r="E1118" s="109">
        <v>16150</v>
      </c>
      <c r="F1118" s="111"/>
      <c r="G1118" s="268">
        <v>122000</v>
      </c>
      <c r="H1118" s="330">
        <f>H1119</f>
        <v>5221</v>
      </c>
      <c r="I1118" s="330">
        <f>I1119</f>
        <v>127221</v>
      </c>
    </row>
    <row r="1119" spans="1:9" s="130" customFormat="1" ht="47.25" x14ac:dyDescent="0.25">
      <c r="A1119" s="779" t="str">
        <f>IF(B1119&gt;0,VLOOKUP(B1119,КВСР!A405:B1570,2),IF(C1119&gt;0,VLOOKUP(C1119,КФСР!A405:B1917,2),IF(D1119&gt;0,VLOOKUP(D1119,Программа!A$1:B$5124,2),IF(F1119&gt;0,VLOOKUP(F1119,КВР!A$1:B$5001,2),IF(E1119&gt;0,VLOOKUP(E1119,Направление!A$1:B$4812,2))))))</f>
        <v>Предоставление субсидий бюджетным, автономным учреждениям и иным некоммерческим организациям</v>
      </c>
      <c r="B1119" s="114"/>
      <c r="C1119" s="109"/>
      <c r="D1119" s="110"/>
      <c r="E1119" s="109"/>
      <c r="F1119" s="111">
        <v>600</v>
      </c>
      <c r="G1119" s="268">
        <v>122000</v>
      </c>
      <c r="H1119" s="330">
        <v>5221</v>
      </c>
      <c r="I1119" s="117">
        <f t="shared" si="234"/>
        <v>127221</v>
      </c>
    </row>
    <row r="1120" spans="1:9" s="130" customFormat="1" ht="31.5" hidden="1" x14ac:dyDescent="0.25">
      <c r="A1120" s="779" t="str">
        <f>IF(B1120&gt;0,VLOOKUP(B1120,КВСР!A401:B1566,2),IF(C1120&gt;0,VLOOKUP(C1120,КФСР!A401:B1913,2),IF(D1120&gt;0,VLOOKUP(D1120,Программа!A$1:B$5124,2),IF(F1120&gt;0,VLOOKUP(F1120,КВР!A$1:B$5001,2),IF(E1120&gt;0,VLOOKUP(E1120,Направление!A$1:B$4812,2))))))</f>
        <v>Муниципальная программа "Доступная среда "</v>
      </c>
      <c r="B1120" s="114"/>
      <c r="C1120" s="109"/>
      <c r="D1120" s="110" t="s">
        <v>508</v>
      </c>
      <c r="E1120" s="109"/>
      <c r="F1120" s="111"/>
      <c r="G1120" s="268">
        <v>0</v>
      </c>
      <c r="H1120" s="330">
        <f t="shared" ref="H1120:H1122" si="265">H1121</f>
        <v>0</v>
      </c>
      <c r="I1120" s="117">
        <f t="shared" si="234"/>
        <v>0</v>
      </c>
    </row>
    <row r="1121" spans="1:9" s="130" customFormat="1" ht="94.5" hidden="1" x14ac:dyDescent="0.25">
      <c r="A1121" s="779" t="str">
        <f>IF(B1121&gt;0,VLOOKUP(B1121,КВСР!A396:B1561,2),IF(C1121&gt;0,VLOOKUP(C1121,КФСР!A396:B1908,2),IF(D1121&gt;0,VLOOKUP(D1121,Программа!A$1:B$5124,2),IF(F1121&gt;0,VLOOKUP(F1121,КВР!A$1:B$5001,2),IF(E1121&gt;0,VLOOKUP(E1121,Направление!A$1:B$4812,2)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21" s="114"/>
      <c r="C1121" s="109"/>
      <c r="D1121" s="110" t="s">
        <v>509</v>
      </c>
      <c r="E1121" s="109"/>
      <c r="F1121" s="111"/>
      <c r="G1121" s="268">
        <v>0</v>
      </c>
      <c r="H1121" s="330">
        <f t="shared" si="265"/>
        <v>0</v>
      </c>
      <c r="I1121" s="117">
        <f t="shared" si="234"/>
        <v>0</v>
      </c>
    </row>
    <row r="1122" spans="1:9" s="130" customFormat="1" ht="47.25" hidden="1" x14ac:dyDescent="0.25">
      <c r="A1122" s="779" t="str">
        <f>IF(B1122&gt;0,VLOOKUP(B1122,КВСР!A397:B1562,2),IF(C1122&gt;0,VLOOKUP(C1122,КФСР!A397:B1909,2),IF(D1122&gt;0,VLOOKUP(D1122,Программа!A$1:B$5124,2),IF(F1122&gt;0,VLOOKUP(F1122,КВР!A$1:B$5001,2),IF(E1122&gt;0,VLOOKUP(E1122,Направление!A$1:B$4812,2))))))</f>
        <v>Расходы на оборудование социально значимых объектов с целью обеспечения доступности для инвалидов</v>
      </c>
      <c r="B1122" s="114"/>
      <c r="C1122" s="109"/>
      <c r="D1122" s="110"/>
      <c r="E1122" s="109">
        <v>16250</v>
      </c>
      <c r="F1122" s="111"/>
      <c r="G1122" s="268">
        <v>0</v>
      </c>
      <c r="H1122" s="330">
        <f t="shared" si="265"/>
        <v>0</v>
      </c>
      <c r="I1122" s="117">
        <f t="shared" si="234"/>
        <v>0</v>
      </c>
    </row>
    <row r="1123" spans="1:9" s="130" customFormat="1" ht="47.25" hidden="1" x14ac:dyDescent="0.25">
      <c r="A1123" s="779" t="str">
        <f>IF(B1123&gt;0,VLOOKUP(B1123,КВСР!A398:B1563,2),IF(C1123&gt;0,VLOOKUP(C1123,КФСР!A398:B1910,2),IF(D1123&gt;0,VLOOKUP(D1123,Программа!A$1:B$5124,2),IF(F1123&gt;0,VLOOKUP(F1123,КВР!A$1:B$5001,2),IF(E1123&gt;0,VLOOKUP(E1123,Направление!A$1:B$4812,2))))))</f>
        <v>Предоставление субсидий бюджетным, автономным учреждениям и иным некоммерческим организациям</v>
      </c>
      <c r="B1123" s="114"/>
      <c r="C1123" s="109"/>
      <c r="D1123" s="111"/>
      <c r="E1123" s="109"/>
      <c r="F1123" s="111">
        <v>600</v>
      </c>
      <c r="G1123" s="268">
        <v>0</v>
      </c>
      <c r="H1123" s="330"/>
      <c r="I1123" s="117">
        <f t="shared" si="234"/>
        <v>0</v>
      </c>
    </row>
    <row r="1124" spans="1:9" s="130" customFormat="1" ht="31.5" x14ac:dyDescent="0.25">
      <c r="A1124" s="779" t="str">
        <f>IF(B1124&gt;0,VLOOKUP(B1124,КВСР!A402:B1567,2),IF(C1124&gt;0,VLOOKUP(C1124,КФСР!A402:B1914,2),IF(D1124&gt;0,VLOOKUP(D1124,Программа!A$1:B$5124,2),IF(F1124&gt;0,VLOOKUP(F1124,КВР!A$1:B$5001,2),IF(E1124&gt;0,VLOOKUP(E1124,Направление!A$1:B$4812,2))))))</f>
        <v>Другие вопросы в области культуры, кинематографии</v>
      </c>
      <c r="B1124" s="114"/>
      <c r="C1124" s="109">
        <v>804</v>
      </c>
      <c r="D1124" s="110"/>
      <c r="E1124" s="109"/>
      <c r="F1124" s="111"/>
      <c r="G1124" s="268">
        <v>34188071</v>
      </c>
      <c r="H1124" s="330">
        <f>H1125+H1157+H1139+H1144+H1149+H1153</f>
        <v>1558780</v>
      </c>
      <c r="I1124" s="330">
        <f>I1125+I1157+I1139+I1144+I1149+I1153</f>
        <v>35746851</v>
      </c>
    </row>
    <row r="1125" spans="1:9" s="130" customFormat="1" ht="63" x14ac:dyDescent="0.25">
      <c r="A1125" s="779" t="str">
        <f>IF(B1125&gt;0,VLOOKUP(B1125,КВСР!A403:B1568,2),IF(C1125&gt;0,VLOOKUP(C1125,КФСР!A403:B1915,2),IF(D1125&gt;0,VLOOKUP(D1125,Программа!A$1:B$5124,2),IF(F1125&gt;0,VLOOKUP(F1125,КВР!A$1:B$5001,2),IF(E1125&gt;0,VLOOKUP(E1125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125" s="114"/>
      <c r="C1125" s="109"/>
      <c r="D1125" s="110" t="s">
        <v>396</v>
      </c>
      <c r="E1125" s="109"/>
      <c r="F1125" s="111"/>
      <c r="G1125" s="268">
        <v>34018811</v>
      </c>
      <c r="H1125" s="330">
        <f>H1126</f>
        <v>1558780</v>
      </c>
      <c r="I1125" s="330">
        <f>I1126</f>
        <v>35577591</v>
      </c>
    </row>
    <row r="1126" spans="1:9" s="130" customFormat="1" ht="47.25" x14ac:dyDescent="0.25">
      <c r="A1126" s="779" t="str">
        <f>IF(B1126&gt;0,VLOOKUP(B1126,КВСР!A404:B1569,2),IF(C1126&gt;0,VLOOKUP(C1126,КФСР!A404:B1916,2),IF(D1126&gt;0,VLOOKUP(D1126,Программа!A$1:B$5124,2),IF(F1126&gt;0,VLOOKUP(F1126,КВР!A$1:B$5001,2),IF(E1126&gt;0,VLOOKUP(E1126,Направление!A$1:B$4812,2))))))</f>
        <v>Ведомственная целевая программа «Сохранение и развитие культуры Тутаевского муниципального района»</v>
      </c>
      <c r="B1126" s="114"/>
      <c r="C1126" s="109"/>
      <c r="D1126" s="110" t="s">
        <v>494</v>
      </c>
      <c r="E1126" s="109"/>
      <c r="F1126" s="111"/>
      <c r="G1126" s="268">
        <v>34018811</v>
      </c>
      <c r="H1126" s="330">
        <f>H1127</f>
        <v>1558780</v>
      </c>
      <c r="I1126" s="330">
        <f>I1127</f>
        <v>35577591</v>
      </c>
    </row>
    <row r="1127" spans="1:9" s="130" customFormat="1" ht="31.5" x14ac:dyDescent="0.25">
      <c r="A1127" s="779" t="str">
        <f>IF(B1127&gt;0,VLOOKUP(B1127,КВСР!A405:B1570,2),IF(C1127&gt;0,VLOOKUP(C1127,КФСР!A405:B1917,2),IF(D1127&gt;0,VLOOKUP(D1127,Программа!A$1:B$5124,2),IF(F1127&gt;0,VLOOKUP(F1127,КВР!A$1:B$5001,2),IF(E1127&gt;0,VLOOKUP(E1127,Направление!A$1:B$4812,2))))))</f>
        <v>Обеспечение эффективности управления системой культуры</v>
      </c>
      <c r="B1127" s="114"/>
      <c r="C1127" s="109"/>
      <c r="D1127" s="110" t="s">
        <v>520</v>
      </c>
      <c r="E1127" s="109"/>
      <c r="F1127" s="111"/>
      <c r="G1127" s="268">
        <v>34018811</v>
      </c>
      <c r="H1127" s="330">
        <f>H1128+H1132+H1136</f>
        <v>1558780</v>
      </c>
      <c r="I1127" s="330">
        <f>I1128+I1132+I1136</f>
        <v>35577591</v>
      </c>
    </row>
    <row r="1128" spans="1:9" s="130" customFormat="1" x14ac:dyDescent="0.25">
      <c r="A1128" s="779" t="str">
        <f>IF(B1128&gt;0,VLOOKUP(B1128,КВСР!A405:B1570,2),IF(C1128&gt;0,VLOOKUP(C1128,КФСР!A405:B1917,2),IF(D1128&gt;0,VLOOKUP(D1128,Программа!A$1:B$5124,2),IF(F1128&gt;0,VLOOKUP(F1128,КВР!A$1:B$5001,2),IF(E1128&gt;0,VLOOKUP(E1128,Направление!A$1:B$4812,2))))))</f>
        <v>Содержание центрального аппарата</v>
      </c>
      <c r="B1128" s="114"/>
      <c r="C1128" s="109"/>
      <c r="D1128" s="110"/>
      <c r="E1128" s="109">
        <v>12010</v>
      </c>
      <c r="F1128" s="111"/>
      <c r="G1128" s="286">
        <v>4393851</v>
      </c>
      <c r="H1128" s="275">
        <f>H1129+H1130+H1131</f>
        <v>0</v>
      </c>
      <c r="I1128" s="275">
        <f>I1129+I1130+I1131</f>
        <v>4393851</v>
      </c>
    </row>
    <row r="1129" spans="1:9" s="130" customFormat="1" ht="110.25" x14ac:dyDescent="0.25">
      <c r="A1129" s="779" t="str">
        <f>IF(B1129&gt;0,VLOOKUP(B1129,КВСР!A406:B1571,2),IF(C1129&gt;0,VLOOKUP(C1129,КФСР!A406:B1918,2),IF(D1129&gt;0,VLOOKUP(D1129,Программа!A$1:B$5124,2),IF(F1129&gt;0,VLOOKUP(F1129,КВР!A$1:B$5001,2),IF(E1129&gt;0,VLOOKUP(E1129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9" s="114"/>
      <c r="C1129" s="109"/>
      <c r="D1129" s="111"/>
      <c r="E1129" s="109"/>
      <c r="F1129" s="111">
        <v>100</v>
      </c>
      <c r="G1129" s="286">
        <v>4096960</v>
      </c>
      <c r="H1129" s="275"/>
      <c r="I1129" s="117">
        <f t="shared" si="234"/>
        <v>4096960</v>
      </c>
    </row>
    <row r="1130" spans="1:9" s="130" customFormat="1" ht="63" x14ac:dyDescent="0.25">
      <c r="A1130" s="779" t="str">
        <f>IF(B1130&gt;0,VLOOKUP(B1130,КВСР!A407:B1572,2),IF(C1130&gt;0,VLOOKUP(C1130,КФСР!A407:B1919,2),IF(D1130&gt;0,VLOOKUP(D1130,Программа!A$1:B$5124,2),IF(F1130&gt;0,VLOOKUP(F1130,КВР!A$1:B$5001,2),IF(E1130&gt;0,VLOOKUP(E1130,Направление!A$1:B$4812,2))))))</f>
        <v xml:space="preserve">Закупка товаров, работ и услуг для обеспечения государственных (муниципальных) нужд
</v>
      </c>
      <c r="B1130" s="114"/>
      <c r="C1130" s="109"/>
      <c r="D1130" s="111"/>
      <c r="E1130" s="109"/>
      <c r="F1130" s="111">
        <v>200</v>
      </c>
      <c r="G1130" s="286">
        <v>253891</v>
      </c>
      <c r="H1130" s="275"/>
      <c r="I1130" s="117">
        <f t="shared" si="234"/>
        <v>253891</v>
      </c>
    </row>
    <row r="1131" spans="1:9" s="130" customFormat="1" x14ac:dyDescent="0.25">
      <c r="A1131" s="779" t="str">
        <f>IF(B1131&gt;0,VLOOKUP(B1131,КВСР!A408:B1573,2),IF(C1131&gt;0,VLOOKUP(C1131,КФСР!A408:B1920,2),IF(D1131&gt;0,VLOOKUP(D1131,Программа!A$1:B$5124,2),IF(F1131&gt;0,VLOOKUP(F1131,КВР!A$1:B$5001,2),IF(E1131&gt;0,VLOOKUP(E1131,Направление!A$1:B$4812,2))))))</f>
        <v>Иные бюджетные ассигнования</v>
      </c>
      <c r="B1131" s="114"/>
      <c r="C1131" s="109"/>
      <c r="D1131" s="111"/>
      <c r="E1131" s="109"/>
      <c r="F1131" s="111">
        <v>800</v>
      </c>
      <c r="G1131" s="286">
        <v>43000</v>
      </c>
      <c r="H1131" s="275"/>
      <c r="I1131" s="117">
        <f t="shared" si="234"/>
        <v>43000</v>
      </c>
    </row>
    <row r="1132" spans="1:9" s="130" customFormat="1" ht="31.5" x14ac:dyDescent="0.25">
      <c r="A1132" s="779" t="str">
        <f>IF(B1132&gt;0,VLOOKUP(B1132,КВСР!A409:B1574,2),IF(C1132&gt;0,VLOOKUP(C1132,КФСР!A409:B1921,2),IF(D1132&gt;0,VLOOKUP(D1132,Программа!A$1:B$5124,2),IF(F1132&gt;0,VLOOKUP(F1132,КВР!A$1:B$5001,2),IF(E1132&gt;0,VLOOKUP(E1132,Направление!A$1:B$4812,2))))))</f>
        <v>Обеспечение деятельности прочих учреждений в сфере культуры</v>
      </c>
      <c r="B1132" s="114"/>
      <c r="C1132" s="109"/>
      <c r="D1132" s="110"/>
      <c r="E1132" s="109">
        <v>15210</v>
      </c>
      <c r="F1132" s="111"/>
      <c r="G1132" s="286">
        <v>29624960</v>
      </c>
      <c r="H1132" s="275">
        <f>H1133+H1134+H1135</f>
        <v>0</v>
      </c>
      <c r="I1132" s="275">
        <f>I1133+I1134+I1135</f>
        <v>29624960</v>
      </c>
    </row>
    <row r="1133" spans="1:9" s="130" customFormat="1" ht="110.25" x14ac:dyDescent="0.25">
      <c r="A1133" s="779" t="str">
        <f>IF(B1133&gt;0,VLOOKUP(B1133,КВСР!A410:B1575,2),IF(C1133&gt;0,VLOOKUP(C1133,КФСР!A410:B1922,2),IF(D1133&gt;0,VLOOKUP(D1133,Программа!A$1:B$5124,2),IF(F1133&gt;0,VLOOKUP(F1133,КВР!A$1:B$5001,2),IF(E1133&gt;0,VLOOKUP(E1133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3" s="114"/>
      <c r="C1133" s="109"/>
      <c r="D1133" s="111"/>
      <c r="E1133" s="109"/>
      <c r="F1133" s="111">
        <v>100</v>
      </c>
      <c r="G1133" s="268">
        <v>29031700</v>
      </c>
      <c r="H1133" s="330"/>
      <c r="I1133" s="117">
        <f t="shared" si="234"/>
        <v>29031700</v>
      </c>
    </row>
    <row r="1134" spans="1:9" s="130" customFormat="1" ht="63" x14ac:dyDescent="0.25">
      <c r="A1134" s="779" t="str">
        <f>IF(B1134&gt;0,VLOOKUP(B1134,КВСР!A411:B1576,2),IF(C1134&gt;0,VLOOKUP(C1134,КФСР!A411:B1923,2),IF(D1134&gt;0,VLOOKUP(D1134,Программа!A$1:B$5124,2),IF(F1134&gt;0,VLOOKUP(F1134,КВР!A$1:B$5001,2),IF(E1134&gt;0,VLOOKUP(E1134,Направление!A$1:B$4812,2))))))</f>
        <v xml:space="preserve">Закупка товаров, работ и услуг для обеспечения государственных (муниципальных) нужд
</v>
      </c>
      <c r="B1134" s="114"/>
      <c r="C1134" s="109"/>
      <c r="D1134" s="111"/>
      <c r="E1134" s="109"/>
      <c r="F1134" s="111">
        <v>200</v>
      </c>
      <c r="G1134" s="268">
        <v>565260</v>
      </c>
      <c r="H1134" s="330"/>
      <c r="I1134" s="117">
        <f t="shared" si="234"/>
        <v>565260</v>
      </c>
    </row>
    <row r="1135" spans="1:9" s="130" customFormat="1" x14ac:dyDescent="0.25">
      <c r="A1135" s="779" t="str">
        <f>IF(B1135&gt;0,VLOOKUP(B1135,КВСР!A412:B1577,2),IF(C1135&gt;0,VLOOKUP(C1135,КФСР!A412:B1924,2),IF(D1135&gt;0,VLOOKUP(D1135,Программа!A$1:B$5124,2),IF(F1135&gt;0,VLOOKUP(F1135,КВР!A$1:B$5001,2),IF(E1135&gt;0,VLOOKUP(E1135,Направление!A$1:B$4812,2))))))</f>
        <v>Иные бюджетные ассигнования</v>
      </c>
      <c r="B1135" s="114"/>
      <c r="C1135" s="109"/>
      <c r="D1135" s="111"/>
      <c r="E1135" s="109"/>
      <c r="F1135" s="111">
        <v>800</v>
      </c>
      <c r="G1135" s="268">
        <v>28000</v>
      </c>
      <c r="H1135" s="330"/>
      <c r="I1135" s="117">
        <f t="shared" ref="I1135:I1160" si="266">SUM(G1135:H1135)</f>
        <v>28000</v>
      </c>
    </row>
    <row r="1136" spans="1:9" s="130" customFormat="1" x14ac:dyDescent="0.25">
      <c r="A1136" s="779" t="str">
        <f>IF(B1136&gt;0,VLOOKUP(B1136,КВСР!A412:B1577,2),IF(C1136&gt;0,VLOOKUP(C1136,КФСР!A412:B1924,2),IF(D1136&gt;0,VLOOKUP(D1136,Программа!A$1:B$5124,2),IF(F1136&gt;0,VLOOKUP(F1136,КВР!A$1:B$5001,2),IF(E1136&gt;0,VLOOKUP(E1136,Направление!A$1:B$4812,2))))))</f>
        <v>Мероприятия в сфере культуры</v>
      </c>
      <c r="B1136" s="114"/>
      <c r="C1136" s="109"/>
      <c r="D1136" s="110"/>
      <c r="E1136" s="109">
        <v>15220</v>
      </c>
      <c r="F1136" s="111"/>
      <c r="G1136" s="268">
        <v>0</v>
      </c>
      <c r="H1136" s="330">
        <f>H1137+H1138</f>
        <v>1558780</v>
      </c>
      <c r="I1136" s="117">
        <f t="shared" si="266"/>
        <v>1558780</v>
      </c>
    </row>
    <row r="1137" spans="1:9" s="130" customFormat="1" ht="110.25" hidden="1" x14ac:dyDescent="0.25">
      <c r="A1137" s="779" t="str">
        <f>IF(B1137&gt;0,VLOOKUP(B1137,КВСР!A413:B1578,2),IF(C1137&gt;0,VLOOKUP(C1137,КФСР!A413:B1925,2),IF(D1137&gt;0,VLOOKUP(D1137,Программа!A$1:B$5124,2),IF(F1137&gt;0,VLOOKUP(F1137,КВР!A$1:B$5001,2),IF(E1137&gt;0,VLOOKUP(E1137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7" s="114"/>
      <c r="C1137" s="109"/>
      <c r="D1137" s="111"/>
      <c r="E1137" s="109"/>
      <c r="F1137" s="111">
        <v>100</v>
      </c>
      <c r="G1137" s="268">
        <v>0</v>
      </c>
      <c r="H1137" s="330"/>
      <c r="I1137" s="117">
        <f t="shared" si="266"/>
        <v>0</v>
      </c>
    </row>
    <row r="1138" spans="1:9" s="130" customFormat="1" ht="63" x14ac:dyDescent="0.25">
      <c r="A1138" s="779" t="str">
        <f>IF(B1138&gt;0,VLOOKUP(B1138,КВСР!A414:B1579,2),IF(C1138&gt;0,VLOOKUP(C1138,КФСР!A414:B1926,2),IF(D1138&gt;0,VLOOKUP(D1138,Программа!A$1:B$5124,2),IF(F1138&gt;0,VLOOKUP(F1138,КВР!A$1:B$5001,2),IF(E1138&gt;0,VLOOKUP(E1138,Направление!A$1:B$4812,2))))))</f>
        <v xml:space="preserve">Закупка товаров, работ и услуг для обеспечения государственных (муниципальных) нужд
</v>
      </c>
      <c r="B1138" s="114"/>
      <c r="C1138" s="109"/>
      <c r="D1138" s="111"/>
      <c r="E1138" s="109"/>
      <c r="F1138" s="111">
        <v>200</v>
      </c>
      <c r="G1138" s="268">
        <v>0</v>
      </c>
      <c r="H1138" s="330">
        <v>1558780</v>
      </c>
      <c r="I1138" s="117">
        <f t="shared" si="266"/>
        <v>1558780</v>
      </c>
    </row>
    <row r="1139" spans="1:9" s="130" customFormat="1" ht="63" hidden="1" x14ac:dyDescent="0.25">
      <c r="A1139" s="779" t="str">
        <f>IF(B1139&gt;0,VLOOKUP(B1139,КВСР!A415:B1580,2),IF(C1139&gt;0,VLOOKUP(C1139,КФСР!A415:B1927,2),IF(D1139&gt;0,VLOOKUP(D1139,Программа!A$1:B$5124,2),IF(F1139&gt;0,VLOOKUP(F1139,КВР!A$1:B$5001,2),IF(E1139&gt;0,VLOOKUP(E1139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1139" s="114"/>
      <c r="C1139" s="109"/>
      <c r="D1139" s="110" t="s">
        <v>367</v>
      </c>
      <c r="E1139" s="109"/>
      <c r="F1139" s="111"/>
      <c r="G1139" s="268">
        <v>0</v>
      </c>
      <c r="H1139" s="330">
        <f t="shared" ref="H1139:H1142" si="267">H1140</f>
        <v>0</v>
      </c>
      <c r="I1139" s="117">
        <f t="shared" si="266"/>
        <v>0</v>
      </c>
    </row>
    <row r="1140" spans="1:9" s="130" customFormat="1" ht="63" hidden="1" x14ac:dyDescent="0.25">
      <c r="A1140" s="779" t="str">
        <f>IF(B1140&gt;0,VLOOKUP(B1140,КВСР!A416:B1581,2),IF(C1140&gt;0,VLOOKUP(C1140,КФСР!A416:B1928,2),IF(D1140&gt;0,VLOOKUP(D1140,Программа!A$1:B$5124,2),IF(F1140&gt;0,VLOOKUP(F1140,КВР!A$1:B$5001,2),IF(E1140&gt;0,VLOOKUP(E1140,Направление!A$1:B$4812,2)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40" s="114"/>
      <c r="C1140" s="109"/>
      <c r="D1140" s="110" t="s">
        <v>418</v>
      </c>
      <c r="E1140" s="109"/>
      <c r="F1140" s="111"/>
      <c r="G1140" s="268">
        <v>0</v>
      </c>
      <c r="H1140" s="330">
        <f t="shared" si="267"/>
        <v>0</v>
      </c>
      <c r="I1140" s="117">
        <f t="shared" si="266"/>
        <v>0</v>
      </c>
    </row>
    <row r="1141" spans="1:9" s="130" customFormat="1" ht="47.25" hidden="1" x14ac:dyDescent="0.25">
      <c r="A1141" s="779" t="str">
        <f>IF(B1141&gt;0,VLOOKUP(B1141,КВСР!A417:B1582,2),IF(C1141&gt;0,VLOOKUP(C1141,КФСР!A417:B1929,2),IF(D1141&gt;0,VLOOKUP(D1141,Программа!A$1:B$5124,2),IF(F1141&gt;0,VLOOKUP(F1141,КВР!A$1:B$5001,2),IF(E1141&gt;0,VLOOKUP(E1141,Направление!A$1:B$4812,2))))))</f>
        <v>Реализация мер по созданию целостной системы духовно-нравственного воспитания и просвещения населения</v>
      </c>
      <c r="B1141" s="114"/>
      <c r="C1141" s="109"/>
      <c r="D1141" s="110" t="s">
        <v>420</v>
      </c>
      <c r="E1141" s="109"/>
      <c r="F1141" s="111"/>
      <c r="G1141" s="268">
        <v>0</v>
      </c>
      <c r="H1141" s="330">
        <f t="shared" si="267"/>
        <v>0</v>
      </c>
      <c r="I1141" s="117">
        <f t="shared" si="266"/>
        <v>0</v>
      </c>
    </row>
    <row r="1142" spans="1:9" s="130" customFormat="1" ht="47.25" hidden="1" x14ac:dyDescent="0.25">
      <c r="A1142" s="779" t="str">
        <f>IF(B1142&gt;0,VLOOKUP(B1142,КВСР!A418:B1583,2),IF(C1142&gt;0,VLOOKUP(C1142,КФСР!A418:B1930,2),IF(D1142&gt;0,VLOOKUP(D1142,Программа!A$1:B$5124,2),IF(F1142&gt;0,VLOOKUP(F1142,КВР!A$1:B$5001,2),IF(E1142&gt;0,VLOOKUP(E1142,Направление!A$1:B$4812,2))))))</f>
        <v>Расходы на реализацию МЦП "Духовно - нравственное воспитание и просвещение населения ТМР"</v>
      </c>
      <c r="B1142" s="114"/>
      <c r="C1142" s="109"/>
      <c r="D1142" s="110"/>
      <c r="E1142" s="109">
        <v>13810</v>
      </c>
      <c r="F1142" s="111"/>
      <c r="G1142" s="268">
        <v>0</v>
      </c>
      <c r="H1142" s="330">
        <f t="shared" si="267"/>
        <v>0</v>
      </c>
      <c r="I1142" s="117">
        <f t="shared" si="266"/>
        <v>0</v>
      </c>
    </row>
    <row r="1143" spans="1:9" s="130" customFormat="1" ht="63" hidden="1" x14ac:dyDescent="0.25">
      <c r="A1143" s="779" t="str">
        <f>IF(B1143&gt;0,VLOOKUP(B1143,КВСР!A418:B1583,2),IF(C1143&gt;0,VLOOKUP(C1143,КФСР!A418:B1930,2),IF(D1143&gt;0,VLOOKUP(D1143,Программа!A$1:B$5124,2),IF(F1143&gt;0,VLOOKUP(F1143,КВР!A$1:B$5001,2),IF(E1143&gt;0,VLOOKUP(E1143,Направление!A$1:B$4812,2))))))</f>
        <v xml:space="preserve">Закупка товаров, работ и услуг для обеспечения государственных (муниципальных) нужд
</v>
      </c>
      <c r="B1143" s="114"/>
      <c r="C1143" s="109"/>
      <c r="D1143" s="111"/>
      <c r="E1143" s="109"/>
      <c r="F1143" s="111">
        <v>200</v>
      </c>
      <c r="G1143" s="268">
        <v>0</v>
      </c>
      <c r="H1143" s="330"/>
      <c r="I1143" s="117">
        <f t="shared" si="266"/>
        <v>0</v>
      </c>
    </row>
    <row r="1144" spans="1:9" s="130" customFormat="1" ht="47.25" hidden="1" x14ac:dyDescent="0.25">
      <c r="A1144" s="779" t="str">
        <f>IF(B1144&gt;0,VLOOKUP(B1144,КВСР!A419:B1584,2),IF(C1144&gt;0,VLOOKUP(C1144,КФСР!A419:B1931,2),IF(D1144&gt;0,VLOOKUP(D1144,Программа!A$1:B$5124,2),IF(F1144&gt;0,VLOOKUP(F1144,КВР!A$1:B$5001,2),IF(E1144&gt;0,VLOOKUP(E1144,Направление!A$1:B$4812,2))))))</f>
        <v>Муниципальная программа "Социальная поддержка населения Тутаевского муниципального района"</v>
      </c>
      <c r="B1144" s="114"/>
      <c r="C1144" s="109"/>
      <c r="D1144" s="110" t="s">
        <v>376</v>
      </c>
      <c r="E1144" s="109"/>
      <c r="F1144" s="111"/>
      <c r="G1144" s="268">
        <v>0</v>
      </c>
      <c r="H1144" s="330">
        <f t="shared" ref="H1144:H1147" si="268">H1145</f>
        <v>0</v>
      </c>
      <c r="I1144" s="117">
        <f t="shared" si="266"/>
        <v>0</v>
      </c>
    </row>
    <row r="1145" spans="1:9" s="130" customFormat="1" ht="47.25" hidden="1" x14ac:dyDescent="0.25">
      <c r="A1145" s="779" t="str">
        <f>IF(B1145&gt;0,VLOOKUP(B1145,КВСР!A420:B1585,2),IF(C1145&gt;0,VLOOKUP(C1145,КФСР!A420:B1932,2),IF(D1145&gt;0,VLOOKUP(D1145,Программа!A$1:B$5124,2),IF(F1145&gt;0,VLOOKUP(F1145,КВР!A$1:B$5001,2),IF(E1145&gt;0,VLOOKUP(E1145,Направление!A$1:B$4812,2))))))</f>
        <v>Муниципальная целевая программа "Улучшение условий и охраны труда" по Тутаевскому муниципальному району</v>
      </c>
      <c r="B1145" s="114"/>
      <c r="C1145" s="109"/>
      <c r="D1145" s="110" t="s">
        <v>378</v>
      </c>
      <c r="E1145" s="109"/>
      <c r="F1145" s="111"/>
      <c r="G1145" s="268">
        <v>0</v>
      </c>
      <c r="H1145" s="330">
        <f t="shared" si="268"/>
        <v>0</v>
      </c>
      <c r="I1145" s="117">
        <f t="shared" si="266"/>
        <v>0</v>
      </c>
    </row>
    <row r="1146" spans="1:9" s="130" customFormat="1" ht="47.25" hidden="1" x14ac:dyDescent="0.25">
      <c r="A1146" s="779" t="str">
        <f>IF(B1146&gt;0,VLOOKUP(B1146,КВСР!A421:B1586,2),IF(C1146&gt;0,VLOOKUP(C1146,КФСР!A421:B1933,2),IF(D1146&gt;0,VLOOKUP(D1146,Программа!A$1:B$5124,2),IF(F1146&gt;0,VLOOKUP(F1146,КВР!A$1:B$5001,2),IF(E1146&gt;0,VLOOKUP(E1146,Направление!A$1:B$4812,2))))))</f>
        <v>Обучение по охране труда работников организаций Тутаевского муниципального района</v>
      </c>
      <c r="B1146" s="114"/>
      <c r="C1146" s="109"/>
      <c r="D1146" s="110" t="s">
        <v>1036</v>
      </c>
      <c r="E1146" s="109"/>
      <c r="F1146" s="111"/>
      <c r="G1146" s="268">
        <v>0</v>
      </c>
      <c r="H1146" s="330">
        <f t="shared" si="268"/>
        <v>0</v>
      </c>
      <c r="I1146" s="117">
        <f t="shared" si="266"/>
        <v>0</v>
      </c>
    </row>
    <row r="1147" spans="1:9" s="130" customFormat="1" ht="31.5" hidden="1" x14ac:dyDescent="0.25">
      <c r="A1147" s="779" t="str">
        <f>IF(B1147&gt;0,VLOOKUP(B1147,КВСР!A422:B1587,2),IF(C1147&gt;0,VLOOKUP(C1147,КФСР!A422:B1934,2),IF(D1147&gt;0,VLOOKUP(D1147,Программа!A$1:B$5124,2),IF(F1147&gt;0,VLOOKUP(F1147,КВР!A$1:B$5001,2),IF(E1147&gt;0,VLOOKUP(E1147,Направление!A$1:B$4812,2))))))</f>
        <v>Расходы на реализацию мероприятий по улучшению условий и охраны труда</v>
      </c>
      <c r="B1147" s="114"/>
      <c r="C1147" s="109"/>
      <c r="D1147" s="110"/>
      <c r="E1147" s="109">
        <v>16150</v>
      </c>
      <c r="F1147" s="111"/>
      <c r="G1147" s="268">
        <v>0</v>
      </c>
      <c r="H1147" s="330">
        <f t="shared" si="268"/>
        <v>0</v>
      </c>
      <c r="I1147" s="117">
        <f t="shared" si="266"/>
        <v>0</v>
      </c>
    </row>
    <row r="1148" spans="1:9" s="130" customFormat="1" ht="47.25" hidden="1" x14ac:dyDescent="0.25">
      <c r="A1148" s="779" t="str">
        <f>IF(B1148&gt;0,VLOOKUP(B1148,КВСР!A423:B1588,2),IF(C1148&gt;0,VLOOKUP(C1148,КФСР!A423:B1935,2),IF(D1148&gt;0,VLOOKUP(D1148,Программа!A$1:B$5124,2),IF(F1148&gt;0,VLOOKUP(F1148,КВР!A$1:B$5001,2),IF(E1148&gt;0,VLOOKUP(E1148,Направление!A$1:B$4812,2))))))</f>
        <v>Предоставление субсидий бюджетным, автономным учреждениям и иным некоммерческим организациям</v>
      </c>
      <c r="B1148" s="114"/>
      <c r="C1148" s="109"/>
      <c r="D1148" s="110"/>
      <c r="E1148" s="109"/>
      <c r="F1148" s="111">
        <v>600</v>
      </c>
      <c r="G1148" s="268">
        <v>0</v>
      </c>
      <c r="H1148" s="330"/>
      <c r="I1148" s="117">
        <f t="shared" si="266"/>
        <v>0</v>
      </c>
    </row>
    <row r="1149" spans="1:9" s="130" customFormat="1" ht="94.5" hidden="1" x14ac:dyDescent="0.25">
      <c r="A1149" s="779" t="str">
        <f>IF(B1149&gt;0,VLOOKUP(B1149,КВСР!A424:B1589,2),IF(C1149&gt;0,VLOOKUP(C1149,КФСР!A424:B1936,2),IF(D1149&gt;0,VLOOKUP(D1149,Программа!A$1:B$5124,2),IF(F1149&gt;0,VLOOKUP(F1149,КВР!A$1:B$5001,2),IF(E1149&gt;0,VLOOKUP(E1149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49" s="114"/>
      <c r="C1149" s="109"/>
      <c r="D1149" s="110" t="s">
        <v>322</v>
      </c>
      <c r="E1149" s="109"/>
      <c r="F1149" s="111"/>
      <c r="G1149" s="268">
        <v>0</v>
      </c>
      <c r="H1149" s="330">
        <f t="shared" ref="H1149:H1151" si="269">H1150</f>
        <v>0</v>
      </c>
      <c r="I1149" s="117">
        <f t="shared" si="266"/>
        <v>0</v>
      </c>
    </row>
    <row r="1150" spans="1:9" s="130" customFormat="1" ht="78.75" hidden="1" x14ac:dyDescent="0.25">
      <c r="A1150" s="779" t="str">
        <f>IF(B1150&gt;0,VLOOKUP(B1150,КВСР!A425:B1590,2),IF(C1150&gt;0,VLOOKUP(C1150,КФСР!A425:B1937,2),IF(D1150&gt;0,VLOOKUP(D1150,Программа!A$1:B$5124,2),IF(F1150&gt;0,VLOOKUP(F1150,КВР!A$1:B$5001,2),IF(E1150&gt;0,VLOOKUP(E1150,Направление!A$1:B$4812,2)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150" s="114"/>
      <c r="C1150" s="109"/>
      <c r="D1150" s="110" t="s">
        <v>323</v>
      </c>
      <c r="E1150" s="109"/>
      <c r="F1150" s="111"/>
      <c r="G1150" s="268">
        <v>0</v>
      </c>
      <c r="H1150" s="330">
        <f t="shared" si="269"/>
        <v>0</v>
      </c>
      <c r="I1150" s="117">
        <f t="shared" si="266"/>
        <v>0</v>
      </c>
    </row>
    <row r="1151" spans="1:9" s="130" customFormat="1" ht="31.5" hidden="1" x14ac:dyDescent="0.25">
      <c r="A1151" s="779" t="str">
        <f>IF(B1151&gt;0,VLOOKUP(B1151,КВСР!A426:B1591,2),IF(C1151&gt;0,VLOOKUP(C1151,КФСР!A426:B1938,2),IF(D1151&gt;0,VLOOKUP(D1151,Программа!A$1:B$5124,2),IF(F1151&gt;0,VLOOKUP(F1151,КВР!A$1:B$5001,2),IF(E1151&gt;0,VLOOKUP(E1151,Направление!A$1:B$4812,2))))))</f>
        <v>Расходы на развитие муниципальной службы</v>
      </c>
      <c r="B1151" s="114"/>
      <c r="C1151" s="109"/>
      <c r="D1151" s="110"/>
      <c r="E1151" s="109">
        <v>12200</v>
      </c>
      <c r="F1151" s="111"/>
      <c r="G1151" s="268">
        <v>0</v>
      </c>
      <c r="H1151" s="330">
        <f t="shared" si="269"/>
        <v>0</v>
      </c>
      <c r="I1151" s="117">
        <f t="shared" si="266"/>
        <v>0</v>
      </c>
    </row>
    <row r="1152" spans="1:9" s="130" customFormat="1" ht="63" hidden="1" x14ac:dyDescent="0.25">
      <c r="A1152" s="779" t="str">
        <f>IF(B1152&gt;0,VLOOKUP(B1152,КВСР!A427:B1592,2),IF(C1152&gt;0,VLOOKUP(C1152,КФСР!A427:B1939,2),IF(D1152&gt;0,VLOOKUP(D1152,Программа!A$1:B$5124,2),IF(F1152&gt;0,VLOOKUP(F1152,КВР!A$1:B$5001,2),IF(E1152&gt;0,VLOOKUP(E1152,Направление!A$1:B$4812,2))))))</f>
        <v xml:space="preserve">Закупка товаров, работ и услуг для обеспечения государственных (муниципальных) нужд
</v>
      </c>
      <c r="B1152" s="114"/>
      <c r="C1152" s="109"/>
      <c r="D1152" s="110"/>
      <c r="E1152" s="109"/>
      <c r="F1152" s="111">
        <v>200</v>
      </c>
      <c r="G1152" s="268">
        <v>0</v>
      </c>
      <c r="H1152" s="330"/>
      <c r="I1152" s="117">
        <f t="shared" si="266"/>
        <v>0</v>
      </c>
    </row>
    <row r="1153" spans="1:9" s="130" customFormat="1" ht="63" hidden="1" x14ac:dyDescent="0.25">
      <c r="A1153" s="779" t="str">
        <f>IF(B1153&gt;0,VLOOKUP(B1153,КВСР!A428:B1593,2),IF(C1153&gt;0,VLOOKUP(C1153,КФСР!A428:B1940,2),IF(D1153&gt;0,VLOOKUP(D1153,Программа!A$1:B$5124,2),IF(F1153&gt;0,VLOOKUP(F1153,КВР!A$1:B$5001,2),IF(E1153&gt;0,VLOOKUP(E1153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1153" s="114"/>
      <c r="C1153" s="109"/>
      <c r="D1153" s="110" t="s">
        <v>326</v>
      </c>
      <c r="E1153" s="109"/>
      <c r="F1153" s="111"/>
      <c r="G1153" s="268">
        <v>0</v>
      </c>
      <c r="H1153" s="330">
        <f t="shared" ref="H1153:H1155" si="270">H1154</f>
        <v>0</v>
      </c>
      <c r="I1153" s="117">
        <f t="shared" si="266"/>
        <v>0</v>
      </c>
    </row>
    <row r="1154" spans="1:9" s="130" customFormat="1" ht="31.5" hidden="1" x14ac:dyDescent="0.25">
      <c r="A1154" s="779" t="str">
        <f>IF(B1154&gt;0,VLOOKUP(B1154,КВСР!A429:B1594,2),IF(C1154&gt;0,VLOOKUP(C1154,КФСР!A429:B1941,2),IF(D1154&gt;0,VLOOKUP(D1154,Программа!A$1:B$5124,2),IF(F1154&gt;0,VLOOKUP(F1154,КВР!A$1:B$5001,2),IF(E1154&gt;0,VLOOKUP(E1154,Направление!A$1:B$4812,2))))))</f>
        <v>Бесперебойное функционирование информационных систем</v>
      </c>
      <c r="B1154" s="114"/>
      <c r="C1154" s="109"/>
      <c r="D1154" s="110" t="s">
        <v>360</v>
      </c>
      <c r="E1154" s="109"/>
      <c r="F1154" s="111"/>
      <c r="G1154" s="268">
        <v>0</v>
      </c>
      <c r="H1154" s="330">
        <f t="shared" si="270"/>
        <v>0</v>
      </c>
      <c r="I1154" s="117">
        <f t="shared" si="266"/>
        <v>0</v>
      </c>
    </row>
    <row r="1155" spans="1:9" s="130" customFormat="1" ht="31.5" hidden="1" x14ac:dyDescent="0.25">
      <c r="A1155" s="779" t="str">
        <f>IF(B1155&gt;0,VLOOKUP(B1155,КВСР!A430:B1595,2),IF(C1155&gt;0,VLOOKUP(C1155,КФСР!A430:B1942,2),IF(D1155&gt;0,VLOOKUP(D1155,Программа!A$1:B$5124,2),IF(F1155&gt;0,VLOOKUP(F1155,КВР!A$1:B$5001,2),IF(E1155&gt;0,VLOOKUP(E1155,Направление!A$1:B$4812,2))))))</f>
        <v>Расходы на проведение мероприятий по информатизации</v>
      </c>
      <c r="B1155" s="114"/>
      <c r="C1155" s="109"/>
      <c r="D1155" s="110"/>
      <c r="E1155" s="109">
        <v>12210</v>
      </c>
      <c r="F1155" s="111"/>
      <c r="G1155" s="268">
        <v>0</v>
      </c>
      <c r="H1155" s="330">
        <f t="shared" si="270"/>
        <v>0</v>
      </c>
      <c r="I1155" s="117">
        <f t="shared" si="266"/>
        <v>0</v>
      </c>
    </row>
    <row r="1156" spans="1:9" s="130" customFormat="1" ht="63" hidden="1" x14ac:dyDescent="0.25">
      <c r="A1156" s="779" t="str">
        <f>IF(B1156&gt;0,VLOOKUP(B1156,КВСР!A431:B1596,2),IF(C1156&gt;0,VLOOKUP(C1156,КФСР!A431:B1943,2),IF(D1156&gt;0,VLOOKUP(D1156,Программа!A$1:B$5124,2),IF(F1156&gt;0,VLOOKUP(F1156,КВР!A$1:B$5001,2),IF(E1156&gt;0,VLOOKUP(E1156,Направление!A$1:B$4812,2))))))</f>
        <v xml:space="preserve">Закупка товаров, работ и услуг для обеспечения государственных (муниципальных) нужд
</v>
      </c>
      <c r="B1156" s="114"/>
      <c r="C1156" s="109"/>
      <c r="D1156" s="110"/>
      <c r="E1156" s="109"/>
      <c r="F1156" s="111">
        <v>200</v>
      </c>
      <c r="G1156" s="268">
        <v>0</v>
      </c>
      <c r="H1156" s="330"/>
      <c r="I1156" s="117">
        <f t="shared" si="266"/>
        <v>0</v>
      </c>
    </row>
    <row r="1157" spans="1:9" ht="94.5" x14ac:dyDescent="0.25">
      <c r="A1157" s="779" t="str">
        <f>IF(B1157&gt;0,VLOOKUP(B1157,КВСР!A433:B1598,2),IF(C1157&gt;0,VLOOKUP(C1157,КФСР!A433:B1945,2),IF(D1157&gt;0,VLOOKUP(D1157,Программа!A$1:B$5124,2),IF(F1157&gt;0,VLOOKUP(F1157,КВР!A$1:B$5001,2),IF(E1157&gt;0,VLOOKUP(E1157,Направление!A$1:B$4812,2)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57" s="114"/>
      <c r="C1157" s="109"/>
      <c r="D1157" s="110" t="s">
        <v>322</v>
      </c>
      <c r="E1157" s="109"/>
      <c r="F1157" s="111"/>
      <c r="G1157" s="268">
        <v>169260</v>
      </c>
      <c r="H1157" s="330">
        <f t="shared" ref="H1157:I1159" si="271">H1158</f>
        <v>0</v>
      </c>
      <c r="I1157" s="330">
        <f t="shared" si="271"/>
        <v>169260</v>
      </c>
    </row>
    <row r="1158" spans="1:9" ht="94.5" x14ac:dyDescent="0.25">
      <c r="A1158" s="779" t="str">
        <f>IF(B1158&gt;0,VLOOKUP(B1158,КВСР!A434:B1599,2),IF(C1158&gt;0,VLOOKUP(C1158,КФСР!A434:B1946,2),IF(D1158&gt;0,VLOOKUP(D1158,Программа!A$1:B$5124,2),IF(F1158&gt;0,VLOOKUP(F1158,КВР!A$1:B$5001,2),IF(E1158&gt;0,VLOOKUP(E1158,Направление!A$1:B$4812,2)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58" s="114"/>
      <c r="C1158" s="109"/>
      <c r="D1158" s="110" t="s">
        <v>1518</v>
      </c>
      <c r="E1158" s="109"/>
      <c r="F1158" s="111"/>
      <c r="G1158" s="268">
        <v>169260</v>
      </c>
      <c r="H1158" s="330">
        <f t="shared" si="271"/>
        <v>0</v>
      </c>
      <c r="I1158" s="330">
        <f t="shared" si="271"/>
        <v>169260</v>
      </c>
    </row>
    <row r="1159" spans="1:9" ht="31.5" x14ac:dyDescent="0.25">
      <c r="A1159" s="779" t="str">
        <f>IF(B1159&gt;0,VLOOKUP(B1159,КВСР!A435:B1600,2),IF(C1159&gt;0,VLOOKUP(C1159,КФСР!A435:B1947,2),IF(D1159&gt;0,VLOOKUP(D1159,Программа!A$1:B$5124,2),IF(F1159&gt;0,VLOOKUP(F1159,КВР!A$1:B$5001,2),IF(E1159&gt;0,VLOOKUP(E1159,Направление!A$1:B$4812,2))))))</f>
        <v>Внедрение проектной деятельности и бережливых технологий</v>
      </c>
      <c r="B1159" s="114"/>
      <c r="C1159" s="109"/>
      <c r="D1159" s="110"/>
      <c r="E1159" s="109">
        <v>12300</v>
      </c>
      <c r="F1159" s="111"/>
      <c r="G1159" s="268">
        <v>169260</v>
      </c>
      <c r="H1159" s="330">
        <f t="shared" si="271"/>
        <v>0</v>
      </c>
      <c r="I1159" s="330">
        <f t="shared" si="271"/>
        <v>169260</v>
      </c>
    </row>
    <row r="1160" spans="1:9" ht="110.25" x14ac:dyDescent="0.25">
      <c r="A1160" s="779" t="str">
        <f>IF(B1160&gt;0,VLOOKUP(B1160,КВСР!A436:B1601,2),IF(C1160&gt;0,VLOOKUP(C1160,КФСР!A436:B1948,2),IF(D1160&gt;0,VLOOKUP(D1160,Программа!A$1:B$5124,2),IF(F1160&gt;0,VLOOKUP(F1160,КВР!A$1:B$5001,2),IF(E1160&gt;0,VLOOKUP(E1160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0" s="114"/>
      <c r="C1160" s="109"/>
      <c r="D1160" s="111"/>
      <c r="E1160" s="109"/>
      <c r="F1160" s="111">
        <v>100</v>
      </c>
      <c r="G1160" s="268">
        <v>169260</v>
      </c>
      <c r="H1160" s="330"/>
      <c r="I1160" s="117">
        <f t="shared" si="266"/>
        <v>169260</v>
      </c>
    </row>
    <row r="1161" spans="1:9" hidden="1" x14ac:dyDescent="0.25">
      <c r="A1161" s="779" t="str">
        <f>IF(B1161&gt;0,VLOOKUP(B1161,КВСР!A437:B1602,2),IF(C1161&gt;0,VLOOKUP(C1161,КФСР!A437:B1949,2),IF(D1161&gt;0,VLOOKUP(D1161,Программа!A$1:B$5124,2),IF(F1161&gt;0,VLOOKUP(F1161,КВР!A$1:B$5001,2),IF(E1161&gt;0,VLOOKUP(E1161,Направление!A$1:B$4812,2))))))</f>
        <v>Охрана семьи и детства</v>
      </c>
      <c r="B1161" s="114"/>
      <c r="C1161" s="109">
        <v>1004</v>
      </c>
      <c r="D1161" s="111"/>
      <c r="E1161" s="109"/>
      <c r="F1161" s="111"/>
      <c r="G1161" s="268">
        <v>0</v>
      </c>
      <c r="H1161" s="330">
        <f t="shared" ref="H1161:I1165" si="272">H1162</f>
        <v>0</v>
      </c>
      <c r="I1161" s="268">
        <f t="shared" si="272"/>
        <v>0</v>
      </c>
    </row>
    <row r="1162" spans="1:9" ht="63" hidden="1" x14ac:dyDescent="0.25">
      <c r="A1162" s="779" t="str">
        <f>IF(B1162&gt;0,VLOOKUP(B1162,КВСР!A438:B1603,2),IF(C1162&gt;0,VLOOKUP(C1162,КФСР!A438:B1950,2),IF(D1162&gt;0,VLOOKUP(D1162,Программа!A$1:B$5124,2),IF(F1162&gt;0,VLOOKUP(F1162,КВР!A$1:B$5001,2),IF(E1162&gt;0,VLOOKUP(E1162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1162" s="114"/>
      <c r="C1162" s="109"/>
      <c r="D1162" s="111" t="s">
        <v>396</v>
      </c>
      <c r="E1162" s="109"/>
      <c r="F1162" s="111"/>
      <c r="G1162" s="268">
        <v>0</v>
      </c>
      <c r="H1162" s="330">
        <f t="shared" si="272"/>
        <v>0</v>
      </c>
      <c r="I1162" s="268">
        <f t="shared" si="272"/>
        <v>0</v>
      </c>
    </row>
    <row r="1163" spans="1:9" ht="47.25" hidden="1" x14ac:dyDescent="0.25">
      <c r="A1163" s="779" t="str">
        <f>IF(B1163&gt;0,VLOOKUP(B1163,КВСР!A439:B1604,2),IF(C1163&gt;0,VLOOKUP(C1163,КФСР!A439:B1951,2),IF(D1163&gt;0,VLOOKUP(D1163,Программа!A$1:B$5124,2),IF(F1163&gt;0,VLOOKUP(F1163,КВР!A$1:B$5001,2),IF(E1163&gt;0,VLOOKUP(E1163,Направление!A$1:B$4812,2))))))</f>
        <v>Ведомственная целевая программа «Сохранение и развитие культуры Тутаевского муниципального района»</v>
      </c>
      <c r="B1163" s="114"/>
      <c r="C1163" s="109"/>
      <c r="D1163" s="110" t="s">
        <v>494</v>
      </c>
      <c r="E1163" s="109"/>
      <c r="F1163" s="111"/>
      <c r="G1163" s="268">
        <v>0</v>
      </c>
      <c r="H1163" s="330">
        <f t="shared" si="272"/>
        <v>0</v>
      </c>
      <c r="I1163" s="268">
        <f t="shared" si="272"/>
        <v>0</v>
      </c>
    </row>
    <row r="1164" spans="1:9" ht="31.5" hidden="1" x14ac:dyDescent="0.25">
      <c r="A1164" s="779" t="str">
        <f>IF(B1164&gt;0,VLOOKUP(B1164,КВСР!A440:B1605,2),IF(C1164&gt;0,VLOOKUP(C1164,КФСР!A440:B1952,2),IF(D1164&gt;0,VLOOKUP(D1164,Программа!A$1:B$5124,2),IF(F1164&gt;0,VLOOKUP(F1164,КВР!A$1:B$5001,2),IF(E1164&gt;0,VLOOKUP(E1164,Направление!A$1:B$4812,2))))))</f>
        <v>Обеспечение эффективности управления системой культуры</v>
      </c>
      <c r="B1164" s="114"/>
      <c r="C1164" s="109"/>
      <c r="D1164" s="110" t="s">
        <v>520</v>
      </c>
      <c r="E1164" s="109"/>
      <c r="F1164" s="111"/>
      <c r="G1164" s="268">
        <v>0</v>
      </c>
      <c r="H1164" s="330">
        <f t="shared" si="272"/>
        <v>0</v>
      </c>
      <c r="I1164" s="268">
        <f t="shared" si="272"/>
        <v>0</v>
      </c>
    </row>
    <row r="1165" spans="1:9" ht="31.5" hidden="1" x14ac:dyDescent="0.25">
      <c r="A1165" s="779" t="str">
        <f>IF(B1165&gt;0,VLOOKUP(B1165,КВСР!A441:B1606,2),IF(C1165&gt;0,VLOOKUP(C1165,КФСР!A441:B1953,2),IF(D1165&gt;0,VLOOKUP(D1165,Программа!A$1:B$5124,2),IF(F1165&gt;0,VLOOKUP(F1165,КВР!A$1:B$5001,2),IF(E1165&gt;0,VLOOKUP(E1165,Направление!A$1:B$4812,2))))))</f>
        <v>Обеспечение деятельности прочих учреждений в сфере культуры</v>
      </c>
      <c r="B1165" s="114"/>
      <c r="C1165" s="109"/>
      <c r="D1165" s="110"/>
      <c r="E1165" s="109">
        <v>15210</v>
      </c>
      <c r="F1165" s="111"/>
      <c r="G1165" s="268">
        <v>0</v>
      </c>
      <c r="H1165" s="330">
        <f t="shared" si="272"/>
        <v>0</v>
      </c>
      <c r="I1165" s="268">
        <f t="shared" si="272"/>
        <v>0</v>
      </c>
    </row>
    <row r="1166" spans="1:9" ht="110.25" hidden="1" x14ac:dyDescent="0.25">
      <c r="A1166" s="779" t="str">
        <f>IF(B1166&gt;0,VLOOKUP(B1166,КВСР!A442:B1607,2),IF(C1166&gt;0,VLOOKUP(C1166,КФСР!A442:B1954,2),IF(D1166&gt;0,VLOOKUP(D1166,Программа!A$1:B$5124,2),IF(F1166&gt;0,VLOOKUP(F1166,КВР!A$1:B$5001,2),IF(E1166&gt;0,VLOOKUP(E1166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6" s="114"/>
      <c r="C1166" s="109"/>
      <c r="D1166" s="111"/>
      <c r="E1166" s="109"/>
      <c r="F1166" s="111">
        <v>100</v>
      </c>
      <c r="G1166" s="268">
        <v>0</v>
      </c>
      <c r="H1166" s="330"/>
      <c r="I1166" s="117">
        <f>H1166+G1166</f>
        <v>0</v>
      </c>
    </row>
    <row r="1167" spans="1:9" x14ac:dyDescent="0.25">
      <c r="A1167" s="778" t="str">
        <f>IF(B1167&gt;0,VLOOKUP(B1167,КВСР!A527:B1692,2),IF(C1167&gt;0,VLOOKUP(C1167,КФСР!A527:B2039,2),IF(D1167&gt;0,VLOOKUP(D1167,Программа!A$1:B$5124,2),IF(F1167&gt;0,VLOOKUP(F1167,КВР!A$1:B$5001,2),IF(E1167&gt;0,VLOOKUP(E1167,Направление!A$1:B$4812,2))))))</f>
        <v>МУ Контрольно-счетная палата ТМР</v>
      </c>
      <c r="B1167" s="108">
        <v>982</v>
      </c>
      <c r="C1167" s="133"/>
      <c r="D1167" s="134"/>
      <c r="E1167" s="133"/>
      <c r="F1167" s="135"/>
      <c r="G1167" s="112">
        <v>1704018</v>
      </c>
      <c r="H1167" s="329">
        <f>H1168+H1185+H1180</f>
        <v>0</v>
      </c>
      <c r="I1167" s="329">
        <f>I1168+I1185+I1180</f>
        <v>1704018</v>
      </c>
    </row>
    <row r="1168" spans="1:9" ht="63" x14ac:dyDescent="0.25">
      <c r="A1168" s="779" t="str">
        <f>IF(B1168&gt;0,VLOOKUP(B1168,КВСР!A528:B1693,2),IF(C1168&gt;0,VLOOKUP(C1168,КФСР!A528:B2040,2),IF(D1168&gt;0,VLOOKUP(D1168,Программа!A$1:B$5124,2),IF(F1168&gt;0,VLOOKUP(F1168,КВР!A$1:B$5001,2),IF(E1168&gt;0,VLOOKUP(E1168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68" s="132"/>
      <c r="C1168" s="109">
        <v>106</v>
      </c>
      <c r="D1168" s="126"/>
      <c r="E1168" s="127"/>
      <c r="F1168" s="129"/>
      <c r="G1168" s="115">
        <v>1704018</v>
      </c>
      <c r="H1168" s="275">
        <f>H1169</f>
        <v>0</v>
      </c>
      <c r="I1168" s="275">
        <f>I1169</f>
        <v>1704018</v>
      </c>
    </row>
    <row r="1169" spans="1:9" x14ac:dyDescent="0.25">
      <c r="A1169" s="779" t="str">
        <f>IF(B1169&gt;0,VLOOKUP(B1169,КВСР!A529:B1694,2),IF(C1169&gt;0,VLOOKUP(C1169,КФСР!A529:B2041,2),IF(D1169&gt;0,VLOOKUP(D1169,Программа!A$1:B$5124,2),IF(F1169&gt;0,VLOOKUP(F1169,КВР!A$1:B$5001,2),IF(E1169&gt;0,VLOOKUP(E1169,Направление!A$1:B$4812,2))))))</f>
        <v>Непрограммные расходы бюджета</v>
      </c>
      <c r="B1169" s="132"/>
      <c r="C1169" s="109"/>
      <c r="D1169" s="126" t="s">
        <v>311</v>
      </c>
      <c r="E1169" s="127"/>
      <c r="F1169" s="129"/>
      <c r="G1169" s="115">
        <v>1704018</v>
      </c>
      <c r="H1169" s="886">
        <f>H1170+H1175+H1177</f>
        <v>0</v>
      </c>
      <c r="I1169" s="275">
        <f>I1170+I1175+I1177</f>
        <v>1704018</v>
      </c>
    </row>
    <row r="1170" spans="1:9" x14ac:dyDescent="0.25">
      <c r="A1170" s="779" t="str">
        <f>IF(B1170&gt;0,VLOOKUP(B1170,КВСР!A530:B1695,2),IF(C1170&gt;0,VLOOKUP(C1170,КФСР!A530:B2042,2),IF(D1170&gt;0,VLOOKUP(D1170,Программа!A$1:B$5124,2),IF(F1170&gt;0,VLOOKUP(F1170,КВР!A$1:B$5001,2),IF(E1170&gt;0,VLOOKUP(E1170,Направление!A$1:B$4812,2))))))</f>
        <v>Содержание центрального аппарата</v>
      </c>
      <c r="B1170" s="132"/>
      <c r="C1170" s="127"/>
      <c r="D1170" s="110"/>
      <c r="E1170" s="109">
        <v>12010</v>
      </c>
      <c r="F1170" s="129"/>
      <c r="G1170" s="115">
        <v>627871</v>
      </c>
      <c r="H1170" s="275">
        <f>H1171+H1172+H1173+H1174</f>
        <v>0</v>
      </c>
      <c r="I1170" s="275">
        <f>I1171+I1172+I1173+I1174</f>
        <v>627871</v>
      </c>
    </row>
    <row r="1171" spans="1:9" ht="110.25" x14ac:dyDescent="0.25">
      <c r="A1171" s="779" t="str">
        <f>IF(B1171&gt;0,VLOOKUP(B1171,КВСР!A531:B1696,2),IF(C1171&gt;0,VLOOKUP(C1171,КФСР!A531:B2043,2),IF(D1171&gt;0,VLOOKUP(D1171,Программа!A$1:B$5124,2),IF(F1171&gt;0,VLOOKUP(F1171,КВР!A$1:B$5001,2),IF(E1171&gt;0,VLOOKUP(E1171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1" s="132"/>
      <c r="C1171" s="127"/>
      <c r="D1171" s="129"/>
      <c r="E1171" s="127"/>
      <c r="F1171" s="129">
        <v>100</v>
      </c>
      <c r="G1171" s="286">
        <v>609336</v>
      </c>
      <c r="H1171" s="275"/>
      <c r="I1171" s="117">
        <f t="shared" ref="I1171:I1179" si="273">SUM(G1171:H1171)</f>
        <v>609336</v>
      </c>
    </row>
    <row r="1172" spans="1:9" ht="63" x14ac:dyDescent="0.25">
      <c r="A1172" s="779" t="str">
        <f>IF(B1172&gt;0,VLOOKUP(B1172,КВСР!A532:B1697,2),IF(C1172&gt;0,VLOOKUP(C1172,КФСР!A532:B2044,2),IF(D1172&gt;0,VLOOKUP(D1172,Программа!A$1:B$5124,2),IF(F1172&gt;0,VLOOKUP(F1172,КВР!A$1:B$5001,2),IF(E1172&gt;0,VLOOKUP(E1172,Направление!A$1:B$4812,2))))))</f>
        <v xml:space="preserve">Закупка товаров, работ и услуг для обеспечения государственных (муниципальных) нужд
</v>
      </c>
      <c r="B1172" s="132"/>
      <c r="C1172" s="127"/>
      <c r="D1172" s="129"/>
      <c r="E1172" s="127"/>
      <c r="F1172" s="129">
        <v>200</v>
      </c>
      <c r="G1172" s="286">
        <v>18535</v>
      </c>
      <c r="H1172" s="275"/>
      <c r="I1172" s="117">
        <f t="shared" si="273"/>
        <v>18535</v>
      </c>
    </row>
    <row r="1173" spans="1:9" ht="31.5" hidden="1" x14ac:dyDescent="0.25">
      <c r="A1173" s="779" t="str">
        <f>IF(B1173&gt;0,VLOOKUP(B1173,КВСР!A533:B1698,2),IF(C1173&gt;0,VLOOKUP(C1173,КФСР!A533:B2045,2),IF(D1173&gt;0,VLOOKUP(D1173,Программа!A$1:B$5124,2),IF(F1173&gt;0,VLOOKUP(F1173,КВР!A$1:B$5001,2),IF(E1173&gt;0,VLOOKUP(E1173,Направление!A$1:B$4812,2))))))</f>
        <v>Социальное обеспечение и иные выплаты населению</v>
      </c>
      <c r="B1173" s="132"/>
      <c r="C1173" s="127"/>
      <c r="D1173" s="129"/>
      <c r="E1173" s="127"/>
      <c r="F1173" s="129">
        <v>300</v>
      </c>
      <c r="G1173" s="286">
        <v>0</v>
      </c>
      <c r="H1173" s="275"/>
      <c r="I1173" s="117">
        <f t="shared" si="273"/>
        <v>0</v>
      </c>
    </row>
    <row r="1174" spans="1:9" hidden="1" x14ac:dyDescent="0.25">
      <c r="A1174" s="779" t="str">
        <f>IF(B1174&gt;0,VLOOKUP(B1174,КВСР!A534:B1699,2),IF(C1174&gt;0,VLOOKUP(C1174,КФСР!A534:B2046,2),IF(D1174&gt;0,VLOOKUP(D1174,Программа!A$1:B$5124,2),IF(F1174&gt;0,VLOOKUP(F1174,КВР!A$1:B$5001,2),IF(E1174&gt;0,VLOOKUP(E1174,Направление!A$1:B$4812,2))))))</f>
        <v>Иные бюджетные ассигнования</v>
      </c>
      <c r="B1174" s="132"/>
      <c r="C1174" s="127"/>
      <c r="D1174" s="129"/>
      <c r="E1174" s="127"/>
      <c r="F1174" s="129">
        <v>800</v>
      </c>
      <c r="G1174" s="286">
        <v>0</v>
      </c>
      <c r="H1174" s="275"/>
      <c r="I1174" s="117">
        <f t="shared" si="273"/>
        <v>0</v>
      </c>
    </row>
    <row r="1175" spans="1:9" ht="47.25" x14ac:dyDescent="0.25">
      <c r="A1175" s="779" t="str">
        <f>IF(B1175&gt;0,VLOOKUP(B1175,КВСР!A534:B1699,2),IF(C1175&gt;0,VLOOKUP(C1175,КФСР!A534:B2046,2),IF(D1175&gt;0,VLOOKUP(D1175,Программа!A$1:B$5124,2),IF(F1175&gt;0,VLOOKUP(F1175,КВР!A$1:B$5001,2),IF(E1175&gt;0,VLOOKUP(E1175,Направление!A$1:B$4812,2))))))</f>
        <v>Содержание руководителя контрольно-счетной палаты муниципального образования и его заместителей</v>
      </c>
      <c r="B1175" s="132"/>
      <c r="C1175" s="127"/>
      <c r="D1175" s="126"/>
      <c r="E1175" s="127">
        <v>12030</v>
      </c>
      <c r="F1175" s="129"/>
      <c r="G1175" s="286">
        <v>1018319</v>
      </c>
      <c r="H1175" s="275">
        <f>H1176</f>
        <v>0</v>
      </c>
      <c r="I1175" s="275">
        <f>I1176</f>
        <v>1018319</v>
      </c>
    </row>
    <row r="1176" spans="1:9" ht="110.25" x14ac:dyDescent="0.25">
      <c r="A1176" s="779" t="str">
        <f>IF(B1176&gt;0,VLOOKUP(B1176,КВСР!A535:B1700,2),IF(C1176&gt;0,VLOOKUP(C1176,КФСР!A535:B2047,2),IF(D1176&gt;0,VLOOKUP(D1176,Программа!A$1:B$5124,2),IF(F1176&gt;0,VLOOKUP(F1176,КВР!A$1:B$5001,2),IF(E1176&gt;0,VLOOKUP(E1176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6" s="132"/>
      <c r="C1176" s="127"/>
      <c r="D1176" s="129"/>
      <c r="E1176" s="127"/>
      <c r="F1176" s="129">
        <v>100</v>
      </c>
      <c r="G1176" s="286">
        <v>1018319</v>
      </c>
      <c r="H1176" s="275"/>
      <c r="I1176" s="117">
        <f t="shared" si="273"/>
        <v>1018319</v>
      </c>
    </row>
    <row r="1177" spans="1:9" ht="47.25" x14ac:dyDescent="0.25">
      <c r="A1177" s="779" t="str">
        <f>IF(B1177&gt;0,VLOOKUP(B1177,КВСР!A536:B1701,2),IF(C1177&gt;0,VLOOKUP(C1177,КФСР!A536:B2048,2),IF(D1177&gt;0,VLOOKUP(D1177,Программа!A$1:B$5124,2),IF(F1177&gt;0,VLOOKUP(F1177,КВР!A$1:B$5001,2),IF(E1177&gt;0,VLOOKUP(E1177,Направление!A$1:B$4812,2))))))</f>
        <v>Обеспечение мероприятий по осуществлению внешнего муниципального контроля</v>
      </c>
      <c r="B1177" s="132"/>
      <c r="C1177" s="127"/>
      <c r="D1177" s="129"/>
      <c r="E1177" s="127">
        <v>29386</v>
      </c>
      <c r="F1177" s="129"/>
      <c r="G1177" s="286">
        <v>57828</v>
      </c>
      <c r="H1177" s="275">
        <f>H1179+H1178</f>
        <v>0</v>
      </c>
      <c r="I1177" s="275">
        <f>I1179+I1178</f>
        <v>57828</v>
      </c>
    </row>
    <row r="1178" spans="1:9" ht="110.25" x14ac:dyDescent="0.25">
      <c r="A1178" s="779" t="str">
        <f>IF(B1178&gt;0,VLOOKUP(B1178,КВСР!A537:B1702,2),IF(C1178&gt;0,VLOOKUP(C1178,КФСР!A537:B2049,2),IF(D1178&gt;0,VLOOKUP(D1178,Программа!A$1:B$5124,2),IF(F1178&gt;0,VLOOKUP(F1178,КВР!A$1:B$5001,2),IF(E1178&gt;0,VLOOKUP(E1178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8" s="132"/>
      <c r="C1178" s="127"/>
      <c r="D1178" s="129"/>
      <c r="E1178" s="127"/>
      <c r="F1178" s="129">
        <v>100</v>
      </c>
      <c r="G1178" s="286">
        <v>48263</v>
      </c>
      <c r="H1178" s="275"/>
      <c r="I1178" s="117">
        <f t="shared" si="273"/>
        <v>48263</v>
      </c>
    </row>
    <row r="1179" spans="1:9" ht="63" x14ac:dyDescent="0.25">
      <c r="A1179" s="779" t="str">
        <f>IF(B1179&gt;0,VLOOKUP(B1179,КВСР!A537:B1702,2),IF(C1179&gt;0,VLOOKUP(C1179,КФСР!A537:B2049,2),IF(D1179&gt;0,VLOOKUP(D1179,Программа!A$1:B$5124,2),IF(F1179&gt;0,VLOOKUP(F1179,КВР!A$1:B$5001,2),IF(E1179&gt;0,VLOOKUP(E1179,Направление!A$1:B$4812,2))))))</f>
        <v xml:space="preserve">Закупка товаров, работ и услуг для обеспечения государственных (муниципальных) нужд
</v>
      </c>
      <c r="B1179" s="132"/>
      <c r="C1179" s="127"/>
      <c r="D1179" s="129"/>
      <c r="E1179" s="127"/>
      <c r="F1179" s="129">
        <v>200</v>
      </c>
      <c r="G1179" s="286">
        <v>9565</v>
      </c>
      <c r="H1179" s="275"/>
      <c r="I1179" s="117">
        <f t="shared" si="273"/>
        <v>9565</v>
      </c>
    </row>
    <row r="1180" spans="1:9" hidden="1" x14ac:dyDescent="0.25">
      <c r="A1180" s="779" t="str">
        <f>IF(B1180&gt;0,VLOOKUP(B1180,КВСР!A538:B1703,2),IF(C1180&gt;0,VLOOKUP(C1180,КФСР!A538:B2050,2),IF(D1180&gt;0,VLOOKUP(D1180,Программа!A$1:B$5124,2),IF(F1180&gt;0,VLOOKUP(F1180,КВР!A$1:B$5001,2),IF(E1180&gt;0,VLOOKUP(E1180,Направление!A$1:B$4812,2))))))</f>
        <v>Другие общегосударственные вопросы</v>
      </c>
      <c r="B1180" s="132"/>
      <c r="C1180" s="127">
        <v>113</v>
      </c>
      <c r="D1180" s="129"/>
      <c r="E1180" s="127"/>
      <c r="F1180" s="129"/>
      <c r="G1180" s="286">
        <v>0</v>
      </c>
      <c r="H1180" s="286">
        <f t="shared" ref="H1180:I1183" si="274">H1181</f>
        <v>0</v>
      </c>
      <c r="I1180" s="286">
        <f t="shared" si="274"/>
        <v>0</v>
      </c>
    </row>
    <row r="1181" spans="1:9" ht="63" hidden="1" x14ac:dyDescent="0.25">
      <c r="A1181" s="779" t="str">
        <f>IF(B1181&gt;0,VLOOKUP(B1181,КВСР!A539:B1704,2),IF(C1181&gt;0,VLOOKUP(C1181,КФСР!A539:B2051,2),IF(D1181&gt;0,VLOOKUP(D1181,Программа!A$1:B$5124,2),IF(F1181&gt;0,VLOOKUP(F1181,КВР!A$1:B$5001,2),IF(E1181&gt;0,VLOOKUP(E1181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1181" s="132"/>
      <c r="C1181" s="127"/>
      <c r="D1181" s="111" t="s">
        <v>326</v>
      </c>
      <c r="E1181" s="127"/>
      <c r="F1181" s="129"/>
      <c r="G1181" s="286">
        <v>0</v>
      </c>
      <c r="H1181" s="286">
        <f t="shared" si="274"/>
        <v>0</v>
      </c>
      <c r="I1181" s="286">
        <f t="shared" si="274"/>
        <v>0</v>
      </c>
    </row>
    <row r="1182" spans="1:9" ht="63" hidden="1" x14ac:dyDescent="0.25">
      <c r="A1182" s="779" t="str">
        <f>IF(B1182&gt;0,VLOOKUP(B1182,КВСР!A540:B1705,2),IF(C1182&gt;0,VLOOKUP(C1182,КФСР!A540:B2052,2),IF(D1182&gt;0,VLOOKUP(D1182,Программа!A$1:B$5124,2),IF(F1182&gt;0,VLOOKUP(F1182,КВР!A$1:B$5001,2),IF(E1182&gt;0,VLOOKUP(E1182,Направление!A$1:B$4812,2)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82" s="132"/>
      <c r="C1182" s="127"/>
      <c r="D1182" s="111" t="s">
        <v>328</v>
      </c>
      <c r="E1182" s="127"/>
      <c r="F1182" s="129"/>
      <c r="G1182" s="286">
        <v>0</v>
      </c>
      <c r="H1182" s="286">
        <f t="shared" si="274"/>
        <v>0</v>
      </c>
      <c r="I1182" s="286">
        <f t="shared" si="274"/>
        <v>0</v>
      </c>
    </row>
    <row r="1183" spans="1:9" ht="31.5" hidden="1" x14ac:dyDescent="0.25">
      <c r="A1183" s="779" t="str">
        <f>IF(B1183&gt;0,VLOOKUP(B1183,КВСР!A541:B1706,2),IF(C1183&gt;0,VLOOKUP(C1183,КФСР!A541:B2053,2),IF(D1183&gt;0,VLOOKUP(D1183,Программа!A$1:B$5124,2),IF(F1183&gt;0,VLOOKUP(F1183,КВР!A$1:B$5001,2),IF(E1183&gt;0,VLOOKUP(E1183,Направление!A$1:B$4812,2))))))</f>
        <v>Расходы на проведение мероприятий по информатизации</v>
      </c>
      <c r="B1183" s="132"/>
      <c r="C1183" s="127"/>
      <c r="D1183" s="129"/>
      <c r="E1183" s="127">
        <v>12210</v>
      </c>
      <c r="F1183" s="129"/>
      <c r="G1183" s="286">
        <v>0</v>
      </c>
      <c r="H1183" s="286">
        <f t="shared" si="274"/>
        <v>0</v>
      </c>
      <c r="I1183" s="286">
        <f t="shared" si="274"/>
        <v>0</v>
      </c>
    </row>
    <row r="1184" spans="1:9" ht="63" hidden="1" x14ac:dyDescent="0.25">
      <c r="A1184" s="779" t="str">
        <f>IF(B1184&gt;0,VLOOKUP(B1184,КВСР!A542:B1707,2),IF(C1184&gt;0,VLOOKUP(C1184,КФСР!A542:B2054,2),IF(D1184&gt;0,VLOOKUP(D1184,Программа!A$1:B$5124,2),IF(F1184&gt;0,VLOOKUP(F1184,КВР!A$1:B$5001,2),IF(E1184&gt;0,VLOOKUP(E1184,Направление!A$1:B$4812,2))))))</f>
        <v xml:space="preserve">Закупка товаров, работ и услуг для обеспечения государственных (муниципальных) нужд
</v>
      </c>
      <c r="B1184" s="132"/>
      <c r="C1184" s="127"/>
      <c r="D1184" s="129"/>
      <c r="E1184" s="127"/>
      <c r="F1184" s="129">
        <v>200</v>
      </c>
      <c r="G1184" s="286">
        <v>0</v>
      </c>
      <c r="H1184" s="275"/>
      <c r="I1184" s="117">
        <f>G1184+H1184</f>
        <v>0</v>
      </c>
    </row>
    <row r="1185" spans="1:9" ht="47.25" hidden="1" x14ac:dyDescent="0.25">
      <c r="A1185" s="779" t="str">
        <f>IF(B1185&gt;0,VLOOKUP(B1185,КВСР!A538:B1703,2),IF(C1185&gt;0,VLOOKUP(C1185,КФСР!A538:B2050,2),IF(D1185&gt;0,VLOOKUP(D1185,Программа!A$1:B$5124,2),IF(F1185&gt;0,VLOOKUP(F1185,КВР!A$1:B$5001,2),IF(E1185&gt;0,VLOOKUP(E1185,Направление!A$1:B$4812,2))))))</f>
        <v>Профессиональная подготовка, переподготовка и повышение квалификации</v>
      </c>
      <c r="B1185" s="132"/>
      <c r="C1185" s="109">
        <v>705</v>
      </c>
      <c r="D1185" s="129"/>
      <c r="E1185" s="127"/>
      <c r="F1185" s="129"/>
      <c r="G1185" s="286">
        <v>0</v>
      </c>
      <c r="H1185" s="275">
        <f t="shared" ref="H1185:I1187" si="275">H1186</f>
        <v>0</v>
      </c>
      <c r="I1185" s="286">
        <f t="shared" si="275"/>
        <v>0</v>
      </c>
    </row>
    <row r="1186" spans="1:9" hidden="1" x14ac:dyDescent="0.25">
      <c r="A1186" s="779" t="str">
        <f>IF(B1186&gt;0,VLOOKUP(B1186,КВСР!A539:B1704,2),IF(C1186&gt;0,VLOOKUP(C1186,КФСР!A539:B2051,2),IF(D1186&gt;0,VLOOKUP(D1186,Программа!A$1:B$5124,2),IF(F1186&gt;0,VLOOKUP(F1186,КВР!A$1:B$5001,2),IF(E1186&gt;0,VLOOKUP(E1186,Направление!A$1:B$4812,2))))))</f>
        <v>Непрограммные расходы бюджета</v>
      </c>
      <c r="B1186" s="132"/>
      <c r="C1186" s="127"/>
      <c r="D1186" s="111" t="s">
        <v>311</v>
      </c>
      <c r="E1186" s="127"/>
      <c r="F1186" s="129"/>
      <c r="G1186" s="286">
        <v>0</v>
      </c>
      <c r="H1186" s="275">
        <f t="shared" si="275"/>
        <v>0</v>
      </c>
      <c r="I1186" s="286">
        <f t="shared" si="275"/>
        <v>0</v>
      </c>
    </row>
    <row r="1187" spans="1:9" hidden="1" x14ac:dyDescent="0.25">
      <c r="A1187" s="779" t="str">
        <f>IF(B1187&gt;0,VLOOKUP(B1187,КВСР!A540:B1705,2),IF(C1187&gt;0,VLOOKUP(C1187,КФСР!A540:B2052,2),IF(D1187&gt;0,VLOOKUP(D1187,Программа!A$1:B$5124,2),IF(F1187&gt;0,VLOOKUP(F1187,КВР!A$1:B$5001,2),IF(E1187&gt;0,VLOOKUP(E1187,Направление!A$1:B$4812,2))))))</f>
        <v>Содержание центрального аппарата</v>
      </c>
      <c r="B1187" s="132"/>
      <c r="C1187" s="127"/>
      <c r="D1187" s="129"/>
      <c r="E1187" s="127">
        <v>12010</v>
      </c>
      <c r="F1187" s="129"/>
      <c r="G1187" s="286">
        <v>0</v>
      </c>
      <c r="H1187" s="275">
        <f t="shared" si="275"/>
        <v>0</v>
      </c>
      <c r="I1187" s="286">
        <f t="shared" si="275"/>
        <v>0</v>
      </c>
    </row>
    <row r="1188" spans="1:9" ht="63" hidden="1" x14ac:dyDescent="0.25">
      <c r="A1188" s="779" t="str">
        <f>IF(B1188&gt;0,VLOOKUP(B1188,КВСР!A541:B1706,2),IF(C1188&gt;0,VLOOKUP(C1188,КФСР!A541:B2053,2),IF(D1188&gt;0,VLOOKUP(D1188,Программа!A$1:B$5124,2),IF(F1188&gt;0,VLOOKUP(F1188,КВР!A$1:B$5001,2),IF(E1188&gt;0,VLOOKUP(E1188,Направление!A$1:B$4812,2))))))</f>
        <v xml:space="preserve">Закупка товаров, работ и услуг для обеспечения государственных (муниципальных) нужд
</v>
      </c>
      <c r="B1188" s="132"/>
      <c r="C1188" s="127"/>
      <c r="D1188" s="129"/>
      <c r="E1188" s="127"/>
      <c r="F1188" s="129">
        <v>200</v>
      </c>
      <c r="G1188" s="286">
        <v>0</v>
      </c>
      <c r="H1188" s="275"/>
      <c r="I1188" s="117">
        <f>G1188+H1188</f>
        <v>0</v>
      </c>
    </row>
    <row r="1189" spans="1:9" x14ac:dyDescent="0.25">
      <c r="A1189" s="778" t="s">
        <v>129</v>
      </c>
      <c r="B1189" s="110"/>
      <c r="C1189" s="110"/>
      <c r="D1189" s="111"/>
      <c r="E1189" s="109"/>
      <c r="F1189" s="110"/>
      <c r="G1189" s="368">
        <v>2719519759.0299997</v>
      </c>
      <c r="H1189" s="329">
        <f>SUM(H10+H403+H463+H780+H922+H969+H1167)</f>
        <v>49972153</v>
      </c>
      <c r="I1189" s="329">
        <f>SUM(I10+I403+I463+I780+I922+I969+I1167)</f>
        <v>2769491912.0299997</v>
      </c>
    </row>
    <row r="1193" spans="1:9" x14ac:dyDescent="0.25">
      <c r="G1193" s="136"/>
    </row>
  </sheetData>
  <autoFilter ref="B1:B1193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8" manualBreakCount="8">
    <brk id="520" max="8" man="1"/>
    <brk id="543" max="8" man="1"/>
    <brk id="573" max="8" man="1"/>
    <brk id="602" max="8" man="1"/>
    <brk id="636" max="8" man="1"/>
    <brk id="658" max="8" man="1"/>
    <brk id="685" max="8" man="1"/>
    <brk id="71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2"/>
  <sheetViews>
    <sheetView showGridLines="0" view="pageBreakPreview" zoomScaleSheetLayoutView="100" workbookViewId="0">
      <selection activeCell="A6" sqref="A6:L6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4" hidden="1" customWidth="1"/>
    <col min="8" max="8" width="15.85546875" style="769" hidden="1" customWidth="1"/>
    <col min="9" max="9" width="14.140625" style="597" customWidth="1"/>
    <col min="10" max="10" width="14.140625" style="597" hidden="1" customWidth="1"/>
    <col min="11" max="11" width="14.140625" style="769" hidden="1" customWidth="1"/>
    <col min="12" max="12" width="14.140625" style="42" customWidth="1"/>
    <col min="13" max="16384" width="9.140625" style="42"/>
  </cols>
  <sheetData>
    <row r="1" spans="1:12" ht="15.75" x14ac:dyDescent="0.25">
      <c r="A1" s="920" t="s">
        <v>1784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</row>
    <row r="2" spans="1:12" ht="15.75" x14ac:dyDescent="0.25">
      <c r="A2" s="920" t="s">
        <v>1</v>
      </c>
      <c r="B2" s="920"/>
      <c r="C2" s="920"/>
      <c r="D2" s="920"/>
      <c r="E2" s="920"/>
      <c r="F2" s="920"/>
      <c r="G2" s="920"/>
      <c r="H2" s="920"/>
      <c r="I2" s="920"/>
      <c r="J2" s="920"/>
      <c r="K2" s="920"/>
      <c r="L2" s="920"/>
    </row>
    <row r="3" spans="1:12" ht="15.75" x14ac:dyDescent="0.25">
      <c r="A3" s="920" t="s">
        <v>2</v>
      </c>
      <c r="B3" s="920"/>
      <c r="C3" s="920"/>
      <c r="D3" s="920"/>
      <c r="E3" s="920"/>
      <c r="F3" s="920"/>
      <c r="G3" s="920"/>
      <c r="H3" s="920"/>
      <c r="I3" s="920"/>
      <c r="J3" s="920"/>
      <c r="K3" s="920"/>
      <c r="L3" s="920"/>
    </row>
    <row r="4" spans="1:12" ht="15.75" x14ac:dyDescent="0.25">
      <c r="A4" s="920" t="s">
        <v>1790</v>
      </c>
      <c r="B4" s="920"/>
      <c r="C4" s="920"/>
      <c r="D4" s="920"/>
      <c r="E4" s="920"/>
      <c r="F4" s="920"/>
      <c r="G4" s="920"/>
      <c r="H4" s="920"/>
      <c r="I4" s="920"/>
      <c r="J4" s="920"/>
      <c r="K4" s="920"/>
      <c r="L4" s="920"/>
    </row>
    <row r="5" spans="1:12" ht="15.75" x14ac:dyDescent="0.25">
      <c r="A5" s="100"/>
      <c r="B5" s="101"/>
      <c r="C5" s="101"/>
      <c r="D5" s="102"/>
      <c r="E5" s="103"/>
      <c r="F5" s="101"/>
      <c r="G5" s="938"/>
      <c r="H5" s="938"/>
      <c r="I5" s="938"/>
      <c r="J5" s="938"/>
      <c r="K5" s="938"/>
      <c r="L5" s="938"/>
    </row>
    <row r="6" spans="1:12" ht="58.7" customHeight="1" x14ac:dyDescent="0.3">
      <c r="A6" s="995" t="s">
        <v>1690</v>
      </c>
      <c r="B6" s="995"/>
      <c r="C6" s="995"/>
      <c r="D6" s="995"/>
      <c r="E6" s="995"/>
      <c r="F6" s="995"/>
      <c r="G6" s="995"/>
      <c r="H6" s="995"/>
      <c r="I6" s="995"/>
      <c r="J6" s="995"/>
      <c r="K6" s="995"/>
      <c r="L6" s="995"/>
    </row>
    <row r="7" spans="1:12" ht="15.75" x14ac:dyDescent="0.25">
      <c r="A7" s="96"/>
      <c r="B7" s="97"/>
      <c r="C7" s="97"/>
      <c r="D7" s="98"/>
      <c r="E7" s="99"/>
      <c r="F7" s="97"/>
      <c r="G7" s="996"/>
      <c r="H7" s="996"/>
      <c r="I7" s="996"/>
      <c r="J7" s="996"/>
      <c r="K7" s="996"/>
      <c r="L7" s="996"/>
    </row>
    <row r="8" spans="1:12" ht="12.75" customHeight="1" x14ac:dyDescent="0.2">
      <c r="A8" s="991" t="s">
        <v>139</v>
      </c>
      <c r="B8" s="993" t="s">
        <v>303</v>
      </c>
      <c r="C8" s="993" t="s">
        <v>304</v>
      </c>
      <c r="D8" s="994" t="s">
        <v>305</v>
      </c>
      <c r="E8" s="994"/>
      <c r="F8" s="993" t="s">
        <v>306</v>
      </c>
      <c r="G8" s="988" t="s">
        <v>1541</v>
      </c>
      <c r="H8" s="997" t="s">
        <v>1541</v>
      </c>
      <c r="I8" s="997" t="s">
        <v>1541</v>
      </c>
      <c r="J8" s="997" t="s">
        <v>1541</v>
      </c>
      <c r="K8" s="997" t="s">
        <v>1618</v>
      </c>
      <c r="L8" s="997" t="s">
        <v>1618</v>
      </c>
    </row>
    <row r="9" spans="1:12" ht="55.5" customHeight="1" x14ac:dyDescent="0.2">
      <c r="A9" s="991"/>
      <c r="B9" s="993"/>
      <c r="C9" s="993"/>
      <c r="D9" s="493" t="s">
        <v>307</v>
      </c>
      <c r="E9" s="494" t="s">
        <v>308</v>
      </c>
      <c r="F9" s="993"/>
      <c r="G9" s="988"/>
      <c r="H9" s="997"/>
      <c r="I9" s="997"/>
      <c r="J9" s="997"/>
      <c r="K9" s="997"/>
      <c r="L9" s="997"/>
    </row>
    <row r="10" spans="1:12" ht="31.5" x14ac:dyDescent="0.2">
      <c r="A10" s="107" t="str">
        <f>IF(B10&gt;0,VLOOKUP(B10,КВСР!A1:B1166,2),IF(C10&gt;0,VLOOKUP(C10,КФСР!A1:B1513,2),IF(D10&gt;0,VLOOKUP(D10,Программа!A$1:B$5124,2),IF(F10&gt;0,VLOOKUP(F10,КВР!A$1:B$5001,2),IF(E10&gt;0,VLOOKUP(E10,Направление!A$1:B$4812,2))))))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3">
        <v>413233506</v>
      </c>
      <c r="H10" s="372">
        <f>H11+H15+H27+H31+H67+H92+H102+H162+H211+H23+H157+H182+H62+H149+H229+H220</f>
        <v>0</v>
      </c>
      <c r="I10" s="372">
        <f t="shared" ref="I10:L10" si="0">I11+I15+I27+I31+I67+I92+I102+I162+I211+I23+I157+I182+I62+I149+I229+I220</f>
        <v>413233506</v>
      </c>
      <c r="J10" s="372">
        <v>494232109</v>
      </c>
      <c r="K10" s="372">
        <f t="shared" si="0"/>
        <v>0</v>
      </c>
      <c r="L10" s="372">
        <f t="shared" si="0"/>
        <v>494232109</v>
      </c>
    </row>
    <row r="11" spans="1:12" ht="63" x14ac:dyDescent="0.2">
      <c r="A11" s="113" t="str">
        <f>IF(B11&gt;0,VLOOKUP(B11,КВСР!A2:B1167,2),IF(C11&gt;0,VLOOKUP(C11,КФСР!A2:B1514,2),IF(D11&gt;0,VLOOKUP(D11,Программа!A$1:B$5124,2),IF(F11&gt;0,VLOOKUP(F11,КВР!A$1:B$5001,2),IF(E11&gt;0,VLOOKUP(E11,Направление!A$1:B$4812,2))))))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4">
        <v>1647072</v>
      </c>
      <c r="H11" s="369">
        <f t="shared" ref="H11:I13" si="1">H12</f>
        <v>0</v>
      </c>
      <c r="I11" s="369">
        <f t="shared" si="1"/>
        <v>1647072</v>
      </c>
      <c r="J11" s="369">
        <v>1647072</v>
      </c>
      <c r="K11" s="369">
        <f t="shared" ref="K11:L13" si="2">K12</f>
        <v>0</v>
      </c>
      <c r="L11" s="369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IF(B12&gt;0,VLOOKUP(B12,КВСР!A3:B1168,2),IF(C12&gt;0,VLOOKUP(C12,КФСР!A3:B1515,2),IF(D12&gt;0,VLOOKUP(D12,Программа!A$1:B$5124,2),IF(F12&gt;0,VLOOKUP(F12,КВР!A$1:B$5001,2),IF(E12&gt;0,VLOOKUP(E12,Направление!A$1:B$4812,2))))))</f>
        <v>Непрограммные расходы бюджета</v>
      </c>
      <c r="B12" s="114"/>
      <c r="C12" s="109"/>
      <c r="D12" s="110" t="s">
        <v>311</v>
      </c>
      <c r="E12" s="109"/>
      <c r="F12" s="111"/>
      <c r="G12" s="374">
        <v>1647072</v>
      </c>
      <c r="H12" s="369">
        <f t="shared" si="1"/>
        <v>0</v>
      </c>
      <c r="I12" s="369">
        <f t="shared" si="1"/>
        <v>1647072</v>
      </c>
      <c r="J12" s="369">
        <v>1647072</v>
      </c>
      <c r="K12" s="369">
        <f t="shared" si="2"/>
        <v>0</v>
      </c>
      <c r="L12" s="369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IF(B13&gt;0,VLOOKUP(B13,КВСР!A4:B1169,2),IF(C13&gt;0,VLOOKUP(C13,КФСР!A4:B1516,2),IF(D13&gt;0,VLOOKUP(D13,Программа!A$1:B$5124,2),IF(F13&gt;0,VLOOKUP(F13,КВР!A$1:B$5001,2),IF(E13&gt;0,VLOOKUP(E13,Направление!A$1:B$4812,2))))))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4">
        <v>1647072</v>
      </c>
      <c r="H13" s="369">
        <f t="shared" si="1"/>
        <v>0</v>
      </c>
      <c r="I13" s="369">
        <f t="shared" si="1"/>
        <v>1647072</v>
      </c>
      <c r="J13" s="369">
        <v>1647072</v>
      </c>
      <c r="K13" s="369">
        <f t="shared" si="2"/>
        <v>0</v>
      </c>
      <c r="L13" s="369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IF(B14&gt;0,VLOOKUP(B14,КВСР!A5:B1170,2),IF(C14&gt;0,VLOOKUP(C14,КФСР!A5:B1517,2),IF(D14&gt;0,VLOOKUP(D14,Программа!A$1:B$5124,2),IF(F14&gt;0,VLOOKUP(F14,КВР!A$1:B$5001,2),IF(E14&gt;0,VLOOKUP(E14,Направление!A$1:B$4812,2))))))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6">
        <v>1647072</v>
      </c>
      <c r="H14" s="369"/>
      <c r="I14" s="369">
        <f t="shared" ref="I14" si="3">SUM(G14:H14)</f>
        <v>1647072</v>
      </c>
      <c r="J14" s="369">
        <v>1647072</v>
      </c>
      <c r="K14" s="286"/>
      <c r="L14" s="286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IF(B15&gt;0,VLOOKUP(B15,КВСР!A7:B1172,2),IF(C15&gt;0,VLOOKUP(C15,КФСР!A7:B1519,2),IF(D15&gt;0,VLOOKUP(D15,Программа!A$1:B$5124,2),IF(F15&gt;0,VLOOKUP(F15,КВР!A$1:B$5001,2),IF(E15&gt;0,VLOOKUP(E15,Направление!A$1:B$4812,2))))))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4">
        <v>27304988</v>
      </c>
      <c r="H15" s="369">
        <f t="shared" ref="H15:L15" si="5">H16</f>
        <v>0</v>
      </c>
      <c r="I15" s="369">
        <f t="shared" si="5"/>
        <v>27304988</v>
      </c>
      <c r="J15" s="369">
        <v>22304988</v>
      </c>
      <c r="K15" s="369">
        <f t="shared" si="5"/>
        <v>0</v>
      </c>
      <c r="L15" s="369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IF(B16&gt;0,VLOOKUP(B16,КВСР!A8:B1173,2),IF(C16&gt;0,VLOOKUP(C16,КФСР!A8:B1520,2),IF(D16&gt;0,VLOOKUP(D16,Программа!A$1:B$5124,2),IF(F16&gt;0,VLOOKUP(F16,КВР!A$1:B$5001,2),IF(E16&gt;0,VLOOKUP(E16,Направление!A$1:B$4812,2))))))</f>
        <v>Непрограммные расходы бюджета</v>
      </c>
      <c r="B16" s="114"/>
      <c r="C16" s="109"/>
      <c r="D16" s="110" t="s">
        <v>311</v>
      </c>
      <c r="E16" s="109"/>
      <c r="F16" s="111"/>
      <c r="G16" s="374">
        <v>27304988</v>
      </c>
      <c r="H16" s="369">
        <f t="shared" ref="H16:I16" si="6">H17+H21</f>
        <v>0</v>
      </c>
      <c r="I16" s="369">
        <f t="shared" si="6"/>
        <v>27304988</v>
      </c>
      <c r="J16" s="369">
        <v>22304988</v>
      </c>
      <c r="K16" s="369">
        <f t="shared" ref="K16:L16" si="7">K17+K21</f>
        <v>0</v>
      </c>
      <c r="L16" s="369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IF(B17&gt;0,VLOOKUP(B17,КВСР!A9:B1174,2),IF(C17&gt;0,VLOOKUP(C17,КФСР!A9:B1521,2),IF(D17&gt;0,VLOOKUP(D17,Программа!A$1:B$5124,2),IF(F17&gt;0,VLOOKUP(F17,КВР!A$1:B$5001,2),IF(E17&gt;0,VLOOKUP(E17,Направление!A$1:B$4812,2))))))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4">
        <v>5000000</v>
      </c>
      <c r="H17" s="369">
        <f t="shared" ref="H17:I17" si="8">H18+H19+H20</f>
        <v>0</v>
      </c>
      <c r="I17" s="369">
        <f t="shared" si="8"/>
        <v>5000000</v>
      </c>
      <c r="J17" s="369">
        <v>0</v>
      </c>
      <c r="K17" s="369">
        <f t="shared" ref="K17:L17" si="9">K18+K19+K20</f>
        <v>0</v>
      </c>
      <c r="L17" s="369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IF(B18&gt;0,VLOOKUP(B18,КВСР!A10:B1175,2),IF(C18&gt;0,VLOOKUP(C18,КФСР!A10:B1522,2),IF(D18&gt;0,VLOOKUP(D18,Программа!A$1:B$5124,2),IF(F18&gt;0,VLOOKUP(F18,КВР!A$1:B$5001,2),IF(E18&gt;0,VLOOKUP(E18,Направление!A$1:B$4812,2))))))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6">
        <v>2000000</v>
      </c>
      <c r="H18" s="369"/>
      <c r="I18" s="369">
        <f t="shared" ref="I18:I300" si="10">SUM(G18:H18)</f>
        <v>2000000</v>
      </c>
      <c r="J18" s="369">
        <v>0</v>
      </c>
      <c r="K18" s="286"/>
      <c r="L18" s="286">
        <f t="shared" ref="L18:L300" si="11">SUM(J18:K18)</f>
        <v>0</v>
      </c>
    </row>
    <row r="19" spans="1:12" ht="62.25" customHeight="1" x14ac:dyDescent="0.2">
      <c r="A19" s="113" t="str">
        <f>IF(B19&gt;0,VLOOKUP(B19,КВСР!A13:B1178,2),IF(C19&gt;0,VLOOKUP(C19,КФСР!A13:B1525,2),IF(D19&gt;0,VLOOKUP(D19,Программа!A$1:B$5124,2),IF(F19&gt;0,VLOOKUP(F19,КВР!A$1:B$5001,2),IF(E19&gt;0,VLOOKUP(E19,Направление!A$1:B$4812,2))))))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6">
        <v>3000000</v>
      </c>
      <c r="H19" s="369"/>
      <c r="I19" s="369">
        <f t="shared" si="10"/>
        <v>3000000</v>
      </c>
      <c r="J19" s="369">
        <v>0</v>
      </c>
      <c r="K19" s="286"/>
      <c r="L19" s="286">
        <f t="shared" si="11"/>
        <v>0</v>
      </c>
    </row>
    <row r="20" spans="1:12" ht="15.75" hidden="1" x14ac:dyDescent="0.2">
      <c r="A20" s="113" t="str">
        <f>IF(B20&gt;0,VLOOKUP(B20,КВСР!A14:B1179,2),IF(C20&gt;0,VLOOKUP(C20,КФСР!A14:B1526,2),IF(D20&gt;0,VLOOKUP(D20,Программа!A$1:B$5124,2),IF(F20&gt;0,VLOOKUP(F20,КВР!A$1:B$5001,2),IF(E20&gt;0,VLOOKUP(E20,Направление!A$1:B$4812,2))))))</f>
        <v>Иные бюджетные ассигнования</v>
      </c>
      <c r="B20" s="114"/>
      <c r="C20" s="109"/>
      <c r="D20" s="110"/>
      <c r="E20" s="109"/>
      <c r="F20" s="111">
        <v>800</v>
      </c>
      <c r="G20" s="376">
        <v>0</v>
      </c>
      <c r="H20" s="369"/>
      <c r="I20" s="369">
        <f t="shared" si="10"/>
        <v>0</v>
      </c>
      <c r="J20" s="369">
        <v>0</v>
      </c>
      <c r="K20" s="286"/>
      <c r="L20" s="286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IF(B21&gt;0,VLOOKUP(B21,КВСР!A15:B1180,2),IF(C21&gt;0,VLOOKUP(C21,КФСР!A15:B1527,2),IF(D21&gt;0,VLOOKUP(D21,Программа!A$1:B$5124,2),IF(F21&gt;0,VLOOKUP(F21,КВР!A$1:B$5001,2),IF(E21&gt;0,VLOOKUP(E21,Направление!A$1:B$4812,2))))))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6">
        <v>22304988</v>
      </c>
      <c r="H21" s="369">
        <f t="shared" ref="H21:L21" si="12">H22</f>
        <v>0</v>
      </c>
      <c r="I21" s="369">
        <f t="shared" si="12"/>
        <v>22304988</v>
      </c>
      <c r="J21" s="369">
        <v>22304988</v>
      </c>
      <c r="K21" s="369">
        <f t="shared" si="12"/>
        <v>0</v>
      </c>
      <c r="L21" s="369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IF(B22&gt;0,VLOOKUP(B22,КВСР!A16:B1181,2),IF(C22&gt;0,VLOOKUP(C22,КФСР!A16:B1528,2),IF(D22&gt;0,VLOOKUP(D22,Программа!A$1:B$5124,2),IF(F22&gt;0,VLOOKUP(F22,КВР!A$1:B$5001,2),IF(E22&gt;0,VLOOKUP(E22,Направление!A$1:B$4812,2))))))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6">
        <v>22304988</v>
      </c>
      <c r="H22" s="369"/>
      <c r="I22" s="369">
        <f>G22+H22</f>
        <v>22304988</v>
      </c>
      <c r="J22" s="369">
        <v>22304988</v>
      </c>
      <c r="K22" s="286"/>
      <c r="L22" s="286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IF(B23&gt;0,VLOOKUP(B23,КВСР!A17:B1182,2),IF(C23&gt;0,VLOOKUP(C23,КФСР!A17:B1529,2),IF(D23&gt;0,VLOOKUP(D23,Программа!A$1:B$5124,2),IF(F23&gt;0,VLOOKUP(F23,КВР!A$1:B$5001,2),IF(E23&gt;0,VLOOKUP(E23,Направление!A$1:B$4812,2))))))</f>
        <v>Судебная система</v>
      </c>
      <c r="B23" s="114"/>
      <c r="C23" s="109">
        <v>105</v>
      </c>
      <c r="D23" s="110"/>
      <c r="E23" s="109"/>
      <c r="F23" s="111"/>
      <c r="G23" s="376">
        <v>3059</v>
      </c>
      <c r="H23" s="369">
        <f t="shared" ref="H23:L25" si="13">H24</f>
        <v>0</v>
      </c>
      <c r="I23" s="369">
        <f t="shared" si="13"/>
        <v>3059</v>
      </c>
      <c r="J23" s="369">
        <v>2726</v>
      </c>
      <c r="K23" s="369">
        <f t="shared" si="13"/>
        <v>0</v>
      </c>
      <c r="L23" s="369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IF(B24&gt;0,VLOOKUP(B24,КВСР!A18:B1183,2),IF(C24&gt;0,VLOOKUP(C24,КФСР!A18:B1530,2),IF(D24&gt;0,VLOOKUP(D24,Программа!A$1:B$5124,2),IF(F24&gt;0,VLOOKUP(F24,КВР!A$1:B$5001,2),IF(E24&gt;0,VLOOKUP(E24,Направление!A$1:B$4812,2))))))</f>
        <v>Непрограммные расходы бюджета</v>
      </c>
      <c r="B24" s="114"/>
      <c r="C24" s="109"/>
      <c r="D24" s="110" t="s">
        <v>311</v>
      </c>
      <c r="E24" s="109"/>
      <c r="F24" s="111"/>
      <c r="G24" s="376">
        <v>3059</v>
      </c>
      <c r="H24" s="369">
        <f t="shared" si="13"/>
        <v>0</v>
      </c>
      <c r="I24" s="369">
        <f t="shared" si="13"/>
        <v>3059</v>
      </c>
      <c r="J24" s="369">
        <v>2726</v>
      </c>
      <c r="K24" s="369">
        <f t="shared" si="13"/>
        <v>0</v>
      </c>
      <c r="L24" s="369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IF(B25&gt;0,VLOOKUP(B25,КВСР!A19:B1184,2),IF(C25&gt;0,VLOOKUP(C25,КФСР!A19:B1531,2),IF(D25&gt;0,VLOOKUP(D25,Программа!A$1:B$5124,2),IF(F25&gt;0,VLOOKUP(F25,КВР!A$1:B$5001,2),IF(E25&gt;0,VLOOKUP(E25,Направление!A$1:B$4812,2))))))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6">
        <v>3059</v>
      </c>
      <c r="H25" s="369">
        <f t="shared" si="13"/>
        <v>0</v>
      </c>
      <c r="I25" s="369">
        <f t="shared" si="13"/>
        <v>3059</v>
      </c>
      <c r="J25" s="369">
        <v>2726</v>
      </c>
      <c r="K25" s="369">
        <f t="shared" si="13"/>
        <v>0</v>
      </c>
      <c r="L25" s="369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IF(B26&gt;0,VLOOKUP(B26,КВСР!A20:B1185,2),IF(C26&gt;0,VLOOKUP(C26,КФСР!A20:B1532,2),IF(D26&gt;0,VLOOKUP(D26,Программа!A$1:B$5124,2),IF(F26&gt;0,VLOOKUP(F26,КВР!A$1:B$5001,2),IF(E26&gt;0,VLOOKUP(E26,Направление!A$1:B$4812,2))))))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6">
        <v>3059</v>
      </c>
      <c r="H26" s="369"/>
      <c r="I26" s="369">
        <f>G26+H26</f>
        <v>3059</v>
      </c>
      <c r="J26" s="369">
        <v>2726</v>
      </c>
      <c r="K26" s="286"/>
      <c r="L26" s="286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IF(B27&gt;0,VLOOKUP(B27,КВСР!A14:B1179,2),IF(C27&gt;0,VLOOKUP(C27,КФСР!A14:B1526,2),IF(D27&gt;0,VLOOKUP(D27,Программа!A$1:B$5124,2),IF(F27&gt;0,VLOOKUP(F27,КВР!A$1:B$5001,2),IF(E27&gt;0,VLOOKUP(E27,Направление!A$1:B$4812,2))))))</f>
        <v>Резервные фонды</v>
      </c>
      <c r="B27" s="114"/>
      <c r="C27" s="109">
        <v>111</v>
      </c>
      <c r="D27" s="110"/>
      <c r="E27" s="109"/>
      <c r="F27" s="111"/>
      <c r="G27" s="374">
        <v>3000000</v>
      </c>
      <c r="H27" s="369">
        <f t="shared" ref="H27:I29" si="14">H28</f>
        <v>0</v>
      </c>
      <c r="I27" s="369">
        <f t="shared" si="14"/>
        <v>3000000</v>
      </c>
      <c r="J27" s="369">
        <v>3000000</v>
      </c>
      <c r="K27" s="369">
        <f t="shared" ref="K27:L29" si="15">K28</f>
        <v>0</v>
      </c>
      <c r="L27" s="369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IF(B28&gt;0,VLOOKUP(B28,КВСР!A22:B1187,2),IF(C28&gt;0,VLOOKUP(C28,КФСР!A22:B1534,2),IF(D28&gt;0,VLOOKUP(D28,Программа!A$1:B$5124,2),IF(F28&gt;0,VLOOKUP(F28,КВР!A$1:B$5001,2),IF(E28&gt;0,VLOOKUP(E28,Направление!A$1:B$4812,2))))))</f>
        <v>Непрограммные расходы бюджета</v>
      </c>
      <c r="B28" s="114"/>
      <c r="C28" s="109"/>
      <c r="D28" s="110" t="s">
        <v>311</v>
      </c>
      <c r="E28" s="109"/>
      <c r="F28" s="111"/>
      <c r="G28" s="374">
        <v>3000000</v>
      </c>
      <c r="H28" s="369">
        <f t="shared" si="14"/>
        <v>0</v>
      </c>
      <c r="I28" s="369">
        <f t="shared" si="14"/>
        <v>3000000</v>
      </c>
      <c r="J28" s="369">
        <v>3000000</v>
      </c>
      <c r="K28" s="369">
        <f t="shared" si="15"/>
        <v>0</v>
      </c>
      <c r="L28" s="369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IF(B29&gt;0,VLOOKUP(B29,КВСР!A23:B1188,2),IF(C29&gt;0,VLOOKUP(C29,КФСР!A23:B1535,2),IF(D29&gt;0,VLOOKUP(D29,Программа!A$1:B$5124,2),IF(F29&gt;0,VLOOKUP(F29,КВР!A$1:B$5001,2),IF(E29&gt;0,VLOOKUP(E29,Направление!A$1:B$4812,2))))))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4">
        <v>3000000</v>
      </c>
      <c r="H29" s="369">
        <f t="shared" si="14"/>
        <v>0</v>
      </c>
      <c r="I29" s="369">
        <f t="shared" si="14"/>
        <v>3000000</v>
      </c>
      <c r="J29" s="369">
        <v>3000000</v>
      </c>
      <c r="K29" s="369">
        <f t="shared" si="15"/>
        <v>0</v>
      </c>
      <c r="L29" s="369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IF(B30&gt;0,VLOOKUP(B30,КВСР!A24:B1189,2),IF(C30&gt;0,VLOOKUP(C30,КФСР!A24:B1536,2),IF(D30&gt;0,VLOOKUP(D30,Программа!A$1:B$5124,2),IF(F30&gt;0,VLOOKUP(F30,КВР!A$1:B$5001,2),IF(E30&gt;0,VLOOKUP(E30,Направление!A$1:B$4812,2))))))</f>
        <v>Иные бюджетные ассигнования</v>
      </c>
      <c r="B30" s="114"/>
      <c r="C30" s="109"/>
      <c r="D30" s="110"/>
      <c r="E30" s="109"/>
      <c r="F30" s="111">
        <v>800</v>
      </c>
      <c r="G30" s="376">
        <v>3000000</v>
      </c>
      <c r="H30" s="369"/>
      <c r="I30" s="369">
        <f t="shared" si="10"/>
        <v>3000000</v>
      </c>
      <c r="J30" s="369">
        <v>3000000</v>
      </c>
      <c r="K30" s="286"/>
      <c r="L30" s="286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IF(B31&gt;0,VLOOKUP(B31,КВСР!A25:B1190,2),IF(C31&gt;0,VLOOKUP(C31,КФСР!A25:B1537,2),IF(D31&gt;0,VLOOKUP(D31,Программа!A$1:B$5124,2),IF(F31&gt;0,VLOOKUP(F31,КВР!A$1:B$5001,2),IF(E31&gt;0,VLOOKUP(E31,Направление!A$1:B$4812,2))))))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4">
        <v>25091738</v>
      </c>
      <c r="H31" s="369">
        <f t="shared" ref="H31:I31" si="16">H43+H37+H32</f>
        <v>0</v>
      </c>
      <c r="I31" s="369">
        <f t="shared" si="16"/>
        <v>25091738</v>
      </c>
      <c r="J31" s="369">
        <v>6784525</v>
      </c>
      <c r="K31" s="369">
        <f t="shared" ref="K31:L31" si="17">K43+K37+K32</f>
        <v>0</v>
      </c>
      <c r="L31" s="369">
        <f t="shared" si="17"/>
        <v>6784525</v>
      </c>
    </row>
    <row r="32" spans="1:12" ht="94.5" x14ac:dyDescent="0.2">
      <c r="A32" s="113" t="str">
        <f>IF(B32&gt;0,VLOOKUP(B32,КВСР!A26:B1191,2),IF(C32&gt;0,VLOOKUP(C32,КФСР!A26:B1538,2),IF(D32&gt;0,VLOOKUP(D32,Программа!A$1:B$5124,2),IF(F32&gt;0,VLOOKUP(F32,КВР!A$1:B$5001,2),IF(E32&gt;0,VLOOKUP(E32,Направление!A$1:B$4812,2))))))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330</v>
      </c>
      <c r="E32" s="109"/>
      <c r="F32" s="111"/>
      <c r="G32" s="374">
        <v>600000</v>
      </c>
      <c r="H32" s="369">
        <f t="shared" ref="H32:I33" si="18">H33</f>
        <v>0</v>
      </c>
      <c r="I32" s="369">
        <f t="shared" si="18"/>
        <v>600000</v>
      </c>
      <c r="J32" s="369">
        <v>600000</v>
      </c>
      <c r="K32" s="369">
        <f t="shared" ref="K32:K33" si="19">K33</f>
        <v>0</v>
      </c>
      <c r="L32" s="369">
        <f t="shared" ref="L32:L33" si="20">L33</f>
        <v>600000</v>
      </c>
    </row>
    <row r="33" spans="1:12" ht="94.5" x14ac:dyDescent="0.2">
      <c r="A33" s="113" t="str">
        <f>IF(B33&gt;0,VLOOKUP(B33,КВСР!A27:B1192,2),IF(C33&gt;0,VLOOKUP(C33,КФСР!A27:B1539,2),IF(D33&gt;0,VLOOKUP(D33,Программа!A$1:B$5124,2),IF(F33&gt;0,VLOOKUP(F33,КВР!A$1:B$5001,2),IF(E33&gt;0,VLOOKUP(E33,Направление!A$1:B$4812,2))))))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14"/>
      <c r="C33" s="109"/>
      <c r="D33" s="110" t="s">
        <v>1687</v>
      </c>
      <c r="E33" s="109"/>
      <c r="F33" s="111"/>
      <c r="G33" s="374">
        <v>600000</v>
      </c>
      <c r="H33" s="369">
        <f t="shared" si="18"/>
        <v>0</v>
      </c>
      <c r="I33" s="369">
        <f t="shared" si="18"/>
        <v>600000</v>
      </c>
      <c r="J33" s="369">
        <v>600000</v>
      </c>
      <c r="K33" s="369">
        <f t="shared" si="19"/>
        <v>0</v>
      </c>
      <c r="L33" s="369">
        <f t="shared" si="20"/>
        <v>600000</v>
      </c>
    </row>
    <row r="34" spans="1:12" ht="47.25" x14ac:dyDescent="0.2">
      <c r="A34" s="113" t="str">
        <f>IF(B34&gt;0,VLOOKUP(B34,КВСР!A28:B1193,2),IF(C34&gt;0,VLOOKUP(C34,КФСР!A28:B1540,2),IF(D34&gt;0,VLOOKUP(D34,Программа!A$1:B$5124,2),IF(F34&gt;0,VLOOKUP(F34,КВР!A$1:B$5001,2),IF(E34&gt;0,VLOOKUP(E34,Направление!A$1:B$4812,2))))))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4">
        <v>600000</v>
      </c>
      <c r="H34" s="369">
        <f>H36+H35</f>
        <v>0</v>
      </c>
      <c r="I34" s="369">
        <f t="shared" ref="I34:L34" si="21">I36+I35</f>
        <v>600000</v>
      </c>
      <c r="J34" s="369">
        <v>600000</v>
      </c>
      <c r="K34" s="369">
        <f t="shared" si="21"/>
        <v>0</v>
      </c>
      <c r="L34" s="369">
        <f t="shared" si="21"/>
        <v>600000</v>
      </c>
    </row>
    <row r="35" spans="1:12" ht="31.5" x14ac:dyDescent="0.2">
      <c r="A35" s="113" t="str">
        <f>IF(B35&gt;0,VLOOKUP(B35,КВСР!A29:B1194,2),IF(C35&gt;0,VLOOKUP(C35,КФСР!A29:B1541,2),IF(D35&gt;0,VLOOKUP(D35,Программа!A$1:B$5124,2),IF(F35&gt;0,VLOOKUP(F35,КВР!A$1:B$5001,2),IF(E35&gt;0,VLOOKUP(E35,Направление!A$1:B$4812,2))))))</f>
        <v>Социальное обеспечение и иные выплаты населению</v>
      </c>
      <c r="B35" s="114"/>
      <c r="C35" s="109"/>
      <c r="D35" s="110"/>
      <c r="E35" s="109"/>
      <c r="F35" s="111">
        <v>300</v>
      </c>
      <c r="G35" s="374">
        <v>150000</v>
      </c>
      <c r="H35" s="369"/>
      <c r="I35" s="369">
        <f>G35+H35</f>
        <v>150000</v>
      </c>
      <c r="J35" s="369">
        <v>150000</v>
      </c>
      <c r="K35" s="369"/>
      <c r="L35" s="286">
        <f>J35+K35</f>
        <v>150000</v>
      </c>
    </row>
    <row r="36" spans="1:12" ht="47.25" x14ac:dyDescent="0.2">
      <c r="A36" s="113" t="str">
        <f>IF(B36&gt;0,VLOOKUP(B36,КВСР!A29:B1194,2),IF(C36&gt;0,VLOOKUP(C36,КФСР!A29:B1541,2),IF(D36&gt;0,VLOOKUP(D36,Программа!A$1:B$5124,2),IF(F36&gt;0,VLOOKUP(F36,КВР!A$1:B$5001,2),IF(E36&gt;0,VLOOKUP(E36,Направление!A$1:B$4812,2))))))</f>
        <v>Предоставление субсидий бюджетным, автономным учреждениям и иным некоммерческим организациям</v>
      </c>
      <c r="B36" s="114"/>
      <c r="C36" s="109"/>
      <c r="D36" s="110"/>
      <c r="E36" s="109"/>
      <c r="F36" s="111">
        <v>600</v>
      </c>
      <c r="G36" s="374">
        <v>450000</v>
      </c>
      <c r="H36" s="369"/>
      <c r="I36" s="369">
        <f>G36+H36</f>
        <v>450000</v>
      </c>
      <c r="J36" s="369">
        <v>450000</v>
      </c>
      <c r="K36" s="286"/>
      <c r="L36" s="286">
        <f>J36+K36</f>
        <v>450000</v>
      </c>
    </row>
    <row r="37" spans="1:12" ht="78.75" x14ac:dyDescent="0.2">
      <c r="A37" s="113" t="str">
        <f>IF(B37&gt;0,VLOOKUP(B37,КВСР!A26:B1191,2),IF(C37&gt;0,VLOOKUP(C37,КФСР!A26:B1538,2),IF(D37&gt;0,VLOOKUP(D37,Программа!A$1:B$5124,2),IF(F37&gt;0,VLOOKUP(F37,КВР!A$1:B$5001,2),IF(E37&gt;0,VLOOKUP(E37,Направление!A$1:B$4812,2))))))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4"/>
      <c r="C37" s="109"/>
      <c r="D37" s="110" t="s">
        <v>1136</v>
      </c>
      <c r="E37" s="109"/>
      <c r="F37" s="111"/>
      <c r="G37" s="374">
        <v>100000</v>
      </c>
      <c r="H37" s="369">
        <f t="shared" ref="H37:L41" si="22">H38</f>
        <v>120000</v>
      </c>
      <c r="I37" s="369">
        <f t="shared" si="22"/>
        <v>220000</v>
      </c>
      <c r="J37" s="369">
        <v>100000</v>
      </c>
      <c r="K37" s="286">
        <f t="shared" si="22"/>
        <v>0</v>
      </c>
      <c r="L37" s="286">
        <f t="shared" si="22"/>
        <v>100000</v>
      </c>
    </row>
    <row r="38" spans="1:12" ht="31.5" x14ac:dyDescent="0.2">
      <c r="A38" s="113" t="str">
        <f>IF(B38&gt;0,VLOOKUP(B38,КВСР!A27:B1192,2),IF(C38&gt;0,VLOOKUP(C38,КФСР!A27:B1539,2),IF(D38&gt;0,VLOOKUP(D38,Программа!A$1:B$5124,2),IF(F38&gt;0,VLOOKUP(F38,КВР!A$1:B$5001,2),IF(E38&gt;0,VLOOKUP(E38,Направление!A$1:B$4812,2))))))</f>
        <v>Мероприятия по обеспечению безопасности жителей района</v>
      </c>
      <c r="B38" s="114"/>
      <c r="C38" s="109"/>
      <c r="D38" s="110" t="s">
        <v>1137</v>
      </c>
      <c r="E38" s="109"/>
      <c r="F38" s="111"/>
      <c r="G38" s="374">
        <v>100000</v>
      </c>
      <c r="H38" s="369">
        <f>H41+H39</f>
        <v>120000</v>
      </c>
      <c r="I38" s="369">
        <f>I41+I39</f>
        <v>220000</v>
      </c>
      <c r="J38" s="369">
        <v>100000</v>
      </c>
      <c r="K38" s="286">
        <f>K41</f>
        <v>0</v>
      </c>
      <c r="L38" s="286">
        <f>L41</f>
        <v>100000</v>
      </c>
    </row>
    <row r="39" spans="1:12" ht="31.5" x14ac:dyDescent="0.2">
      <c r="A39" s="113" t="str">
        <f>IF(B39&gt;0,VLOOKUP(B39,КВСР!A28:B1193,2),IF(C39&gt;0,VLOOKUP(C39,КФСР!A28:B1540,2),IF(D39&gt;0,VLOOKUP(D39,Программа!A$1:B$5124,2),IF(F39&gt;0,VLOOKUP(F39,КВР!A$1:B$5001,2),IF(E39&gt;0,VLOOKUP(E39,Направление!A$1:B$4812,2))))))</f>
        <v>Расходы на обеспечение безопасности жителей района</v>
      </c>
      <c r="B39" s="114"/>
      <c r="C39" s="109"/>
      <c r="D39" s="110"/>
      <c r="E39" s="109">
        <v>12270</v>
      </c>
      <c r="F39" s="111"/>
      <c r="G39" s="374"/>
      <c r="H39" s="369">
        <f>H40</f>
        <v>120000</v>
      </c>
      <c r="I39" s="369">
        <f>H39+G39</f>
        <v>120000</v>
      </c>
      <c r="J39" s="369"/>
      <c r="K39" s="286"/>
      <c r="L39" s="286">
        <v>0</v>
      </c>
    </row>
    <row r="40" spans="1:12" ht="63" x14ac:dyDescent="0.2">
      <c r="A40" s="113" t="str">
        <f>IF(B40&gt;0,VLOOKUP(B40,КВСР!A29:B1194,2),IF(C40&gt;0,VLOOKUP(C40,КФСР!A29:B1541,2),IF(D40&gt;0,VLOOKUP(D40,Программа!A$1:B$5124,2),IF(F40&gt;0,VLOOKUP(F40,КВР!A$1:B$5001,2),IF(E40&gt;0,VLOOKUP(E40,Направление!A$1:B$4812,2))))))</f>
        <v xml:space="preserve">Закупка товаров, работ и услуг для обеспечения государственных (муниципальных) нужд
</v>
      </c>
      <c r="B40" s="114"/>
      <c r="C40" s="109"/>
      <c r="D40" s="110"/>
      <c r="E40" s="109"/>
      <c r="F40" s="111">
        <v>200</v>
      </c>
      <c r="G40" s="374"/>
      <c r="H40" s="369">
        <v>120000</v>
      </c>
      <c r="I40" s="369">
        <f>H40+G40</f>
        <v>120000</v>
      </c>
      <c r="J40" s="369"/>
      <c r="K40" s="286"/>
      <c r="L40" s="286">
        <v>0</v>
      </c>
    </row>
    <row r="41" spans="1:12" ht="31.5" x14ac:dyDescent="0.2">
      <c r="A41" s="113" t="str">
        <f>IF(B41&gt;0,VLOOKUP(B41,КВСР!A28:B1193,2),IF(C41&gt;0,VLOOKUP(C41,КФСР!A28:B1540,2),IF(D41&gt;0,VLOOKUP(D41,Программа!A$1:B$5124,2),IF(F41&gt;0,VLOOKUP(F41,КВР!A$1:B$5001,2),IF(E41&gt;0,VLOOKUP(E41,Направление!A$1:B$4812,2))))))</f>
        <v>Обеспечение мероприятий по безопасности жителей города</v>
      </c>
      <c r="B41" s="114"/>
      <c r="C41" s="109"/>
      <c r="D41" s="110"/>
      <c r="E41" s="109">
        <v>29766</v>
      </c>
      <c r="F41" s="111"/>
      <c r="G41" s="374">
        <v>100000</v>
      </c>
      <c r="H41" s="369">
        <f t="shared" si="22"/>
        <v>0</v>
      </c>
      <c r="I41" s="369">
        <f t="shared" si="22"/>
        <v>100000</v>
      </c>
      <c r="J41" s="369">
        <v>100000</v>
      </c>
      <c r="K41" s="286">
        <f t="shared" si="22"/>
        <v>0</v>
      </c>
      <c r="L41" s="286">
        <f t="shared" si="22"/>
        <v>100000</v>
      </c>
    </row>
    <row r="42" spans="1:12" ht="63" x14ac:dyDescent="0.2">
      <c r="A42" s="113" t="str">
        <f>IF(B42&gt;0,VLOOKUP(B42,КВСР!A29:B1194,2),IF(C42&gt;0,VLOOKUP(C42,КФСР!A29:B1541,2),IF(D42&gt;0,VLOOKUP(D42,Программа!A$1:B$5124,2),IF(F42&gt;0,VLOOKUP(F42,КВР!A$1:B$5001,2),IF(E42&gt;0,VLOOKUP(E42,Направление!A$1:B$4812,2))))))</f>
        <v xml:space="preserve">Закупка товаров, работ и услуг для обеспечения государственных (муниципальных) нужд
</v>
      </c>
      <c r="B42" s="114"/>
      <c r="C42" s="109"/>
      <c r="D42" s="110"/>
      <c r="E42" s="109"/>
      <c r="F42" s="111">
        <v>200</v>
      </c>
      <c r="G42" s="374">
        <v>100000</v>
      </c>
      <c r="H42" s="369"/>
      <c r="I42" s="369">
        <f>G42+H42</f>
        <v>100000</v>
      </c>
      <c r="J42" s="369">
        <v>100000</v>
      </c>
      <c r="K42" s="286"/>
      <c r="L42" s="286">
        <f>J42+K42</f>
        <v>100000</v>
      </c>
    </row>
    <row r="43" spans="1:12" ht="15.75" x14ac:dyDescent="0.2">
      <c r="A43" s="113" t="str">
        <f>IF(B43&gt;0,VLOOKUP(B43,КВСР!A38:B1203,2),IF(C43&gt;0,VLOOKUP(C43,КФСР!A38:B1550,2),IF(D43&gt;0,VLOOKUP(D43,Программа!A$1:B$5124,2),IF(F43&gt;0,VLOOKUP(F43,КВР!A$1:B$5001,2),IF(E43&gt;0,VLOOKUP(E43,Направление!A$1:B$4812,2))))))</f>
        <v>Непрограммные расходы бюджета</v>
      </c>
      <c r="B43" s="114"/>
      <c r="C43" s="109"/>
      <c r="D43" s="110" t="s">
        <v>311</v>
      </c>
      <c r="E43" s="109"/>
      <c r="F43" s="111"/>
      <c r="G43" s="374">
        <v>24391738</v>
      </c>
      <c r="H43" s="369">
        <f t="shared" ref="H43:L43" si="23">H56+H59+H46+H51+H53+H44</f>
        <v>-120000</v>
      </c>
      <c r="I43" s="369">
        <f t="shared" si="23"/>
        <v>24271738</v>
      </c>
      <c r="J43" s="369">
        <v>6084525</v>
      </c>
      <c r="K43" s="369">
        <f t="shared" si="23"/>
        <v>0</v>
      </c>
      <c r="L43" s="369">
        <f t="shared" si="23"/>
        <v>6084525</v>
      </c>
    </row>
    <row r="44" spans="1:12" ht="31.5" x14ac:dyDescent="0.2">
      <c r="A44" s="113" t="str">
        <f>IF(B44&gt;0,VLOOKUP(B44,КВСР!A37:B1202,2),IF(C44&gt;0,VLOOKUP(C44,КФСР!A37:B1549,2),IF(D44&gt;0,VLOOKUP(D44,Программа!A$1:B$5124,2),IF(F44&gt;0,VLOOKUP(F44,КВР!A$1:B$5001,2),IF(E44&gt;0,VLOOKUP(E44,Направление!A$1:B$4812,2))))))</f>
        <v>Выполнение других обязательств органов местного самоуправления</v>
      </c>
      <c r="B44" s="114"/>
      <c r="C44" s="109"/>
      <c r="D44" s="110"/>
      <c r="E44" s="109">
        <v>12080</v>
      </c>
      <c r="F44" s="111"/>
      <c r="G44" s="374">
        <v>4500000</v>
      </c>
      <c r="H44" s="369">
        <f t="shared" ref="H44:L44" si="24">H45</f>
        <v>0</v>
      </c>
      <c r="I44" s="369">
        <f t="shared" si="24"/>
        <v>4500000</v>
      </c>
      <c r="J44" s="369">
        <v>0</v>
      </c>
      <c r="K44" s="369">
        <f t="shared" si="24"/>
        <v>0</v>
      </c>
      <c r="L44" s="369">
        <f t="shared" si="24"/>
        <v>0</v>
      </c>
    </row>
    <row r="45" spans="1:12" ht="15.75" x14ac:dyDescent="0.2">
      <c r="A45" s="113" t="str">
        <f>IF(B45&gt;0,VLOOKUP(B45,КВСР!A38:B1203,2),IF(C45&gt;0,VLOOKUP(C45,КФСР!A38:B1550,2),IF(D45&gt;0,VLOOKUP(D45,Программа!A$1:B$5124,2),IF(F45&gt;0,VLOOKUP(F45,КВР!A$1:B$5001,2),IF(E45&gt;0,VLOOKUP(E45,Направление!A$1:B$4812,2))))))</f>
        <v>Иные бюджетные ассигнования</v>
      </c>
      <c r="B45" s="114"/>
      <c r="C45" s="109"/>
      <c r="D45" s="110"/>
      <c r="E45" s="109"/>
      <c r="F45" s="111">
        <v>800</v>
      </c>
      <c r="G45" s="374">
        <v>4500000</v>
      </c>
      <c r="H45" s="369"/>
      <c r="I45" s="369">
        <f>G45+H45</f>
        <v>4500000</v>
      </c>
      <c r="J45" s="369">
        <v>0</v>
      </c>
      <c r="K45" s="286"/>
      <c r="L45" s="286">
        <f>J45+K45</f>
        <v>0</v>
      </c>
    </row>
    <row r="46" spans="1:12" ht="47.25" x14ac:dyDescent="0.2">
      <c r="A46" s="113" t="str">
        <f>IF(B46&gt;0,VLOOKUP(B46,КВСР!A39:B1204,2),IF(C46&gt;0,VLOOKUP(C46,КФСР!A39:B1551,2),IF(D46&gt;0,VLOOKUP(D46,Программа!A$1:B$5124,2),IF(F46&gt;0,VLOOKUP(F46,КВР!A$1:B$5001,2),IF(E46&gt;0,VLOOKUP(E46,Направление!A$1:B$4812,2))))))</f>
        <v>Обеспечение деятельности подведомственных учреждений органов местного самоуправления</v>
      </c>
      <c r="B46" s="114"/>
      <c r="C46" s="109"/>
      <c r="D46" s="110"/>
      <c r="E46" s="109">
        <v>12100</v>
      </c>
      <c r="F46" s="111"/>
      <c r="G46" s="374">
        <v>14000000</v>
      </c>
      <c r="H46" s="369">
        <f t="shared" ref="H46:L46" si="25">H47+H48+H49+H50</f>
        <v>-120000</v>
      </c>
      <c r="I46" s="369">
        <f t="shared" si="25"/>
        <v>13880000</v>
      </c>
      <c r="J46" s="369">
        <v>0</v>
      </c>
      <c r="K46" s="286">
        <f t="shared" si="25"/>
        <v>0</v>
      </c>
      <c r="L46" s="286">
        <f t="shared" si="25"/>
        <v>0</v>
      </c>
    </row>
    <row r="47" spans="1:12" ht="110.25" x14ac:dyDescent="0.2">
      <c r="A47" s="113" t="str">
        <f>IF(B47&gt;0,VLOOKUP(B47,КВСР!A40:B1205,2),IF(C47&gt;0,VLOOKUP(C47,КФСР!A40:B1552,2),IF(D47&gt;0,VLOOKUP(D47,Программа!A$1:B$5124,2),IF(F47&gt;0,VLOOKUP(F47,КВР!A$1:B$5001,2),IF(E47&gt;0,VLOOKUP(E47,Направление!A$1:B$4812,2))))))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14"/>
      <c r="C47" s="109"/>
      <c r="D47" s="110"/>
      <c r="E47" s="109"/>
      <c r="F47" s="111">
        <v>100</v>
      </c>
      <c r="G47" s="377">
        <v>11615000</v>
      </c>
      <c r="H47" s="369">
        <v>-120000</v>
      </c>
      <c r="I47" s="369">
        <f t="shared" si="10"/>
        <v>11495000</v>
      </c>
      <c r="J47" s="369">
        <v>0</v>
      </c>
      <c r="K47" s="286"/>
      <c r="L47" s="286">
        <f t="shared" si="11"/>
        <v>0</v>
      </c>
    </row>
    <row r="48" spans="1:12" ht="63" x14ac:dyDescent="0.2">
      <c r="A48" s="113" t="str">
        <f>IF(B48&gt;0,VLOOKUP(B48,КВСР!A41:B1206,2),IF(C48&gt;0,VLOOKUP(C48,КФСР!A41:B1553,2),IF(D48&gt;0,VLOOKUP(D48,Программа!A$1:B$5124,2),IF(F48&gt;0,VLOOKUP(F48,КВР!A$1:B$5001,2),IF(E48&gt;0,VLOOKUP(E48,Направление!A$1:B$4812,2))))))</f>
        <v xml:space="preserve">Закупка товаров, работ и услуг для обеспечения государственных (муниципальных) нужд
</v>
      </c>
      <c r="B48" s="114"/>
      <c r="C48" s="109"/>
      <c r="D48" s="110"/>
      <c r="E48" s="109"/>
      <c r="F48" s="111">
        <v>200</v>
      </c>
      <c r="G48" s="377">
        <v>2385000</v>
      </c>
      <c r="H48" s="369"/>
      <c r="I48" s="369">
        <f t="shared" si="10"/>
        <v>2385000</v>
      </c>
      <c r="J48" s="369">
        <v>0</v>
      </c>
      <c r="K48" s="286"/>
      <c r="L48" s="286">
        <f t="shared" si="11"/>
        <v>0</v>
      </c>
    </row>
    <row r="49" spans="1:12" ht="47.25" hidden="1" x14ac:dyDescent="0.2">
      <c r="A49" s="113" t="str">
        <f>IF(B49&gt;0,VLOOKUP(B49,КВСР!A42:B1207,2),IF(C49&gt;0,VLOOKUP(C49,КФСР!A42:B1554,2),IF(D49&gt;0,VLOOKUP(D49,Программа!A$1:B$5124,2),IF(F49&gt;0,VLOOKUP(F49,КВР!A$1:B$5001,2),IF(E49&gt;0,VLOOKUP(E49,Направление!A$1:B$4812,2))))))</f>
        <v>Предоставление субсидий бюджетным, автономным учреждениям и иным некоммерческим организациям</v>
      </c>
      <c r="B49" s="114"/>
      <c r="C49" s="109"/>
      <c r="D49" s="110"/>
      <c r="E49" s="109"/>
      <c r="F49" s="111">
        <v>600</v>
      </c>
      <c r="G49" s="377">
        <v>0</v>
      </c>
      <c r="H49" s="369"/>
      <c r="I49" s="369">
        <f t="shared" si="10"/>
        <v>0</v>
      </c>
      <c r="J49" s="369">
        <v>0</v>
      </c>
      <c r="K49" s="286"/>
      <c r="L49" s="286">
        <f t="shared" si="11"/>
        <v>0</v>
      </c>
    </row>
    <row r="50" spans="1:12" ht="15.75" hidden="1" x14ac:dyDescent="0.2">
      <c r="A50" s="113" t="str">
        <f>IF(B50&gt;0,VLOOKUP(B50,КВСР!A43:B1208,2),IF(C50&gt;0,VLOOKUP(C50,КФСР!A43:B1555,2),IF(D50&gt;0,VLOOKUP(D50,Программа!A$1:B$5124,2),IF(F50&gt;0,VLOOKUP(F50,КВР!A$1:B$5001,2),IF(E50&gt;0,VLOOKUP(E50,Направление!A$1:B$4812,2))))))</f>
        <v>Иные бюджетные ассигнования</v>
      </c>
      <c r="B50" s="114"/>
      <c r="C50" s="109"/>
      <c r="D50" s="110"/>
      <c r="E50" s="109"/>
      <c r="F50" s="111">
        <v>800</v>
      </c>
      <c r="G50" s="377">
        <v>0</v>
      </c>
      <c r="H50" s="369"/>
      <c r="I50" s="369">
        <f t="shared" si="10"/>
        <v>0</v>
      </c>
      <c r="J50" s="369">
        <v>0</v>
      </c>
      <c r="K50" s="286"/>
      <c r="L50" s="286">
        <f t="shared" si="11"/>
        <v>0</v>
      </c>
    </row>
    <row r="51" spans="1:12" ht="31.5" x14ac:dyDescent="0.2">
      <c r="A51" s="113" t="str">
        <f>IF(B51&gt;0,VLOOKUP(B51,КВСР!A44:B1209,2),IF(C51&gt;0,VLOOKUP(C51,КФСР!A44:B1556,2),IF(D51&gt;0,VLOOKUP(D51,Программа!A$1:B$5124,2),IF(F51&gt;0,VLOOKUP(F51,КВР!A$1:B$5001,2),IF(E51&gt;0,VLOOKUP(E51,Направление!A$1:B$4812,2))))))</f>
        <v>Представительские расходы органов местного самоуправления</v>
      </c>
      <c r="B51" s="114"/>
      <c r="C51" s="109"/>
      <c r="D51" s="110"/>
      <c r="E51" s="109">
        <v>12600</v>
      </c>
      <c r="F51" s="111"/>
      <c r="G51" s="377">
        <v>100000</v>
      </c>
      <c r="H51" s="369">
        <f t="shared" ref="H51:I51" si="26">H52</f>
        <v>0</v>
      </c>
      <c r="I51" s="369">
        <f t="shared" si="26"/>
        <v>100000</v>
      </c>
      <c r="J51" s="369">
        <v>0</v>
      </c>
      <c r="K51" s="286">
        <v>0</v>
      </c>
      <c r="L51" s="286">
        <f t="shared" si="11"/>
        <v>0</v>
      </c>
    </row>
    <row r="52" spans="1:12" ht="63" x14ac:dyDescent="0.2">
      <c r="A52" s="113" t="str">
        <f>IF(B52&gt;0,VLOOKUP(B52,КВСР!A45:B1210,2),IF(C52&gt;0,VLOOKUP(C52,КФСР!A45:B1557,2),IF(D52&gt;0,VLOOKUP(D52,Программа!A$1:B$5124,2),IF(F52&gt;0,VLOOKUP(F52,КВР!A$1:B$5001,2),IF(E52&gt;0,VLOOKUP(E52,Направление!A$1:B$4812,2))))))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0"/>
      <c r="E52" s="109"/>
      <c r="F52" s="111">
        <v>200</v>
      </c>
      <c r="G52" s="377">
        <v>100000</v>
      </c>
      <c r="H52" s="369"/>
      <c r="I52" s="369">
        <f>G52+H52</f>
        <v>100000</v>
      </c>
      <c r="J52" s="369">
        <v>0</v>
      </c>
      <c r="K52" s="286"/>
      <c r="L52" s="286">
        <f t="shared" si="11"/>
        <v>0</v>
      </c>
    </row>
    <row r="53" spans="1:12" ht="47.25" x14ac:dyDescent="0.2">
      <c r="A53" s="113" t="str">
        <f>IF(B53&gt;0,VLOOKUP(B53,КВСР!A46:B1211,2),IF(C53&gt;0,VLOOKUP(C53,КФСР!A46:B1558,2),IF(D53&gt;0,VLOOKUP(D53,Программа!A$1:B$5124,2),IF(F53&gt;0,VLOOKUP(F53,КВР!A$1:B$5001,2),IF(E53&gt;0,VLOOKUP(E53,Направление!A$1:B$4812,2))))))</f>
        <v>Расходы на осуществление полномочий на государственную регистрацию актов гражданского состояния</v>
      </c>
      <c r="B53" s="114"/>
      <c r="C53" s="109"/>
      <c r="D53" s="110"/>
      <c r="E53" s="109">
        <v>59300</v>
      </c>
      <c r="F53" s="111"/>
      <c r="G53" s="377">
        <v>2672033</v>
      </c>
      <c r="H53" s="369">
        <f t="shared" ref="H53:L53" si="27">H54+H55</f>
        <v>0</v>
      </c>
      <c r="I53" s="369">
        <f t="shared" si="27"/>
        <v>2672033</v>
      </c>
      <c r="J53" s="369">
        <v>2964820</v>
      </c>
      <c r="K53" s="286">
        <f t="shared" si="27"/>
        <v>0</v>
      </c>
      <c r="L53" s="286">
        <f t="shared" si="27"/>
        <v>2964820</v>
      </c>
    </row>
    <row r="54" spans="1:12" ht="110.25" x14ac:dyDescent="0.2">
      <c r="A54" s="113" t="str">
        <f>IF(B54&gt;0,VLOOKUP(B54,КВСР!A47:B1212,2),IF(C54&gt;0,VLOOKUP(C54,КФСР!A47:B1559,2),IF(D54&gt;0,VLOOKUP(D54,Программа!A$1:B$5124,2),IF(F54&gt;0,VLOOKUP(F54,КВР!A$1:B$5001,2),IF(E54&gt;0,VLOOKUP(E54,Направление!A$1:B$4812,2))))))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4"/>
      <c r="C54" s="109"/>
      <c r="D54" s="110"/>
      <c r="E54" s="109"/>
      <c r="F54" s="111">
        <v>100</v>
      </c>
      <c r="G54" s="377">
        <v>2613217</v>
      </c>
      <c r="H54" s="369"/>
      <c r="I54" s="369">
        <f t="shared" ref="I54:I55" si="28">G54+H54</f>
        <v>2613217</v>
      </c>
      <c r="J54" s="369">
        <v>2613217</v>
      </c>
      <c r="K54" s="286"/>
      <c r="L54" s="286">
        <f t="shared" si="11"/>
        <v>2613217</v>
      </c>
    </row>
    <row r="55" spans="1:12" ht="63" x14ac:dyDescent="0.2">
      <c r="A55" s="113" t="str">
        <f>IF(B55&gt;0,VLOOKUP(B55,КВСР!A48:B1213,2),IF(C55&gt;0,VLOOKUP(C55,КФСР!A48:B1560,2),IF(D55&gt;0,VLOOKUP(D55,Программа!A$1:B$5124,2),IF(F55&gt;0,VLOOKUP(F55,КВР!A$1:B$5001,2),IF(E55&gt;0,VLOOKUP(E55,Направление!A$1:B$4812,2))))))</f>
        <v xml:space="preserve">Закупка товаров, работ и услуг для обеспечения государственных (муниципальных) нужд
</v>
      </c>
      <c r="B55" s="114"/>
      <c r="C55" s="109"/>
      <c r="D55" s="110"/>
      <c r="E55" s="109"/>
      <c r="F55" s="111">
        <v>200</v>
      </c>
      <c r="G55" s="369">
        <v>58816</v>
      </c>
      <c r="H55" s="369"/>
      <c r="I55" s="369">
        <f t="shared" si="28"/>
        <v>58816</v>
      </c>
      <c r="J55" s="369">
        <v>351603</v>
      </c>
      <c r="K55" s="286"/>
      <c r="L55" s="286">
        <f t="shared" si="11"/>
        <v>351603</v>
      </c>
    </row>
    <row r="56" spans="1:12" ht="63" x14ac:dyDescent="0.2">
      <c r="A56" s="113" t="str">
        <f>IF(B56&gt;0,VLOOKUP(B56,КВСР!A39:B1204,2),IF(C56&gt;0,VLOOKUP(C56,КФСР!A39:B1551,2),IF(D56&gt;0,VLOOKUP(D56,Программа!A$1:B$5124,2),IF(F56&gt;0,VLOOKUP(F56,КВР!A$1:B$5001,2),IF(E56&gt;0,VLOOKUP(E56,Направление!A$1:B$4812,2))))))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14"/>
      <c r="C56" s="109"/>
      <c r="D56" s="110"/>
      <c r="E56" s="109">
        <v>80190</v>
      </c>
      <c r="F56" s="111"/>
      <c r="G56" s="369">
        <v>2779530</v>
      </c>
      <c r="H56" s="369">
        <f t="shared" ref="H56:I56" si="29">H57+H58</f>
        <v>0</v>
      </c>
      <c r="I56" s="369">
        <f t="shared" si="29"/>
        <v>2779530</v>
      </c>
      <c r="J56" s="369">
        <v>2779530</v>
      </c>
      <c r="K56" s="286">
        <f t="shared" ref="K56:L56" si="30">K57+K58</f>
        <v>0</v>
      </c>
      <c r="L56" s="286">
        <f t="shared" si="30"/>
        <v>2779530</v>
      </c>
    </row>
    <row r="57" spans="1:12" ht="110.25" x14ac:dyDescent="0.2">
      <c r="A57" s="113" t="str">
        <f>IF(B57&gt;0,VLOOKUP(B57,КВСР!A40:B1205,2),IF(C57&gt;0,VLOOKUP(C57,КФСР!A40:B1552,2),IF(D57&gt;0,VLOOKUP(D57,Программа!A$1:B$5124,2),IF(F57&gt;0,VLOOKUP(F57,КВР!A$1:B$5001,2),IF(E57&gt;0,VLOOKUP(E57,Направление!A$1:B$4812,2))))))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4"/>
      <c r="C57" s="109"/>
      <c r="D57" s="110"/>
      <c r="E57" s="109"/>
      <c r="F57" s="111">
        <v>100</v>
      </c>
      <c r="G57" s="369">
        <v>2729017</v>
      </c>
      <c r="H57" s="369"/>
      <c r="I57" s="369">
        <f t="shared" si="10"/>
        <v>2729017</v>
      </c>
      <c r="J57" s="369">
        <v>2729017</v>
      </c>
      <c r="K57" s="286"/>
      <c r="L57" s="286">
        <f t="shared" si="11"/>
        <v>2729017</v>
      </c>
    </row>
    <row r="58" spans="1:12" ht="63" x14ac:dyDescent="0.2">
      <c r="A58" s="113" t="str">
        <f>IF(B58&gt;0,VLOOKUP(B58,КВСР!A41:B1206,2),IF(C58&gt;0,VLOOKUP(C58,КФСР!A41:B1553,2),IF(D58&gt;0,VLOOKUP(D58,Программа!A$1:B$5124,2),IF(F58&gt;0,VLOOKUP(F58,КВР!A$1:B$5001,2),IF(E58&gt;0,VLOOKUP(E58,Направление!A$1:B$4812,2))))))</f>
        <v xml:space="preserve">Закупка товаров, работ и услуг для обеспечения государственных (муниципальных) нужд
</v>
      </c>
      <c r="B58" s="114"/>
      <c r="C58" s="109"/>
      <c r="D58" s="110"/>
      <c r="E58" s="109"/>
      <c r="F58" s="111">
        <v>200</v>
      </c>
      <c r="G58" s="369">
        <v>50513</v>
      </c>
      <c r="H58" s="369"/>
      <c r="I58" s="369">
        <f t="shared" si="10"/>
        <v>50513</v>
      </c>
      <c r="J58" s="369">
        <v>50513</v>
      </c>
      <c r="K58" s="286"/>
      <c r="L58" s="286">
        <f t="shared" si="11"/>
        <v>50513</v>
      </c>
    </row>
    <row r="59" spans="1:12" ht="63" x14ac:dyDescent="0.2">
      <c r="A59" s="113" t="str">
        <f>IF(B59&gt;0,VLOOKUP(B59,КВСР!A42:B1207,2),IF(C59&gt;0,VLOOKUP(C59,КФСР!A42:B1554,2),IF(D59&gt;0,VLOOKUP(D59,Программа!A$1:B$5124,2),IF(F59&gt;0,VLOOKUP(F59,КВР!A$1:B$5001,2),IF(E59&gt;0,VLOOKUP(E59,Направление!A$1:B$4812,2))))))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14"/>
      <c r="C59" s="109"/>
      <c r="D59" s="110"/>
      <c r="E59" s="109">
        <v>80200</v>
      </c>
      <c r="F59" s="111"/>
      <c r="G59" s="369">
        <v>340175</v>
      </c>
      <c r="H59" s="369">
        <f t="shared" ref="H59:I59" si="31">H60+H61</f>
        <v>0</v>
      </c>
      <c r="I59" s="369">
        <f t="shared" si="31"/>
        <v>340175</v>
      </c>
      <c r="J59" s="369">
        <v>340175</v>
      </c>
      <c r="K59" s="286">
        <f t="shared" ref="K59:L59" si="32">K60+K61</f>
        <v>0</v>
      </c>
      <c r="L59" s="286">
        <f t="shared" si="32"/>
        <v>340175</v>
      </c>
    </row>
    <row r="60" spans="1:12" ht="110.25" x14ac:dyDescent="0.2">
      <c r="A60" s="113" t="str">
        <f>IF(B60&gt;0,VLOOKUP(B60,КВСР!A43:B1208,2),IF(C60&gt;0,VLOOKUP(C60,КФСР!A43:B1555,2),IF(D60&gt;0,VLOOKUP(D60,Программа!A$1:B$5124,2),IF(F60&gt;0,VLOOKUP(F60,КВР!A$1:B$5001,2),IF(E60&gt;0,VLOOKUP(E60,Направление!A$1:B$4812,2))))))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14"/>
      <c r="C60" s="109"/>
      <c r="D60" s="110"/>
      <c r="E60" s="109"/>
      <c r="F60" s="111">
        <v>100</v>
      </c>
      <c r="G60" s="369">
        <v>252014</v>
      </c>
      <c r="H60" s="369"/>
      <c r="I60" s="369">
        <f t="shared" si="10"/>
        <v>252014</v>
      </c>
      <c r="J60" s="369">
        <v>252014</v>
      </c>
      <c r="K60" s="286"/>
      <c r="L60" s="286">
        <f t="shared" si="11"/>
        <v>252014</v>
      </c>
    </row>
    <row r="61" spans="1:12" ht="63" x14ac:dyDescent="0.2">
      <c r="A61" s="113" t="str">
        <f>IF(B61&gt;0,VLOOKUP(B61,КВСР!A44:B1209,2),IF(C61&gt;0,VLOOKUP(C61,КФСР!A44:B1556,2),IF(D61&gt;0,VLOOKUP(D61,Программа!A$1:B$5124,2),IF(F61&gt;0,VLOOKUP(F61,КВР!A$1:B$5001,2),IF(E61&gt;0,VLOOKUP(E61,Направление!A$1:B$4812,2))))))</f>
        <v xml:space="preserve">Закупка товаров, работ и услуг для обеспечения государственных (муниципальных) нужд
</v>
      </c>
      <c r="B61" s="114"/>
      <c r="C61" s="109"/>
      <c r="D61" s="110"/>
      <c r="E61" s="109"/>
      <c r="F61" s="111">
        <v>200</v>
      </c>
      <c r="G61" s="369">
        <v>88161</v>
      </c>
      <c r="H61" s="369"/>
      <c r="I61" s="369">
        <f t="shared" si="10"/>
        <v>88161</v>
      </c>
      <c r="J61" s="369">
        <v>88161</v>
      </c>
      <c r="K61" s="286"/>
      <c r="L61" s="286">
        <f t="shared" si="11"/>
        <v>88161</v>
      </c>
    </row>
    <row r="62" spans="1:12" ht="63" x14ac:dyDescent="0.2">
      <c r="A62" s="113" t="str">
        <f>IF(B62&gt;0,VLOOKUP(B62,КВСР!A45:B1210,2),IF(C62&gt;0,VLOOKUP(C62,КФСР!A45:B1557,2),IF(D62&gt;0,VLOOKUP(D62,Программа!A$1:B$5124,2),IF(F62&gt;0,VLOOKUP(F62,КВР!A$1:B$5001,2),IF(E62&gt;0,VLOOKUP(E62,Направление!A$1:B$4812,2))))))</f>
        <v>Защита населения и территории от чрезвычайных ситуаций природного и техногенного характера, пожарная безопасность</v>
      </c>
      <c r="B62" s="114"/>
      <c r="C62" s="109">
        <v>310</v>
      </c>
      <c r="D62" s="110"/>
      <c r="E62" s="109"/>
      <c r="F62" s="111"/>
      <c r="G62" s="369">
        <v>2500000</v>
      </c>
      <c r="H62" s="369">
        <f t="shared" ref="H62:L63" si="33">H63</f>
        <v>0</v>
      </c>
      <c r="I62" s="369">
        <f t="shared" si="33"/>
        <v>2500000</v>
      </c>
      <c r="J62" s="369">
        <v>2500000</v>
      </c>
      <c r="K62" s="369">
        <f t="shared" si="33"/>
        <v>0</v>
      </c>
      <c r="L62" s="369">
        <f t="shared" si="33"/>
        <v>2500000</v>
      </c>
    </row>
    <row r="63" spans="1:12" ht="15.75" x14ac:dyDescent="0.2">
      <c r="A63" s="113" t="str">
        <f>IF(B63&gt;0,VLOOKUP(B63,КВСР!A46:B1211,2),IF(C63&gt;0,VLOOKUP(C63,КФСР!A46:B1558,2),IF(D63&gt;0,VLOOKUP(D63,Программа!A$1:B$5124,2),IF(F63&gt;0,VLOOKUP(F63,КВР!A$1:B$5001,2),IF(E63&gt;0,VLOOKUP(E63,Направление!A$1:B$4812,2))))))</f>
        <v>Непрограммные расходы бюджета</v>
      </c>
      <c r="B63" s="114"/>
      <c r="C63" s="109"/>
      <c r="D63" s="110" t="s">
        <v>311</v>
      </c>
      <c r="E63" s="109"/>
      <c r="F63" s="111"/>
      <c r="G63" s="369">
        <v>2500000</v>
      </c>
      <c r="H63" s="369">
        <f t="shared" si="33"/>
        <v>0</v>
      </c>
      <c r="I63" s="369">
        <f t="shared" si="33"/>
        <v>2500000</v>
      </c>
      <c r="J63" s="369">
        <v>2500000</v>
      </c>
      <c r="K63" s="369">
        <f t="shared" si="33"/>
        <v>0</v>
      </c>
      <c r="L63" s="369">
        <f t="shared" si="33"/>
        <v>2500000</v>
      </c>
    </row>
    <row r="64" spans="1:12" ht="31.5" x14ac:dyDescent="0.2">
      <c r="A64" s="113" t="str">
        <f>IF(B64&gt;0,VLOOKUP(B64,КВСР!A47:B1212,2),IF(C64&gt;0,VLOOKUP(C64,КФСР!A47:B1559,2),IF(D64&gt;0,VLOOKUP(D64,Программа!A$1:B$5124,2),IF(F64&gt;0,VLOOKUP(F64,КВР!A$1:B$5001,2),IF(E64&gt;0,VLOOKUP(E64,Направление!A$1:B$4812,2))))))</f>
        <v>Содержание и организация деятельности аварийно-спасательных служб</v>
      </c>
      <c r="B64" s="114"/>
      <c r="C64" s="109"/>
      <c r="D64" s="110"/>
      <c r="E64" s="109">
        <v>29566</v>
      </c>
      <c r="F64" s="111"/>
      <c r="G64" s="369">
        <v>2500000</v>
      </c>
      <c r="H64" s="369">
        <f t="shared" ref="H64:L64" si="34">H65+H66</f>
        <v>0</v>
      </c>
      <c r="I64" s="369">
        <f t="shared" si="34"/>
        <v>2500000</v>
      </c>
      <c r="J64" s="369">
        <v>2500000</v>
      </c>
      <c r="K64" s="369">
        <f t="shared" si="34"/>
        <v>0</v>
      </c>
      <c r="L64" s="369">
        <f t="shared" si="34"/>
        <v>2500000</v>
      </c>
    </row>
    <row r="65" spans="1:12" ht="110.25" x14ac:dyDescent="0.2">
      <c r="A65" s="113" t="str">
        <f>IF(B65&gt;0,VLOOKUP(B65,КВСР!A48:B1213,2),IF(C65&gt;0,VLOOKUP(C65,КФСР!A48:B1560,2),IF(D65&gt;0,VLOOKUP(D65,Программа!A$1:B$5124,2),IF(F65&gt;0,VLOOKUP(F65,КВР!A$1:B$5001,2),IF(E65&gt;0,VLOOKUP(E65,Направление!A$1:B$4812,2))))))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14"/>
      <c r="C65" s="109"/>
      <c r="D65" s="110"/>
      <c r="E65" s="109"/>
      <c r="F65" s="111">
        <v>100</v>
      </c>
      <c r="G65" s="369">
        <v>2142731</v>
      </c>
      <c r="H65" s="369"/>
      <c r="I65" s="369">
        <f>G65+H65</f>
        <v>2142731</v>
      </c>
      <c r="J65" s="369">
        <v>2142731</v>
      </c>
      <c r="K65" s="286"/>
      <c r="L65" s="286">
        <f>J65+K65</f>
        <v>2142731</v>
      </c>
    </row>
    <row r="66" spans="1:12" ht="63" x14ac:dyDescent="0.2">
      <c r="A66" s="113" t="str">
        <f>IF(B66&gt;0,VLOOKUP(B66,КВСР!A49:B1214,2),IF(C66&gt;0,VLOOKUP(C66,КФСР!A49:B1561,2),IF(D66&gt;0,VLOOKUP(D66,Программа!A$1:B$5124,2),IF(F66&gt;0,VLOOKUP(F66,КВР!A$1:B$5001,2),IF(E66&gt;0,VLOOKUP(E66,Направление!A$1:B$4812,2))))))</f>
        <v xml:space="preserve">Закупка товаров, работ и услуг для обеспечения государственных (муниципальных) нужд
</v>
      </c>
      <c r="B66" s="114"/>
      <c r="C66" s="109"/>
      <c r="D66" s="110"/>
      <c r="E66" s="109"/>
      <c r="F66" s="111">
        <v>200</v>
      </c>
      <c r="G66" s="369">
        <v>357269</v>
      </c>
      <c r="H66" s="369"/>
      <c r="I66" s="369">
        <f>G66+H66</f>
        <v>357269</v>
      </c>
      <c r="J66" s="369">
        <v>357269</v>
      </c>
      <c r="K66" s="286"/>
      <c r="L66" s="286">
        <f>J66+K66</f>
        <v>357269</v>
      </c>
    </row>
    <row r="67" spans="1:12" ht="15.75" x14ac:dyDescent="0.2">
      <c r="A67" s="113" t="str">
        <f>IF(B67&gt;0,VLOOKUP(B67,КВСР!A45:B1210,2),IF(C67&gt;0,VLOOKUP(C67,КФСР!A45:B1557,2),IF(D67&gt;0,VLOOKUP(D67,Программа!A$1:B$5124,2),IF(F67&gt;0,VLOOKUP(F67,КВР!A$1:B$5001,2),IF(E67&gt;0,VLOOKUP(E67,Направление!A$1:B$4812,2))))))</f>
        <v>Сельское хозяйство и рыболовство</v>
      </c>
      <c r="B67" s="114"/>
      <c r="C67" s="109">
        <v>405</v>
      </c>
      <c r="D67" s="110"/>
      <c r="E67" s="109"/>
      <c r="F67" s="111"/>
      <c r="G67" s="369">
        <v>762090</v>
      </c>
      <c r="H67" s="369">
        <f>H68+H89+H85</f>
        <v>0</v>
      </c>
      <c r="I67" s="369">
        <f t="shared" ref="I67:L67" si="35">I68+I89+I85</f>
        <v>762090</v>
      </c>
      <c r="J67" s="369">
        <v>762090</v>
      </c>
      <c r="K67" s="369">
        <f t="shared" si="35"/>
        <v>0</v>
      </c>
      <c r="L67" s="369">
        <f t="shared" si="35"/>
        <v>762090</v>
      </c>
    </row>
    <row r="68" spans="1:12" ht="94.5" hidden="1" x14ac:dyDescent="0.2">
      <c r="A68" s="113" t="str">
        <f>IF(B68&gt;0,VLOOKUP(B68,КВСР!A46:B1211,2),IF(C68&gt;0,VLOOKUP(C68,КФСР!A46:B1558,2),IF(D68&gt;0,VLOOKUP(D68,Программа!A$1:B$5124,2),IF(F68&gt;0,VLOOKUP(F68,КВР!A$1:B$5001,2),IF(E68&gt;0,VLOOKUP(E68,Направление!A$1:B$4812,2))))))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14"/>
      <c r="C68" s="109"/>
      <c r="D68" s="110" t="s">
        <v>337</v>
      </c>
      <c r="E68" s="109"/>
      <c r="F68" s="111"/>
      <c r="G68" s="369">
        <v>0</v>
      </c>
      <c r="H68" s="369">
        <f t="shared" ref="H68:L83" si="36">H69</f>
        <v>0</v>
      </c>
      <c r="I68" s="369">
        <f t="shared" si="36"/>
        <v>0</v>
      </c>
      <c r="J68" s="369">
        <v>0</v>
      </c>
      <c r="K68" s="369">
        <f t="shared" si="36"/>
        <v>0</v>
      </c>
      <c r="L68" s="369">
        <f t="shared" si="36"/>
        <v>0</v>
      </c>
    </row>
    <row r="69" spans="1:12" ht="47.25" hidden="1" x14ac:dyDescent="0.2">
      <c r="A69" s="113" t="str">
        <f>IF(B69&gt;0,VLOOKUP(B69,КВСР!A47:B1212,2),IF(C69&gt;0,VLOOKUP(C69,КФСР!A47:B1559,2),IF(D69&gt;0,VLOOKUP(D69,Программа!A$1:B$5124,2),IF(F69&gt;0,VLOOKUP(F69,КВР!A$1:B$5001,2),IF(E69&gt;0,VLOOKUP(E69,Направление!A$1:B$4812,2))))))</f>
        <v>Муниципальная целевая программа "Развитие агропромышленного комплекса Тутаевского муниципального района"</v>
      </c>
      <c r="B69" s="114"/>
      <c r="C69" s="109"/>
      <c r="D69" s="110" t="s">
        <v>338</v>
      </c>
      <c r="E69" s="109"/>
      <c r="F69" s="111"/>
      <c r="G69" s="369">
        <v>0</v>
      </c>
      <c r="H69" s="369">
        <f t="shared" ref="H69" si="37">H70+H77+H80</f>
        <v>0</v>
      </c>
      <c r="I69" s="369">
        <f t="shared" ref="I69:L69" si="38">I70+I77+I80</f>
        <v>0</v>
      </c>
      <c r="J69" s="369">
        <v>0</v>
      </c>
      <c r="K69" s="369">
        <f t="shared" si="38"/>
        <v>0</v>
      </c>
      <c r="L69" s="369">
        <f t="shared" si="38"/>
        <v>0</v>
      </c>
    </row>
    <row r="70" spans="1:12" ht="78.75" hidden="1" x14ac:dyDescent="0.2">
      <c r="A70" s="113" t="str">
        <f>IF(B70&gt;0,VLOOKUP(B70,КВСР!A48:B1213,2),IF(C70&gt;0,VLOOKUP(C70,КФСР!A48:B1560,2),IF(D70&gt;0,VLOOKUP(D70,Программа!A$1:B$5124,2),IF(F70&gt;0,VLOOKUP(F70,КВР!A$1:B$5001,2),IF(E70&gt;0,VLOOKUP(E70,Направление!A$1:B$4812,2))))))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14"/>
      <c r="C70" s="109"/>
      <c r="D70" s="110" t="s">
        <v>340</v>
      </c>
      <c r="E70" s="109"/>
      <c r="F70" s="111"/>
      <c r="G70" s="369">
        <v>0</v>
      </c>
      <c r="H70" s="369">
        <f>H71+H73+H75</f>
        <v>0</v>
      </c>
      <c r="I70" s="369">
        <f t="shared" ref="I70:L70" si="39">I71+I73+I75</f>
        <v>0</v>
      </c>
      <c r="J70" s="369">
        <v>0</v>
      </c>
      <c r="K70" s="369">
        <f t="shared" si="39"/>
        <v>0</v>
      </c>
      <c r="L70" s="369">
        <f t="shared" si="39"/>
        <v>0</v>
      </c>
    </row>
    <row r="71" spans="1:12" ht="47.25" hidden="1" x14ac:dyDescent="0.2">
      <c r="A71" s="113" t="str">
        <f>IF(B71&gt;0,VLOOKUP(B71,КВСР!A49:B1214,2),IF(C71&gt;0,VLOOKUP(C71,КФСР!A49:B1561,2),IF(D71&gt;0,VLOOKUP(D71,Программа!A$1:B$5124,2),IF(F71&gt;0,VLOOKUP(F71,КВР!A$1:B$5001,2),IF(E71&gt;0,VLOOKUP(E71,Направление!A$1:B$4812,2))))))</f>
        <v>Субсидия на возмещение части затрат сельхозтоваропроиизводителям на реализованное молоко</v>
      </c>
      <c r="B71" s="114"/>
      <c r="C71" s="109"/>
      <c r="D71" s="110"/>
      <c r="E71" s="109">
        <v>10701</v>
      </c>
      <c r="F71" s="111"/>
      <c r="G71" s="369">
        <v>0</v>
      </c>
      <c r="H71" s="369">
        <f t="shared" ref="H71:L71" si="40">H72</f>
        <v>0</v>
      </c>
      <c r="I71" s="369">
        <f t="shared" si="40"/>
        <v>0</v>
      </c>
      <c r="J71" s="369">
        <v>0</v>
      </c>
      <c r="K71" s="369">
        <f t="shared" si="40"/>
        <v>0</v>
      </c>
      <c r="L71" s="369">
        <f t="shared" si="40"/>
        <v>0</v>
      </c>
    </row>
    <row r="72" spans="1:12" ht="15.75" hidden="1" x14ac:dyDescent="0.2">
      <c r="A72" s="113" t="str">
        <f>IF(B72&gt;0,VLOOKUP(B72,КВСР!A50:B1215,2),IF(C72&gt;0,VLOOKUP(C72,КФСР!A50:B1562,2),IF(D72&gt;0,VLOOKUP(D72,Программа!A$1:B$5124,2),IF(F72&gt;0,VLOOKUP(F72,КВР!A$1:B$5001,2),IF(E72&gt;0,VLOOKUP(E72,Направление!A$1:B$4812,2))))))</f>
        <v>Иные бюджетные ассигнования</v>
      </c>
      <c r="B72" s="114"/>
      <c r="C72" s="109"/>
      <c r="D72" s="110"/>
      <c r="E72" s="109"/>
      <c r="F72" s="111">
        <v>800</v>
      </c>
      <c r="G72" s="369">
        <v>0</v>
      </c>
      <c r="H72" s="369"/>
      <c r="I72" s="369">
        <f>G72+H72</f>
        <v>0</v>
      </c>
      <c r="J72" s="369">
        <v>0</v>
      </c>
      <c r="K72" s="286"/>
      <c r="L72" s="286">
        <f>J72+K72</f>
        <v>0</v>
      </c>
    </row>
    <row r="73" spans="1:12" ht="63" hidden="1" x14ac:dyDescent="0.2">
      <c r="A73" s="113" t="str">
        <f>IF(B73&gt;0,VLOOKUP(B73,КВСР!A51:B1216,2),IF(C73&gt;0,VLOOKUP(C73,КФСР!A51:B1563,2),IF(D73&gt;0,VLOOKUP(D73,Программа!A$1:B$5124,2),IF(F73&gt;0,VLOOKUP(F73,КВР!A$1:B$5001,2),IF(E73&gt;0,VLOOKUP(E73,Направление!A$1:B$4812,2))))))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14"/>
      <c r="C73" s="109"/>
      <c r="D73" s="110"/>
      <c r="E73" s="109">
        <v>10702</v>
      </c>
      <c r="F73" s="111"/>
      <c r="G73" s="369">
        <v>0</v>
      </c>
      <c r="H73" s="369">
        <f t="shared" ref="H73:L73" si="41">H74</f>
        <v>0</v>
      </c>
      <c r="I73" s="369">
        <f t="shared" si="41"/>
        <v>0</v>
      </c>
      <c r="J73" s="369">
        <v>0</v>
      </c>
      <c r="K73" s="369">
        <f t="shared" si="41"/>
        <v>0</v>
      </c>
      <c r="L73" s="369">
        <f t="shared" si="41"/>
        <v>0</v>
      </c>
    </row>
    <row r="74" spans="1:12" ht="15.75" hidden="1" x14ac:dyDescent="0.2">
      <c r="A74" s="113" t="str">
        <f>IF(B74&gt;0,VLOOKUP(B74,КВСР!A52:B1217,2),IF(C74&gt;0,VLOOKUP(C74,КФСР!A52:B1564,2),IF(D74&gt;0,VLOOKUP(D74,Программа!A$1:B$5124,2),IF(F74&gt;0,VLOOKUP(F74,КВР!A$1:B$5001,2),IF(E74&gt;0,VLOOKUP(E74,Направление!A$1:B$4812,2))))))</f>
        <v>Иные бюджетные ассигнования</v>
      </c>
      <c r="B74" s="114"/>
      <c r="C74" s="109"/>
      <c r="D74" s="110"/>
      <c r="E74" s="109"/>
      <c r="F74" s="111">
        <v>800</v>
      </c>
      <c r="G74" s="369">
        <v>0</v>
      </c>
      <c r="H74" s="369"/>
      <c r="I74" s="369">
        <f>G74+H74</f>
        <v>0</v>
      </c>
      <c r="J74" s="369">
        <v>0</v>
      </c>
      <c r="K74" s="286"/>
      <c r="L74" s="286">
        <f>J74+K74</f>
        <v>0</v>
      </c>
    </row>
    <row r="75" spans="1:12" ht="78.75" hidden="1" x14ac:dyDescent="0.2">
      <c r="A75" s="113" t="str">
        <f>IF(B75&gt;0,VLOOKUP(B75,КВСР!A53:B1218,2),IF(C75&gt;0,VLOOKUP(C75,КФСР!A53:B1565,2),IF(D75&gt;0,VLOOKUP(D75,Программа!A$1:B$5124,2),IF(F75&gt;0,VLOOKUP(F75,КВР!A$1:B$5001,2),IF(E75&gt;0,VLOOKUP(E75,Направление!A$1:B$4812,2))))))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14"/>
      <c r="C75" s="109"/>
      <c r="D75" s="110"/>
      <c r="E75" s="109">
        <v>74450</v>
      </c>
      <c r="F75" s="111"/>
      <c r="G75" s="369">
        <v>0</v>
      </c>
      <c r="H75" s="369">
        <f t="shared" ref="H75:L75" si="42">H76</f>
        <v>0</v>
      </c>
      <c r="I75" s="369">
        <f t="shared" si="42"/>
        <v>0</v>
      </c>
      <c r="J75" s="369">
        <v>0</v>
      </c>
      <c r="K75" s="369">
        <f t="shared" si="42"/>
        <v>0</v>
      </c>
      <c r="L75" s="369">
        <f t="shared" si="42"/>
        <v>0</v>
      </c>
    </row>
    <row r="76" spans="1:12" ht="63" hidden="1" x14ac:dyDescent="0.2">
      <c r="A76" s="113" t="str">
        <f>IF(B76&gt;0,VLOOKUP(B76,КВСР!A54:B1219,2),IF(C76&gt;0,VLOOKUP(C76,КФСР!A54:B1566,2),IF(D76&gt;0,VLOOKUP(D76,Программа!A$1:B$5124,2),IF(F76&gt;0,VLOOKUP(F76,КВР!A$1:B$5001,2),IF(E76&gt;0,VLOOKUP(E76,Направление!A$1:B$4812,2))))))</f>
        <v xml:space="preserve">Закупка товаров, работ и услуг для обеспечения государственных (муниципальных) нужд
</v>
      </c>
      <c r="B76" s="114"/>
      <c r="C76" s="109"/>
      <c r="D76" s="110"/>
      <c r="E76" s="109"/>
      <c r="F76" s="111">
        <v>200</v>
      </c>
      <c r="G76" s="369">
        <v>0</v>
      </c>
      <c r="H76" s="369"/>
      <c r="I76" s="369">
        <f>G76+H76</f>
        <v>0</v>
      </c>
      <c r="J76" s="369">
        <v>0</v>
      </c>
      <c r="K76" s="286"/>
      <c r="L76" s="286">
        <f>J76+K76</f>
        <v>0</v>
      </c>
    </row>
    <row r="77" spans="1:12" ht="31.5" hidden="1" x14ac:dyDescent="0.2">
      <c r="A77" s="113" t="str">
        <f>IF(B77&gt;0,VLOOKUP(B77,КВСР!A53:B1218,2),IF(C77&gt;0,VLOOKUP(C77,КФСР!A53:B1565,2),IF(D77&gt;0,VLOOKUP(D77,Программа!A$1:B$5124,2),IF(F77&gt;0,VLOOKUP(F77,КВР!A$1:B$5001,2),IF(E77&gt;0,VLOOKUP(E77,Направление!A$1:B$4812,2))))))</f>
        <v xml:space="preserve">Кадровое обеспечение агропромышленного комплекса </v>
      </c>
      <c r="B77" s="114"/>
      <c r="C77" s="109"/>
      <c r="D77" s="110" t="s">
        <v>342</v>
      </c>
      <c r="E77" s="109"/>
      <c r="F77" s="111"/>
      <c r="G77" s="369">
        <v>0</v>
      </c>
      <c r="H77" s="369">
        <f t="shared" ref="H77:L78" si="43">H78</f>
        <v>0</v>
      </c>
      <c r="I77" s="369">
        <f t="shared" si="43"/>
        <v>0</v>
      </c>
      <c r="J77" s="369">
        <v>0</v>
      </c>
      <c r="K77" s="369">
        <f t="shared" si="43"/>
        <v>0</v>
      </c>
      <c r="L77" s="369">
        <f t="shared" si="43"/>
        <v>0</v>
      </c>
    </row>
    <row r="78" spans="1:12" ht="31.5" hidden="1" x14ac:dyDescent="0.2">
      <c r="A78" s="113" t="str">
        <f>IF(B78&gt;0,VLOOKUP(B78,КВСР!A54:B1219,2),IF(C78&gt;0,VLOOKUP(C78,КФСР!A54:B1566,2),IF(D78&gt;0,VLOOKUP(D78,Программа!A$1:B$5124,2),IF(F78&gt;0,VLOOKUP(F78,КВР!A$1:B$5001,2),IF(E78&gt;0,VLOOKUP(E78,Направление!A$1:B$4812,2))))))</f>
        <v>Мероприятия  направленные на развитие агропромышленного комплекса</v>
      </c>
      <c r="B78" s="114"/>
      <c r="C78" s="109"/>
      <c r="D78" s="110"/>
      <c r="E78" s="109">
        <v>10700</v>
      </c>
      <c r="F78" s="111"/>
      <c r="G78" s="369">
        <v>0</v>
      </c>
      <c r="H78" s="369">
        <f t="shared" si="43"/>
        <v>0</v>
      </c>
      <c r="I78" s="369">
        <f t="shared" si="43"/>
        <v>0</v>
      </c>
      <c r="J78" s="369">
        <v>0</v>
      </c>
      <c r="K78" s="369">
        <f t="shared" si="43"/>
        <v>0</v>
      </c>
      <c r="L78" s="369">
        <f t="shared" si="43"/>
        <v>0</v>
      </c>
    </row>
    <row r="79" spans="1:12" ht="31.5" hidden="1" x14ac:dyDescent="0.2">
      <c r="A79" s="113" t="str">
        <f>IF(B79&gt;0,VLOOKUP(B79,КВСР!A55:B1220,2),IF(C79&gt;0,VLOOKUP(C79,КФСР!A55:B1567,2),IF(D79&gt;0,VLOOKUP(D79,Программа!A$1:B$5124,2),IF(F79&gt;0,VLOOKUP(F79,КВР!A$1:B$5001,2),IF(E79&gt;0,VLOOKUP(E79,Направление!A$1:B$4812,2))))))</f>
        <v>Социальное обеспечение и иные выплаты населению</v>
      </c>
      <c r="B79" s="114"/>
      <c r="C79" s="109"/>
      <c r="D79" s="110"/>
      <c r="E79" s="109"/>
      <c r="F79" s="111">
        <v>300</v>
      </c>
      <c r="G79" s="369">
        <v>0</v>
      </c>
      <c r="H79" s="369"/>
      <c r="I79" s="369">
        <f>G79+H79</f>
        <v>0</v>
      </c>
      <c r="J79" s="369">
        <v>0</v>
      </c>
      <c r="K79" s="286"/>
      <c r="L79" s="286">
        <f>J79+K79</f>
        <v>0</v>
      </c>
    </row>
    <row r="80" spans="1:12" ht="94.5" hidden="1" x14ac:dyDescent="0.2">
      <c r="A80" s="113" t="str">
        <f>IF(B80&gt;0,VLOOKUP(B80,КВСР!A56:B1221,2),IF(C80&gt;0,VLOOKUP(C80,КФСР!A56:B1568,2),IF(D80&gt;0,VLOOKUP(D80,Программа!A$1:B$5124,2),IF(F80&gt;0,VLOOKUP(F80,КВР!A$1:B$5001,2),IF(E80&gt;0,VLOOKUP(E80,Направление!A$1:B$4812,2))))))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14"/>
      <c r="C80" s="109"/>
      <c r="D80" s="110" t="s">
        <v>345</v>
      </c>
      <c r="E80" s="109"/>
      <c r="F80" s="111"/>
      <c r="G80" s="369">
        <v>0</v>
      </c>
      <c r="H80" s="369">
        <f t="shared" ref="H80:L81" si="44">H81</f>
        <v>0</v>
      </c>
      <c r="I80" s="369">
        <f t="shared" si="44"/>
        <v>0</v>
      </c>
      <c r="J80" s="369">
        <v>0</v>
      </c>
      <c r="K80" s="369">
        <f t="shared" si="44"/>
        <v>0</v>
      </c>
      <c r="L80" s="369">
        <f t="shared" si="44"/>
        <v>0</v>
      </c>
    </row>
    <row r="81" spans="1:12" ht="63" hidden="1" x14ac:dyDescent="0.2">
      <c r="A81" s="113" t="str">
        <f>IF(B81&gt;0,VLOOKUP(B81,КВСР!A57:B1222,2),IF(C81&gt;0,VLOOKUP(C81,КФСР!A57:B1569,2),IF(D81&gt;0,VLOOKUP(D81,Программа!A$1:B$5124,2),IF(F81&gt;0,VLOOKUP(F81,КВР!A$1:B$5001,2),IF(E81&gt;0,VLOOKUP(E81,Направление!A$1:B$4812,2))))))</f>
        <v>Гранты, в форме субсидий, на выплату  вознаграждения сельхозтоваропроизхводителям - победителям конкурса</v>
      </c>
      <c r="B81" s="114"/>
      <c r="C81" s="109"/>
      <c r="D81" s="110"/>
      <c r="E81" s="353">
        <v>10703</v>
      </c>
      <c r="F81" s="354"/>
      <c r="G81" s="369">
        <v>0</v>
      </c>
      <c r="H81" s="369">
        <f t="shared" si="44"/>
        <v>0</v>
      </c>
      <c r="I81" s="369">
        <f t="shared" si="44"/>
        <v>0</v>
      </c>
      <c r="J81" s="369">
        <v>0</v>
      </c>
      <c r="K81" s="369">
        <f t="shared" si="44"/>
        <v>0</v>
      </c>
      <c r="L81" s="369">
        <f t="shared" si="44"/>
        <v>0</v>
      </c>
    </row>
    <row r="82" spans="1:12" ht="15.75" hidden="1" x14ac:dyDescent="0.2">
      <c r="A82" s="113" t="str">
        <f>IF(B82&gt;0,VLOOKUP(B82,КВСР!A58:B1223,2),IF(C82&gt;0,VLOOKUP(C82,КФСР!A58:B1570,2),IF(D82&gt;0,VLOOKUP(D82,Программа!A$1:B$5124,2),IF(F82&gt;0,VLOOKUP(F82,КВР!A$1:B$5001,2),IF(E82&gt;0,VLOOKUP(E82,Направление!A$1:B$4812,2))))))</f>
        <v>Иные бюджетные ассигнования</v>
      </c>
      <c r="B82" s="114"/>
      <c r="C82" s="109"/>
      <c r="D82" s="110"/>
      <c r="E82" s="109"/>
      <c r="F82" s="111">
        <v>800</v>
      </c>
      <c r="G82" s="369">
        <v>0</v>
      </c>
      <c r="H82" s="369"/>
      <c r="I82" s="369">
        <f>G82+H82</f>
        <v>0</v>
      </c>
      <c r="J82" s="369">
        <v>0</v>
      </c>
      <c r="K82" s="286"/>
      <c r="L82" s="286">
        <f>J82+K82</f>
        <v>0</v>
      </c>
    </row>
    <row r="83" spans="1:12" ht="78.75" hidden="1" x14ac:dyDescent="0.2">
      <c r="A83" s="113" t="str">
        <f>IF(B83&gt;0,VLOOKUP(B83,КВСР!A49:B1214,2),IF(C83&gt;0,VLOOKUP(C83,КФСР!A49:B1561,2),IF(D83&gt;0,VLOOKUP(D83,Программа!A$1:B$5124,2),IF(F83&gt;0,VLOOKUP(F83,КВР!A$1:B$5001,2),IF(E83&gt;0,VLOOKUP(E83,Направление!A$1:B$4812,2))))))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14"/>
      <c r="C83" s="109"/>
      <c r="D83" s="110"/>
      <c r="E83" s="109">
        <v>74450</v>
      </c>
      <c r="F83" s="111"/>
      <c r="G83" s="369">
        <v>0</v>
      </c>
      <c r="H83" s="369">
        <f t="shared" si="36"/>
        <v>0</v>
      </c>
      <c r="I83" s="369">
        <f>SUM(G83:H83)</f>
        <v>0</v>
      </c>
      <c r="J83" s="369">
        <v>0</v>
      </c>
      <c r="K83" s="286">
        <f t="shared" ref="K83" si="45">K84</f>
        <v>0</v>
      </c>
      <c r="L83" s="286">
        <f t="shared" si="11"/>
        <v>0</v>
      </c>
    </row>
    <row r="84" spans="1:12" ht="52.5" hidden="1" customHeight="1" x14ac:dyDescent="0.2">
      <c r="A84" s="113" t="str">
        <f>IF(B84&gt;0,VLOOKUP(B84,КВСР!A50:B1215,2),IF(C84&gt;0,VLOOKUP(C84,КФСР!A50:B1562,2),IF(D84&gt;0,VLOOKUP(D84,Программа!A$1:B$5124,2),IF(F84&gt;0,VLOOKUP(F84,КВР!A$1:B$5001,2),IF(E84&gt;0,VLOOKUP(E84,Направление!A$1:B$4812,2))))))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0"/>
      <c r="E84" s="109"/>
      <c r="F84" s="111">
        <v>200</v>
      </c>
      <c r="G84" s="369">
        <v>0</v>
      </c>
      <c r="H84" s="369"/>
      <c r="I84" s="369">
        <f>SUM(G84:H84)</f>
        <v>0</v>
      </c>
      <c r="J84" s="369">
        <v>0</v>
      </c>
      <c r="K84" s="286"/>
      <c r="L84" s="286">
        <f>SUM(J84:K84)</f>
        <v>0</v>
      </c>
    </row>
    <row r="85" spans="1:12" ht="47.25" x14ac:dyDescent="0.2">
      <c r="A85" s="113" t="str">
        <f>IF(B85&gt;0,VLOOKUP(B85,КВСР!A51:B1216,2),IF(C85&gt;0,VLOOKUP(C85,КФСР!A51:B1563,2),IF(D85&gt;0,VLOOKUP(D85,Программа!A$1:B$5124,2),IF(F85&gt;0,VLOOKUP(F85,КВР!A$1:B$5001,2),IF(E85&gt;0,VLOOKUP(E85,Направление!A$1:B$4812,2))))))</f>
        <v>Муниципальная программа "Развитие агропромышленного комплекса в  Тутаевском муниципальном районе"</v>
      </c>
      <c r="B85" s="114"/>
      <c r="C85" s="109"/>
      <c r="D85" s="110" t="s">
        <v>1675</v>
      </c>
      <c r="E85" s="109"/>
      <c r="F85" s="111"/>
      <c r="G85" s="369">
        <v>4590</v>
      </c>
      <c r="H85" s="369">
        <f>H86</f>
        <v>0</v>
      </c>
      <c r="I85" s="369">
        <f t="shared" ref="I85:L85" si="46">I86</f>
        <v>4590</v>
      </c>
      <c r="J85" s="369">
        <v>4590</v>
      </c>
      <c r="K85" s="369">
        <f t="shared" si="46"/>
        <v>0</v>
      </c>
      <c r="L85" s="369">
        <f t="shared" si="46"/>
        <v>4590</v>
      </c>
    </row>
    <row r="86" spans="1:12" ht="63" x14ac:dyDescent="0.2">
      <c r="A86" s="113" t="str">
        <f>IF(B86&gt;0,VLOOKUP(B86,КВСР!A52:B1217,2),IF(C86&gt;0,VLOOKUP(C86,КФСР!A52:B1564,2),IF(D86&gt;0,VLOOKUP(D86,Программа!A$1:B$5124,2),IF(F86&gt;0,VLOOKUP(F86,КВР!A$1:B$5001,2),IF(E86&gt;0,VLOOKUP(E86,Направление!A$1:B$4812,2))))))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14"/>
      <c r="C86" s="109"/>
      <c r="D86" s="110" t="s">
        <v>1677</v>
      </c>
      <c r="E86" s="109"/>
      <c r="F86" s="111"/>
      <c r="G86" s="369">
        <v>4590</v>
      </c>
      <c r="H86" s="369">
        <f>H87</f>
        <v>0</v>
      </c>
      <c r="I86" s="369">
        <f t="shared" ref="I86:L86" si="47">I87</f>
        <v>4590</v>
      </c>
      <c r="J86" s="369">
        <v>4590</v>
      </c>
      <c r="K86" s="369">
        <f t="shared" si="47"/>
        <v>0</v>
      </c>
      <c r="L86" s="369">
        <f t="shared" si="47"/>
        <v>4590</v>
      </c>
    </row>
    <row r="87" spans="1:12" ht="78.75" x14ac:dyDescent="0.2">
      <c r="A87" s="113" t="str">
        <f>IF(B87&gt;0,VLOOKUP(B87,КВСР!A53:B1218,2),IF(C87&gt;0,VLOOKUP(C87,КФСР!A53:B1565,2),IF(D87&gt;0,VLOOKUP(D87,Программа!A$1:B$5124,2),IF(F87&gt;0,VLOOKUP(F87,КВР!A$1:B$5001,2),IF(E87&gt;0,VLOOKUP(E87,Направление!A$1:B$4812,2))))))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14"/>
      <c r="C87" s="109"/>
      <c r="D87" s="110"/>
      <c r="E87" s="109">
        <v>74450</v>
      </c>
      <c r="F87" s="111"/>
      <c r="G87" s="369">
        <v>4590</v>
      </c>
      <c r="H87" s="369">
        <f>H88</f>
        <v>0</v>
      </c>
      <c r="I87" s="369">
        <f>I88</f>
        <v>4590</v>
      </c>
      <c r="J87" s="369">
        <v>4590</v>
      </c>
      <c r="K87" s="286">
        <f>K88</f>
        <v>0</v>
      </c>
      <c r="L87" s="286">
        <f>L88</f>
        <v>4590</v>
      </c>
    </row>
    <row r="88" spans="1:12" ht="51" customHeight="1" x14ac:dyDescent="0.2">
      <c r="A88" s="113" t="str">
        <f>IF(B88&gt;0,VLOOKUP(B88,КВСР!A54:B1219,2),IF(C88&gt;0,VLOOKUP(C88,КФСР!A54:B1566,2),IF(D88&gt;0,VLOOKUP(D88,Программа!A$1:B$5124,2),IF(F88&gt;0,VLOOKUP(F88,КВР!A$1:B$5001,2),IF(E88&gt;0,VLOOKUP(E88,Направление!A$1:B$4812,2))))))</f>
        <v xml:space="preserve">Закупка товаров, работ и услуг для обеспечения государственных (муниципальных) нужд
</v>
      </c>
      <c r="B88" s="114"/>
      <c r="C88" s="109"/>
      <c r="D88" s="110"/>
      <c r="E88" s="109"/>
      <c r="F88" s="111">
        <v>200</v>
      </c>
      <c r="G88" s="369">
        <v>4590</v>
      </c>
      <c r="H88" s="369"/>
      <c r="I88" s="369">
        <f>G88+H88</f>
        <v>4590</v>
      </c>
      <c r="J88" s="369">
        <v>4590</v>
      </c>
      <c r="K88" s="286"/>
      <c r="L88" s="286">
        <f>J88+K88</f>
        <v>4590</v>
      </c>
    </row>
    <row r="89" spans="1:12" ht="15.75" x14ac:dyDescent="0.2">
      <c r="A89" s="113" t="str">
        <f>IF(B89&gt;0,VLOOKUP(B89,КВСР!A51:B1216,2),IF(C89&gt;0,VLOOKUP(C89,КФСР!A51:B1563,2),IF(D89&gt;0,VLOOKUP(D89,Программа!A$1:B$5124,2),IF(F89&gt;0,VLOOKUP(F89,КВР!A$1:B$5001,2),IF(E89&gt;0,VLOOKUP(E89,Направление!A$1:B$4812,2))))))</f>
        <v>Непрограммные расходы бюджета</v>
      </c>
      <c r="B89" s="114"/>
      <c r="C89" s="109"/>
      <c r="D89" s="110" t="s">
        <v>311</v>
      </c>
      <c r="E89" s="109"/>
      <c r="F89" s="111"/>
      <c r="G89" s="369">
        <v>757500</v>
      </c>
      <c r="H89" s="369">
        <f t="shared" ref="H89:L89" si="48">H90</f>
        <v>0</v>
      </c>
      <c r="I89" s="369">
        <f t="shared" si="48"/>
        <v>757500</v>
      </c>
      <c r="J89" s="369">
        <v>757500</v>
      </c>
      <c r="K89" s="369">
        <f t="shared" si="48"/>
        <v>0</v>
      </c>
      <c r="L89" s="369">
        <f t="shared" si="48"/>
        <v>757500</v>
      </c>
    </row>
    <row r="90" spans="1:12" ht="47.25" x14ac:dyDescent="0.2">
      <c r="A90" s="113" t="str">
        <f>IF(B90&gt;0,VLOOKUP(B90,КВСР!A52:B1217,2),IF(C90&gt;0,VLOOKUP(C90,КФСР!A52:B1564,2),IF(D90&gt;0,VLOOKUP(D90,Программа!A$1:B$5124,2),IF(F90&gt;0,VLOOKUP(F90,КВР!A$1:B$5001,2),IF(E90&gt;0,VLOOKUP(E90,Направление!A$1:B$4812,2))))))</f>
        <v>Расходы по организации мероприятий при осуществлении деятельности по обращению с животными без владельцев</v>
      </c>
      <c r="B90" s="114"/>
      <c r="C90" s="109"/>
      <c r="D90" s="110"/>
      <c r="E90" s="109">
        <v>74420</v>
      </c>
      <c r="F90" s="111"/>
      <c r="G90" s="369">
        <v>757500</v>
      </c>
      <c r="H90" s="369">
        <f t="shared" ref="H90:L90" si="49">H91</f>
        <v>0</v>
      </c>
      <c r="I90" s="369">
        <f t="shared" si="49"/>
        <v>757500</v>
      </c>
      <c r="J90" s="369">
        <v>757500</v>
      </c>
      <c r="K90" s="369">
        <f t="shared" si="49"/>
        <v>0</v>
      </c>
      <c r="L90" s="369">
        <f t="shared" si="49"/>
        <v>757500</v>
      </c>
    </row>
    <row r="91" spans="1:12" ht="63" x14ac:dyDescent="0.2">
      <c r="A91" s="113" t="str">
        <f>IF(B91&gt;0,VLOOKUP(B91,КВСР!A53:B1218,2),IF(C91&gt;0,VLOOKUP(C91,КФСР!A53:B1565,2),IF(D91&gt;0,VLOOKUP(D91,Программа!A$1:B$5124,2),IF(F91&gt;0,VLOOKUP(F91,КВР!A$1:B$5001,2),IF(E91&gt;0,VLOOKUP(E91,Направление!A$1:B$4812,2))))))</f>
        <v xml:space="preserve">Закупка товаров, работ и услуг для обеспечения государственных (муниципальных) нужд
</v>
      </c>
      <c r="B91" s="114"/>
      <c r="C91" s="109"/>
      <c r="D91" s="110"/>
      <c r="E91" s="109"/>
      <c r="F91" s="111">
        <v>200</v>
      </c>
      <c r="G91" s="369">
        <v>757500</v>
      </c>
      <c r="H91" s="369"/>
      <c r="I91" s="369">
        <f>G91+H91</f>
        <v>757500</v>
      </c>
      <c r="J91" s="369">
        <v>757500</v>
      </c>
      <c r="K91" s="286"/>
      <c r="L91" s="286">
        <f t="shared" ref="L91:L96" si="50">SUM(J91:K91)</f>
        <v>757500</v>
      </c>
    </row>
    <row r="92" spans="1:12" ht="15.75" x14ac:dyDescent="0.2">
      <c r="A92" s="113" t="str">
        <f>IF(B92&gt;0,VLOOKUP(B92,КВСР!A54:B1219,2),IF(C92&gt;0,VLOOKUP(C92,КФСР!A54:B1566,2),IF(D92&gt;0,VLOOKUP(D92,Программа!A$1:B$5124,2),IF(F92&gt;0,VLOOKUP(F92,КВР!A$1:B$5001,2),IF(E92&gt;0,VLOOKUP(E92,Направление!A$1:B$4812,2))))))</f>
        <v>Транспорт</v>
      </c>
      <c r="B92" s="114"/>
      <c r="C92" s="109">
        <v>408</v>
      </c>
      <c r="D92" s="110"/>
      <c r="E92" s="109"/>
      <c r="F92" s="111"/>
      <c r="G92" s="369">
        <v>11830000</v>
      </c>
      <c r="H92" s="369">
        <f t="shared" ref="H92:L95" si="51">H93</f>
        <v>0</v>
      </c>
      <c r="I92" s="369">
        <f t="shared" si="51"/>
        <v>11830000</v>
      </c>
      <c r="J92" s="369">
        <v>0</v>
      </c>
      <c r="K92" s="369">
        <f t="shared" si="51"/>
        <v>0</v>
      </c>
      <c r="L92" s="369">
        <f t="shared" si="51"/>
        <v>0</v>
      </c>
    </row>
    <row r="93" spans="1:12" ht="63" x14ac:dyDescent="0.2">
      <c r="A93" s="113" t="str">
        <f>IF(B93&gt;0,VLOOKUP(B93,КВСР!A55:B1220,2),IF(C93&gt;0,VLOOKUP(C93,КФСР!A55:B1567,2),IF(D93&gt;0,VLOOKUP(D93,Программа!A$1:B$5124,2),IF(F93&gt;0,VLOOKUP(F93,КВР!A$1:B$5001,2),IF(E93&gt;0,VLOOKUP(E93,Направление!A$1:B$4812,2))))))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14"/>
      <c r="C93" s="109"/>
      <c r="D93" s="110" t="s">
        <v>533</v>
      </c>
      <c r="E93" s="109"/>
      <c r="F93" s="111"/>
      <c r="G93" s="369">
        <v>11830000</v>
      </c>
      <c r="H93" s="369">
        <f t="shared" ref="H93" si="52">H94+H99</f>
        <v>0</v>
      </c>
      <c r="I93" s="369">
        <f t="shared" ref="I93" si="53">I94+I99</f>
        <v>11830000</v>
      </c>
      <c r="J93" s="369">
        <v>0</v>
      </c>
      <c r="K93" s="369">
        <f t="shared" ref="K93:L93" si="54">K94+K99</f>
        <v>0</v>
      </c>
      <c r="L93" s="369">
        <f t="shared" si="54"/>
        <v>0</v>
      </c>
    </row>
    <row r="94" spans="1:12" ht="78.75" x14ac:dyDescent="0.2">
      <c r="A94" s="113" t="str">
        <f>IF(B94&gt;0,VLOOKUP(B94,КВСР!A56:B1221,2),IF(C94&gt;0,VLOOKUP(C94,КФСР!A56:B1568,2),IF(D94&gt;0,VLOOKUP(D94,Программа!A$1:B$5124,2),IF(F94&gt;0,VLOOKUP(F94,КВР!A$1:B$5001,2),IF(E94&gt;0,VLOOKUP(E94,Направление!A$1:B$4812,2))))))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14"/>
      <c r="C94" s="109"/>
      <c r="D94" s="110" t="s">
        <v>539</v>
      </c>
      <c r="E94" s="109"/>
      <c r="F94" s="111"/>
      <c r="G94" s="369">
        <v>11830000</v>
      </c>
      <c r="H94" s="369">
        <f t="shared" ref="H94" si="55">H95+H97</f>
        <v>0</v>
      </c>
      <c r="I94" s="369">
        <f t="shared" ref="I94" si="56">I95+I97</f>
        <v>11830000</v>
      </c>
      <c r="J94" s="369">
        <v>0</v>
      </c>
      <c r="K94" s="369">
        <f t="shared" ref="K94:L94" si="57">K95+K97</f>
        <v>0</v>
      </c>
      <c r="L94" s="369">
        <f t="shared" si="57"/>
        <v>0</v>
      </c>
    </row>
    <row r="95" spans="1:12" ht="63" x14ac:dyDescent="0.2">
      <c r="A95" s="113" t="str">
        <f>IF(B95&gt;0,VLOOKUP(B95,КВСР!A57:B1222,2),IF(C95&gt;0,VLOOKUP(C95,КФСР!A57:B1569,2),IF(D95&gt;0,VLOOKUP(D95,Программа!A$1:B$5124,2),IF(F95&gt;0,VLOOKUP(F95,КВР!A$1:B$5001,2),IF(E95&gt;0,VLOOKUP(E95,Направление!A$1:B$4812,2))))))</f>
        <v>Субсидия на возмещение затрат по пассажирским перевозкам внутримуниципальным транспортом общего пользования</v>
      </c>
      <c r="B95" s="114"/>
      <c r="C95" s="109"/>
      <c r="D95" s="110"/>
      <c r="E95" s="109">
        <v>10100</v>
      </c>
      <c r="F95" s="111"/>
      <c r="G95" s="369">
        <v>11000000</v>
      </c>
      <c r="H95" s="369">
        <f t="shared" si="51"/>
        <v>0</v>
      </c>
      <c r="I95" s="369">
        <f t="shared" si="51"/>
        <v>11000000</v>
      </c>
      <c r="J95" s="369">
        <v>0</v>
      </c>
      <c r="K95" s="369">
        <f t="shared" si="51"/>
        <v>0</v>
      </c>
      <c r="L95" s="369">
        <f t="shared" si="51"/>
        <v>0</v>
      </c>
    </row>
    <row r="96" spans="1:12" ht="63" x14ac:dyDescent="0.2">
      <c r="A96" s="113" t="str">
        <f>IF(B96&gt;0,VLOOKUP(B96,КВСР!A58:B1223,2),IF(C96&gt;0,VLOOKUP(C96,КФСР!A58:B1570,2),IF(D96&gt;0,VLOOKUP(D96,Программа!A$1:B$5124,2),IF(F96&gt;0,VLOOKUP(F96,КВР!A$1:B$5001,2),IF(E96&gt;0,VLOOKUP(E96,Направление!A$1:B$4812,2))))))</f>
        <v xml:space="preserve">Закупка товаров, работ и услуг для обеспечения государственных (муниципальных) нужд
</v>
      </c>
      <c r="B96" s="114"/>
      <c r="C96" s="109"/>
      <c r="D96" s="110"/>
      <c r="E96" s="109"/>
      <c r="F96" s="111">
        <v>200</v>
      </c>
      <c r="G96" s="369">
        <v>11000000</v>
      </c>
      <c r="H96" s="369"/>
      <c r="I96" s="369">
        <f t="shared" ref="I96" si="58">G96+H96</f>
        <v>11000000</v>
      </c>
      <c r="J96" s="369">
        <v>0</v>
      </c>
      <c r="K96" s="286"/>
      <c r="L96" s="286">
        <f t="shared" si="50"/>
        <v>0</v>
      </c>
    </row>
    <row r="97" spans="1:13" ht="63" x14ac:dyDescent="0.2">
      <c r="A97" s="113" t="str">
        <f>IF(B97&gt;0,VLOOKUP(B97,КВСР!A59:B1224,2),IF(C97&gt;0,VLOOKUP(C97,КФСР!A59:B1571,2),IF(D97&gt;0,VLOOKUP(D97,Программа!A$1:B$5124,2),IF(F97&gt;0,VLOOKUP(F97,КВР!A$1:B$5001,2),IF(E97&gt;0,VLOOKUP(E97,Направление!A$1:B$4812,2))))))</f>
        <v>Обеспечение мероприятий по осуществлению межсезонных пассажирских  перевозок на автомобильном  транспорте</v>
      </c>
      <c r="B97" s="114"/>
      <c r="C97" s="109"/>
      <c r="D97" s="110"/>
      <c r="E97" s="109">
        <v>29176</v>
      </c>
      <c r="F97" s="111"/>
      <c r="G97" s="369">
        <v>830000</v>
      </c>
      <c r="H97" s="369">
        <f>H98</f>
        <v>0</v>
      </c>
      <c r="I97" s="369">
        <f>SUM(G97:H97)</f>
        <v>830000</v>
      </c>
      <c r="J97" s="369">
        <v>0</v>
      </c>
      <c r="K97" s="286">
        <f>K98</f>
        <v>0</v>
      </c>
      <c r="L97" s="286">
        <f>SUM(J97:K97)</f>
        <v>0</v>
      </c>
    </row>
    <row r="98" spans="1:13" ht="63" x14ac:dyDescent="0.2">
      <c r="A98" s="113" t="str">
        <f>IF(B98&gt;0,VLOOKUP(B98,КВСР!A60:B1225,2),IF(C98&gt;0,VLOOKUP(C98,КФСР!A60:B1572,2),IF(D98&gt;0,VLOOKUP(D98,Программа!A$1:B$5124,2),IF(F98&gt;0,VLOOKUP(F98,КВР!A$1:B$5001,2),IF(E98&gt;0,VLOOKUP(E98,Направление!A$1:B$4812,2))))))</f>
        <v xml:space="preserve">Закупка товаров, работ и услуг для обеспечения государственных (муниципальных) нужд
</v>
      </c>
      <c r="B98" s="114"/>
      <c r="C98" s="109"/>
      <c r="D98" s="110"/>
      <c r="E98" s="109"/>
      <c r="F98" s="111">
        <v>200</v>
      </c>
      <c r="G98" s="369">
        <v>830000</v>
      </c>
      <c r="H98" s="369"/>
      <c r="I98" s="369">
        <f>SUM(G98:H98)</f>
        <v>830000</v>
      </c>
      <c r="J98" s="369">
        <v>0</v>
      </c>
      <c r="K98" s="286"/>
      <c r="L98" s="286">
        <f>SUM(J98:K98)</f>
        <v>0</v>
      </c>
    </row>
    <row r="99" spans="1:13" ht="47.25" hidden="1" x14ac:dyDescent="0.2">
      <c r="A99" s="113" t="str">
        <f>IF(B99&gt;0,VLOOKUP(B99,КВСР!A61:B1226,2),IF(C99&gt;0,VLOOKUP(C99,КФСР!A61:B1573,2),IF(D99&gt;0,VLOOKUP(D99,Программа!A$1:B$5124,2),IF(F99&gt;0,VLOOKUP(F99,КВР!A$1:B$5001,2),IF(E99&gt;0,VLOOKUP(E99,Направление!A$1:B$4812,2))))))</f>
        <v>Организация предоставления транспортных услуг по перевозке пассажиров речным транспортом</v>
      </c>
      <c r="B99" s="114"/>
      <c r="C99" s="109"/>
      <c r="D99" s="110" t="s">
        <v>1194</v>
      </c>
      <c r="E99" s="109"/>
      <c r="F99" s="111"/>
      <c r="G99" s="374">
        <v>0</v>
      </c>
      <c r="H99" s="369">
        <f>H100</f>
        <v>0</v>
      </c>
      <c r="I99" s="369">
        <f t="shared" ref="I99:L100" si="59">I100</f>
        <v>0</v>
      </c>
      <c r="J99" s="369">
        <v>0</v>
      </c>
      <c r="K99" s="369">
        <f t="shared" si="59"/>
        <v>0</v>
      </c>
      <c r="L99" s="369">
        <f t="shared" si="59"/>
        <v>0</v>
      </c>
    </row>
    <row r="100" spans="1:13" ht="47.25" hidden="1" x14ac:dyDescent="0.2">
      <c r="A100" s="113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IF(B100&gt;0,VLOOKUP(B100,КВСР!A62:B1227,2),IF(C100&gt;0,VLOOKUP(C100,КФСР!A62:B1574,2),IF(D100&gt;0,VLOOKUP(D100,Программа!A$1:B$5124,2),IF(F100&gt;0,VLOOKUP(F100,КВР!A$1:B$5001,2),IF(E100&gt;0,VLOOKUP(E100,Направление!A$1:B$4812,2))))))</f>
        <v>Обеспечение мероприятий по осуществлению грузопассажирских  перевозок на речном транспорте</v>
      </c>
      <c r="B100" s="114"/>
      <c r="C100" s="109"/>
      <c r="D100" s="110"/>
      <c r="E100" s="109">
        <v>29166</v>
      </c>
      <c r="F100" s="111"/>
      <c r="G100" s="374">
        <v>0</v>
      </c>
      <c r="H100" s="369">
        <f>H101</f>
        <v>0</v>
      </c>
      <c r="I100" s="369">
        <f t="shared" si="59"/>
        <v>0</v>
      </c>
      <c r="J100" s="369">
        <v>0</v>
      </c>
      <c r="K100" s="369">
        <f t="shared" si="59"/>
        <v>0</v>
      </c>
      <c r="L100" s="369">
        <f t="shared" si="59"/>
        <v>0</v>
      </c>
    </row>
    <row r="101" spans="1:13" ht="47.25" hidden="1" x14ac:dyDescent="0.2">
      <c r="A101" s="113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IF(B101&gt;0,VLOOKUP(B101,КВСР!A63:B1228,2),IF(C101&gt;0,VLOOKUP(C101,КФСР!A63:B1575,2),IF(D101&gt;0,VLOOKUP(D101,Программа!A$1:B$5124,2),IF(F101&gt;0,VLOOKUP(F101,КВР!A$1:B$5001,2),IF(E101&gt;0,VLOOKUP(E101,Направление!A$1:B$4812,2))))))</f>
        <v>Предоставление субсидий бюджетным, автономным учреждениям и иным некоммерческим организациям</v>
      </c>
      <c r="B101" s="114"/>
      <c r="C101" s="109"/>
      <c r="D101" s="110"/>
      <c r="E101" s="109"/>
      <c r="F101" s="111">
        <v>600</v>
      </c>
      <c r="G101" s="369">
        <v>0</v>
      </c>
      <c r="H101" s="369"/>
      <c r="I101" s="369">
        <f t="shared" ref="I101" si="60">SUM(G101:H101)</f>
        <v>0</v>
      </c>
      <c r="J101" s="369">
        <v>0</v>
      </c>
      <c r="K101" s="286"/>
      <c r="L101" s="286">
        <f t="shared" ref="L101" si="61">SUM(J101:K101)</f>
        <v>0</v>
      </c>
    </row>
    <row r="102" spans="1:13" ht="15.75" x14ac:dyDescent="0.2">
      <c r="A102" s="113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IF(B102&gt;0,VLOOKUP(B102,КВСР!A51:B1216,2),IF(C102&gt;0,VLOOKUP(C102,КФСР!A51:B1563,2),IF(D102&gt;0,VLOOKUP(D102,Программа!A$1:B$5124,2),IF(F102&gt;0,VLOOKUP(F102,КВР!A$1:B$5001,2),IF(E102&gt;0,VLOOKUP(E102,Направление!A$1:B$4812,2))))))</f>
        <v>Дорожное хозяйство</v>
      </c>
      <c r="B102" s="114"/>
      <c r="C102" s="109">
        <v>409</v>
      </c>
      <c r="D102" s="110"/>
      <c r="E102" s="109"/>
      <c r="F102" s="111"/>
      <c r="G102" s="369">
        <v>260440368</v>
      </c>
      <c r="H102" s="369">
        <f>H103+H107+H143+H146</f>
        <v>0</v>
      </c>
      <c r="I102" s="369">
        <f t="shared" ref="I102:L102" si="62">I103+I107+I143+I146</f>
        <v>260440368</v>
      </c>
      <c r="J102" s="369">
        <f t="shared" si="62"/>
        <v>154504338</v>
      </c>
      <c r="K102" s="369">
        <f t="shared" si="62"/>
        <v>0</v>
      </c>
      <c r="L102" s="369">
        <f t="shared" si="62"/>
        <v>154504338</v>
      </c>
    </row>
    <row r="103" spans="1:13" ht="63" x14ac:dyDescent="0.2">
      <c r="A103" s="113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IF(B103&gt;0,VLOOKUP(B103,КВСР!A52:B1217,2),IF(C103&gt;0,VLOOKUP(C103,КФСР!A52:B1564,2),IF(D103&gt;0,VLOOKUP(D103,Программа!A$1:B$5124,2),IF(F103&gt;0,VLOOKUP(F103,КВР!A$1:B$5001,2),IF(E103&gt;0,VLOOKUP(E103,Направление!A$1:B$4812,2))))))</f>
        <v>Муниципальная программа "Формирование  современной городской среды"  Тутаевского муниципального района</v>
      </c>
      <c r="B103" s="114"/>
      <c r="C103" s="109"/>
      <c r="D103" s="110" t="s">
        <v>1134</v>
      </c>
      <c r="E103" s="109"/>
      <c r="F103" s="111"/>
      <c r="G103" s="369">
        <v>2000000</v>
      </c>
      <c r="H103" s="369">
        <f t="shared" ref="H103:L105" si="63">H104</f>
        <v>0</v>
      </c>
      <c r="I103" s="369">
        <f t="shared" si="63"/>
        <v>2000000</v>
      </c>
      <c r="J103" s="369">
        <v>2000000</v>
      </c>
      <c r="K103" s="369">
        <f t="shared" ref="K103:K104" si="64">K104</f>
        <v>0</v>
      </c>
      <c r="L103" s="369">
        <f t="shared" ref="L103:L104" si="65">L104</f>
        <v>2000000</v>
      </c>
    </row>
    <row r="104" spans="1:13" ht="31.5" x14ac:dyDescent="0.2">
      <c r="A104" s="113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IF(B104&gt;0,VLOOKUP(B104,КВСР!A53:B1218,2),IF(C104&gt;0,VLOOKUP(C104,КФСР!A53:B1565,2),IF(D104&gt;0,VLOOKUP(D104,Программа!A$1:B$5124,2),IF(F104&gt;0,VLOOKUP(F104,КВР!A$1:B$5001,2),IF(E104&gt;0,VLOOKUP(E104,Направление!A$1:B$4812,2))))))</f>
        <v>Повышение уровня благоустройства территорий</v>
      </c>
      <c r="B104" s="114"/>
      <c r="C104" s="109"/>
      <c r="D104" s="110" t="s">
        <v>1152</v>
      </c>
      <c r="E104" s="109"/>
      <c r="F104" s="111"/>
      <c r="G104" s="369">
        <v>2000000</v>
      </c>
      <c r="H104" s="369">
        <f t="shared" si="63"/>
        <v>0</v>
      </c>
      <c r="I104" s="369">
        <f t="shared" si="63"/>
        <v>2000000</v>
      </c>
      <c r="J104" s="369">
        <v>2000000</v>
      </c>
      <c r="K104" s="369">
        <f t="shared" si="64"/>
        <v>0</v>
      </c>
      <c r="L104" s="369">
        <f t="shared" si="65"/>
        <v>2000000</v>
      </c>
    </row>
    <row r="105" spans="1:13" ht="47.25" x14ac:dyDescent="0.2">
      <c r="A105" s="113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IF(B105&gt;0,VLOOKUP(B105,КВСР!A54:B1219,2),IF(C105&gt;0,VLOOKUP(C105,КФСР!A54:B1566,2),IF(D105&gt;0,VLOOKUP(D105,Программа!A$1:B$5124,2),IF(F105&gt;0,VLOOKUP(F105,КВР!A$1:B$5001,2),IF(E105&gt;0,VLOOKUP(E105,Направление!A$1:B$4812,2))))))</f>
        <v>Обеспечение мероприятий по формированию современной городской среды</v>
      </c>
      <c r="B105" s="114"/>
      <c r="C105" s="109"/>
      <c r="D105" s="110"/>
      <c r="E105" s="109">
        <v>29456</v>
      </c>
      <c r="F105" s="111"/>
      <c r="G105" s="369">
        <v>2000000</v>
      </c>
      <c r="H105" s="369">
        <f t="shared" si="63"/>
        <v>0</v>
      </c>
      <c r="I105" s="369">
        <f t="shared" si="63"/>
        <v>2000000</v>
      </c>
      <c r="J105" s="369">
        <v>2000000</v>
      </c>
      <c r="K105" s="369">
        <f t="shared" si="63"/>
        <v>0</v>
      </c>
      <c r="L105" s="369">
        <f t="shared" si="63"/>
        <v>2000000</v>
      </c>
    </row>
    <row r="106" spans="1:13" ht="63" x14ac:dyDescent="0.2">
      <c r="A106" s="113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IF(B106&gt;0,VLOOKUP(B106,КВСР!A55:B1220,2),IF(C106&gt;0,VLOOKUP(C106,КФСР!A55:B1567,2),IF(D106&gt;0,VLOOKUP(D106,Программа!A$1:B$5124,2),IF(F106&gt;0,VLOOKUP(F106,КВР!A$1:B$5001,2),IF(E106&gt;0,VLOOKUP(E106,Направление!A$1:B$4812,2))))))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369">
        <v>2000000</v>
      </c>
      <c r="H106" s="369"/>
      <c r="I106" s="369">
        <f>G106+H106</f>
        <v>2000000</v>
      </c>
      <c r="J106" s="369">
        <v>2000000</v>
      </c>
      <c r="K106" s="286"/>
      <c r="L106" s="286">
        <f>J106+K106</f>
        <v>2000000</v>
      </c>
      <c r="M106" s="597"/>
    </row>
    <row r="107" spans="1:13" ht="47.25" x14ac:dyDescent="0.2">
      <c r="A107" s="113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IF(B107&gt;0,VLOOKUP(B107,КВСР!A52:B1217,2),IF(C107&gt;0,VLOOKUP(C107,КФСР!A52:B1564,2),IF(D107&gt;0,VLOOKUP(D107,Программа!A$1:B$5124,2),IF(F107&gt;0,VLOOKUP(F107,КВР!A$1:B$5001,2),IF(E107&gt;0,VLOOKUP(E107,Направление!A$1:B$4812,2))))))</f>
        <v>Муниципальная программа "Развитие дорожного хозяйства в Тутаевском муниципальном районе"</v>
      </c>
      <c r="B107" s="114"/>
      <c r="C107" s="109"/>
      <c r="D107" s="110" t="s">
        <v>1411</v>
      </c>
      <c r="E107" s="109"/>
      <c r="F107" s="111"/>
      <c r="G107" s="369">
        <v>258440368</v>
      </c>
      <c r="H107" s="369">
        <f>H108+H111+H138+H135</f>
        <v>0</v>
      </c>
      <c r="I107" s="369">
        <f>I108+I111+I138+I135</f>
        <v>258440368</v>
      </c>
      <c r="J107" s="369">
        <f t="shared" ref="J107:L107" si="66">J108+J111+J138+J135</f>
        <v>152504338</v>
      </c>
      <c r="K107" s="369">
        <f t="shared" si="66"/>
        <v>0</v>
      </c>
      <c r="L107" s="369">
        <f t="shared" si="66"/>
        <v>152504338</v>
      </c>
    </row>
    <row r="108" spans="1:13" ht="47.25" x14ac:dyDescent="0.2">
      <c r="A108" s="113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IF(B108&gt;0,VLOOKUP(B108,КВСР!A53:B1218,2),IF(C108&gt;0,VLOOKUP(C108,КФСР!A53:B1565,2),IF(D108&gt;0,VLOOKUP(D108,Программа!A$1:B$5124,2),IF(F108&gt;0,VLOOKUP(F108,КВР!A$1:B$5001,2),IF(E108&gt;0,VLOOKUP(E108,Направление!A$1:B$4812,2))))))</f>
        <v>Реализация мероприятий по повышению безопасности дорожного движения на автомобильных дорогах</v>
      </c>
      <c r="B108" s="114"/>
      <c r="C108" s="109"/>
      <c r="D108" s="110" t="s">
        <v>1412</v>
      </c>
      <c r="E108" s="109"/>
      <c r="F108" s="111"/>
      <c r="G108" s="369">
        <v>1800000</v>
      </c>
      <c r="H108" s="369">
        <f t="shared" ref="H108:I109" si="67">H109</f>
        <v>0</v>
      </c>
      <c r="I108" s="369">
        <f t="shared" si="67"/>
        <v>1800000</v>
      </c>
      <c r="J108" s="369">
        <v>2000000</v>
      </c>
      <c r="K108" s="369">
        <f t="shared" ref="K108:K109" si="68">K109</f>
        <v>0</v>
      </c>
      <c r="L108" s="369">
        <f t="shared" ref="L108:L109" si="69">L109</f>
        <v>2000000</v>
      </c>
    </row>
    <row r="109" spans="1:13" ht="47.25" x14ac:dyDescent="0.2">
      <c r="A109" s="113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IF(B109&gt;0,VLOOKUP(B109,КВСР!A55:B1220,2),IF(C109&gt;0,VLOOKUP(C109,КФСР!A55:B1567,2),IF(D109&gt;0,VLOOKUP(D109,Программа!A$1:B$5124,2),IF(F109&gt;0,VLOOKUP(F109,КВР!A$1:B$5001,2),IF(E109&gt;0,VLOOKUP(E109,Направление!A$1:B$4812,2))))))</f>
        <v>Обеспечение   мероприятий в области  дорожного хозяйства  по повышению безопасности дорожного движения</v>
      </c>
      <c r="B109" s="114"/>
      <c r="C109" s="109"/>
      <c r="D109" s="110"/>
      <c r="E109" s="109">
        <v>29096</v>
      </c>
      <c r="F109" s="111"/>
      <c r="G109" s="369">
        <v>1800000</v>
      </c>
      <c r="H109" s="369">
        <f t="shared" si="67"/>
        <v>0</v>
      </c>
      <c r="I109" s="369">
        <f t="shared" si="67"/>
        <v>1800000</v>
      </c>
      <c r="J109" s="369">
        <v>2000000</v>
      </c>
      <c r="K109" s="369">
        <f t="shared" si="68"/>
        <v>0</v>
      </c>
      <c r="L109" s="369">
        <f t="shared" si="69"/>
        <v>2000000</v>
      </c>
    </row>
    <row r="110" spans="1:13" ht="63" x14ac:dyDescent="0.2">
      <c r="A110" s="113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IF(B110&gt;0,VLOOKUP(B110,КВСР!A56:B1221,2),IF(C110&gt;0,VLOOKUP(C110,КФСР!A56:B1568,2),IF(D110&gt;0,VLOOKUP(D110,Программа!A$1:B$5124,2),IF(F110&gt;0,VLOOKUP(F110,КВР!A$1:B$5001,2),IF(E110&gt;0,VLOOKUP(E110,Направление!A$1:B$4812,2))))))</f>
        <v xml:space="preserve">Закупка товаров, работ и услуг для обеспечения государственных (муниципальных) нужд
</v>
      </c>
      <c r="B110" s="114"/>
      <c r="C110" s="109"/>
      <c r="D110" s="110"/>
      <c r="E110" s="109"/>
      <c r="F110" s="111">
        <v>200</v>
      </c>
      <c r="G110" s="369">
        <v>1800000</v>
      </c>
      <c r="H110" s="369"/>
      <c r="I110" s="369">
        <f t="shared" si="10"/>
        <v>1800000</v>
      </c>
      <c r="J110" s="369">
        <v>2000000</v>
      </c>
      <c r="K110" s="286"/>
      <c r="L110" s="286">
        <f t="shared" ref="L110:L161" si="70">SUM(J110:K110)</f>
        <v>2000000</v>
      </c>
    </row>
    <row r="111" spans="1:13" ht="78.75" x14ac:dyDescent="0.2">
      <c r="A111" s="113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IF(B111&gt;0,VLOOKUP(B111,КВСР!A57:B1222,2),IF(C111&gt;0,VLOOKUP(C111,КФСР!A57:B1569,2),IF(D111&gt;0,VLOOKUP(D111,Программа!A$1:B$5124,2),IF(F111&gt;0,VLOOKUP(F111,КВР!A$1:B$5001,2),IF(E111&gt;0,VLOOKUP(E111,Направление!A$1:B$4812,2))))))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14"/>
      <c r="C111" s="109"/>
      <c r="D111" s="110" t="s">
        <v>1413</v>
      </c>
      <c r="E111" s="109"/>
      <c r="F111" s="111"/>
      <c r="G111" s="369">
        <v>104405368</v>
      </c>
      <c r="H111" s="369">
        <f>H112+H115+H117+H122+H125+H129+H131+H120+H133</f>
        <v>0</v>
      </c>
      <c r="I111" s="369">
        <f t="shared" ref="I111:L111" si="71">I112+I115+I117+I122+I125+I129+I131+I120+I133</f>
        <v>104405368</v>
      </c>
      <c r="J111" s="369">
        <v>106059338</v>
      </c>
      <c r="K111" s="369">
        <f t="shared" si="71"/>
        <v>0</v>
      </c>
      <c r="L111" s="369">
        <f t="shared" si="71"/>
        <v>106059338</v>
      </c>
    </row>
    <row r="112" spans="1:13" ht="31.5" x14ac:dyDescent="0.2">
      <c r="A112" s="113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IF(B112&gt;0,VLOOKUP(B112,КВСР!A59:B1224,2),IF(C112&gt;0,VLOOKUP(C112,КФСР!A59:B1571,2),IF(D112&gt;0,VLOOKUP(D112,Программа!A$1:B$5124,2),IF(F112&gt;0,VLOOKUP(F112,КВР!A$1:B$5001,2),IF(E112&gt;0,VLOOKUP(E112,Направление!A$1:B$4812,2))))))</f>
        <v>Содержание и ремонт  автомобильных дорог общего пользования</v>
      </c>
      <c r="B112" s="114"/>
      <c r="C112" s="109"/>
      <c r="D112" s="110"/>
      <c r="E112" s="109">
        <v>10200</v>
      </c>
      <c r="F112" s="111"/>
      <c r="G112" s="369">
        <v>24300930</v>
      </c>
      <c r="H112" s="369">
        <f t="shared" ref="H112:I112" si="72">H114+H113</f>
        <v>0</v>
      </c>
      <c r="I112" s="369">
        <f t="shared" si="72"/>
        <v>24300930</v>
      </c>
      <c r="J112" s="369">
        <v>25385150</v>
      </c>
      <c r="K112" s="369">
        <f>K114+K113</f>
        <v>0</v>
      </c>
      <c r="L112" s="369">
        <f t="shared" ref="L112" si="73">L114+L113</f>
        <v>25385150</v>
      </c>
    </row>
    <row r="113" spans="1:12" ht="63" x14ac:dyDescent="0.2">
      <c r="A113" s="113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IF(B113&gt;0,VLOOKUP(B113,КВСР!A60:B1225,2),IF(C113&gt;0,VLOOKUP(C113,КФСР!A60:B1572,2),IF(D113&gt;0,VLOOKUP(D113,Программа!A$1:B$5124,2),IF(F113&gt;0,VLOOKUP(F113,КВР!A$1:B$5001,2),IF(E113&gt;0,VLOOKUP(E113,Направление!A$1:B$4812,2))))))</f>
        <v xml:space="preserve">Закупка товаров, работ и услуг для обеспечения государственных (муниципальных) нужд
</v>
      </c>
      <c r="B113" s="114"/>
      <c r="C113" s="109"/>
      <c r="D113" s="110"/>
      <c r="E113" s="109"/>
      <c r="F113" s="111">
        <v>200</v>
      </c>
      <c r="G113" s="369">
        <v>24300930</v>
      </c>
      <c r="H113" s="369"/>
      <c r="I113" s="369">
        <f>SUM(G113:H113)</f>
        <v>24300930</v>
      </c>
      <c r="J113" s="369">
        <v>25385150</v>
      </c>
      <c r="K113" s="286"/>
      <c r="L113" s="286">
        <f t="shared" si="70"/>
        <v>25385150</v>
      </c>
    </row>
    <row r="114" spans="1:12" ht="47.25" hidden="1" x14ac:dyDescent="0.2">
      <c r="A114" s="113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IF(B114&gt;0,VLOOKUP(B114,КВСР!A60:B1225,2),IF(C114&gt;0,VLOOKUP(C114,КФСР!A60:B1572,2),IF(D114&gt;0,VLOOKUP(D114,Программа!A$1:B$5124,2),IF(F114&gt;0,VLOOKUP(F114,КВР!A$1:B$5001,2),IF(E114&gt;0,VLOOKUP(E114,Направление!A$1:B$4812,2))))))</f>
        <v>Предоставление субсидий бюджетным, автономным учреждениям и иным некоммерческим организациям</v>
      </c>
      <c r="B114" s="114"/>
      <c r="C114" s="109"/>
      <c r="D114" s="110"/>
      <c r="E114" s="109"/>
      <c r="F114" s="111">
        <v>600</v>
      </c>
      <c r="G114" s="369">
        <v>0</v>
      </c>
      <c r="H114" s="369"/>
      <c r="I114" s="369">
        <f>SUM(G114:H114)</f>
        <v>0</v>
      </c>
      <c r="J114" s="369">
        <v>0</v>
      </c>
      <c r="K114" s="286"/>
      <c r="L114" s="286">
        <f t="shared" si="70"/>
        <v>0</v>
      </c>
    </row>
    <row r="115" spans="1:12" ht="63" x14ac:dyDescent="0.2">
      <c r="A115" s="113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IF(B115&gt;0,VLOOKUP(B115,КВСР!A61:B1226,2),IF(C115&gt;0,VLOOKUP(C115,КФСР!A61:B1573,2),IF(D115&gt;0,VLOOKUP(D115,Программа!A$1:B$5124,2),IF(F115&gt;0,VLOOKUP(F115,КВР!A$1:B$5001,2),IF(E115&gt;0,VLOOKUP(E115,Направление!A$1:B$4812,2))))))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14"/>
      <c r="C115" s="109"/>
      <c r="D115" s="110"/>
      <c r="E115" s="109">
        <v>12440</v>
      </c>
      <c r="F115" s="111"/>
      <c r="G115" s="369">
        <v>570000</v>
      </c>
      <c r="H115" s="369">
        <f>H116</f>
        <v>0</v>
      </c>
      <c r="I115" s="369">
        <f t="shared" ref="I115:L115" si="74">I116</f>
        <v>570000</v>
      </c>
      <c r="J115" s="369">
        <v>570000</v>
      </c>
      <c r="K115" s="369">
        <f t="shared" si="74"/>
        <v>0</v>
      </c>
      <c r="L115" s="369">
        <f t="shared" si="74"/>
        <v>570000</v>
      </c>
    </row>
    <row r="116" spans="1:12" ht="63" x14ac:dyDescent="0.2">
      <c r="A116" s="113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IF(B116&gt;0,VLOOKUP(B116,КВСР!A62:B1227,2),IF(C116&gt;0,VLOOKUP(C116,КФСР!A62:B1574,2),IF(D116&gt;0,VLOOKUP(D116,Программа!A$1:B$5124,2),IF(F116&gt;0,VLOOKUP(F116,КВР!A$1:B$5001,2),IF(E116&gt;0,VLOOKUP(E116,Направление!A$1:B$4812,2))))))</f>
        <v xml:space="preserve">Закупка товаров, работ и услуг для обеспечения государственных (муниципальных) нужд
</v>
      </c>
      <c r="B116" s="114"/>
      <c r="C116" s="109"/>
      <c r="D116" s="110"/>
      <c r="E116" s="109"/>
      <c r="F116" s="111">
        <v>200</v>
      </c>
      <c r="G116" s="369">
        <v>570000</v>
      </c>
      <c r="H116" s="369"/>
      <c r="I116" s="369">
        <f t="shared" ref="I116:I128" si="75">SUM(G116:H116)</f>
        <v>570000</v>
      </c>
      <c r="J116" s="369">
        <v>570000</v>
      </c>
      <c r="K116" s="286"/>
      <c r="L116" s="286">
        <f t="shared" si="70"/>
        <v>570000</v>
      </c>
    </row>
    <row r="117" spans="1:12" ht="63" x14ac:dyDescent="0.2">
      <c r="A117" s="113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IF(B117&gt;0,VLOOKUP(B117,КВСР!A63:B1228,2),IF(C117&gt;0,VLOOKUP(C117,КФСР!A63:B1575,2),IF(D117&gt;0,VLOOKUP(D117,Программа!A$1:B$5124,2),IF(F117&gt;0,VLOOKUP(F117,КВР!A$1:B$5001,2),IF(E117&gt;0,VLOOKUP(E117,Направление!A$1:B$4812,2))))))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14"/>
      <c r="C117" s="109"/>
      <c r="D117" s="110"/>
      <c r="E117" s="109">
        <v>22446</v>
      </c>
      <c r="F117" s="111"/>
      <c r="G117" s="369">
        <v>731700</v>
      </c>
      <c r="H117" s="369">
        <f>H118+H119</f>
        <v>0</v>
      </c>
      <c r="I117" s="369">
        <f>SUM(G117:H117)</f>
        <v>731700</v>
      </c>
      <c r="J117" s="369">
        <v>731700</v>
      </c>
      <c r="K117" s="369">
        <f>K118+K119</f>
        <v>0</v>
      </c>
      <c r="L117" s="369">
        <f>SUM(J117:K117)</f>
        <v>731700</v>
      </c>
    </row>
    <row r="118" spans="1:12" ht="63" x14ac:dyDescent="0.2">
      <c r="A118" s="113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IF(B118&gt;0,VLOOKUP(B118,КВСР!A64:B1229,2),IF(C118&gt;0,VLOOKUP(C118,КФСР!A64:B1576,2),IF(D118&gt;0,VLOOKUP(D118,Программа!A$1:B$5124,2),IF(F118&gt;0,VLOOKUP(F118,КВР!A$1:B$5001,2),IF(E118&gt;0,VLOOKUP(E118,Направление!A$1:B$4812,2))))))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0"/>
      <c r="E118" s="109"/>
      <c r="F118" s="111">
        <v>200</v>
      </c>
      <c r="G118" s="369">
        <v>731700</v>
      </c>
      <c r="H118" s="369"/>
      <c r="I118" s="369">
        <f>G118+H118</f>
        <v>731700</v>
      </c>
      <c r="J118" s="369">
        <v>731700</v>
      </c>
      <c r="K118" s="286"/>
      <c r="L118" s="286">
        <f>J118+K118</f>
        <v>731700</v>
      </c>
    </row>
    <row r="119" spans="1:12" ht="47.25" hidden="1" x14ac:dyDescent="0.2">
      <c r="A119" s="113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IF(B119&gt;0,VLOOKUP(B119,КВСР!A65:B1230,2),IF(C119&gt;0,VLOOKUP(C119,КФСР!A65:B1577,2),IF(D119&gt;0,VLOOKUP(D119,Программа!A$1:B$5124,2),IF(F119&gt;0,VLOOKUP(F119,КВР!A$1:B$5001,2),IF(E119&gt;0,VLOOKUP(E119,Направление!A$1:B$4812,2))))))</f>
        <v>Предоставление субсидий бюджетным, автономным учреждениям и иным некоммерческим организациям</v>
      </c>
      <c r="B119" s="114"/>
      <c r="C119" s="109"/>
      <c r="D119" s="110"/>
      <c r="E119" s="109"/>
      <c r="F119" s="111">
        <v>600</v>
      </c>
      <c r="G119" s="369">
        <v>0</v>
      </c>
      <c r="H119" s="369"/>
      <c r="I119" s="369">
        <f>SUM(G119:H119)</f>
        <v>0</v>
      </c>
      <c r="J119" s="369">
        <v>0</v>
      </c>
      <c r="K119" s="286"/>
      <c r="L119" s="286">
        <f>SUM(J119:K119)</f>
        <v>0</v>
      </c>
    </row>
    <row r="120" spans="1:12" ht="78.75" x14ac:dyDescent="0.2">
      <c r="A120" s="113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IF(B120&gt;0,VLOOKUP(B120,КВСР!A66:B1231,2),IF(C120&gt;0,VLOOKUP(C120,КФСР!A66:B1578,2),IF(D120&gt;0,VLOOKUP(D120,Программа!A$1:B$5124,2),IF(F120&gt;0,VLOOKUP(F120,КВР!A$1:B$5001,2),IF(E120&gt;0,VLOOKUP(E120,Направление!A$1:B$4812,2))))))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14"/>
      <c r="C120" s="109"/>
      <c r="D120" s="110"/>
      <c r="E120" s="109">
        <v>27356</v>
      </c>
      <c r="F120" s="111"/>
      <c r="G120" s="369">
        <v>1004000</v>
      </c>
      <c r="H120" s="369">
        <f t="shared" ref="H120:L120" si="76">H121</f>
        <v>0</v>
      </c>
      <c r="I120" s="369">
        <f t="shared" si="76"/>
        <v>1004000</v>
      </c>
      <c r="J120" s="369">
        <v>1004000</v>
      </c>
      <c r="K120" s="369">
        <f t="shared" si="76"/>
        <v>0</v>
      </c>
      <c r="L120" s="369">
        <f t="shared" si="76"/>
        <v>1004000</v>
      </c>
    </row>
    <row r="121" spans="1:12" ht="63" x14ac:dyDescent="0.2">
      <c r="A121" s="113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IF(B121&gt;0,VLOOKUP(B121,КВСР!A67:B1232,2),IF(C121&gt;0,VLOOKUP(C121,КФСР!A67:B1579,2),IF(D121&gt;0,VLOOKUP(D121,Программа!A$1:B$5124,2),IF(F121&gt;0,VLOOKUP(F121,КВР!A$1:B$5001,2),IF(E121&gt;0,VLOOKUP(E121,Направление!A$1:B$4812,2))))))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0"/>
      <c r="E121" s="109"/>
      <c r="F121" s="111">
        <v>200</v>
      </c>
      <c r="G121" s="369">
        <v>1004000</v>
      </c>
      <c r="H121" s="369"/>
      <c r="I121" s="369">
        <f t="shared" ref="I121" si="77">SUM(G121:H121)</f>
        <v>1004000</v>
      </c>
      <c r="J121" s="369">
        <v>1004000</v>
      </c>
      <c r="K121" s="286"/>
      <c r="L121" s="286">
        <f t="shared" ref="L121" si="78">SUM(J121:K121)</f>
        <v>1004000</v>
      </c>
    </row>
    <row r="122" spans="1:12" ht="47.25" x14ac:dyDescent="0.2">
      <c r="A122" s="113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IF(B122&gt;0,VLOOKUP(B122,КВСР!A63:B1228,2),IF(C122&gt;0,VLOOKUP(C122,КФСР!A63:B1575,2),IF(D122&gt;0,VLOOKUP(D122,Программа!A$1:B$5124,2),IF(F122&gt;0,VLOOKUP(F122,КВР!A$1:B$5001,2),IF(E122&gt;0,VLOOKUP(E122,Направление!A$1:B$4812,2))))))</f>
        <v>Обеспечение   мероприятий в области  дорожного хозяйства  на  ремонт и содержание автомобильных дорог</v>
      </c>
      <c r="B122" s="114"/>
      <c r="C122" s="109"/>
      <c r="D122" s="110"/>
      <c r="E122" s="109">
        <v>29086</v>
      </c>
      <c r="F122" s="111"/>
      <c r="G122" s="369">
        <v>7900000</v>
      </c>
      <c r="H122" s="369">
        <f>H124+H123</f>
        <v>0</v>
      </c>
      <c r="I122" s="369">
        <f>SUM(G122:H122)</f>
        <v>7900000</v>
      </c>
      <c r="J122" s="268">
        <v>8400000</v>
      </c>
      <c r="K122" s="268">
        <f>K124+K123</f>
        <v>0</v>
      </c>
      <c r="L122" s="286">
        <f>SUM(J122:K122)</f>
        <v>8400000</v>
      </c>
    </row>
    <row r="123" spans="1:12" ht="63" x14ac:dyDescent="0.2">
      <c r="A123" s="113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IF(B123&gt;0,VLOOKUP(B123,КВСР!A64:B1229,2),IF(C123&gt;0,VLOOKUP(C123,КФСР!A64:B1576,2),IF(D123&gt;0,VLOOKUP(D123,Программа!A$1:B$5124,2),IF(F123&gt;0,VLOOKUP(F123,КВР!A$1:B$5001,2),IF(E123&gt;0,VLOOKUP(E123,Направление!A$1:B$4812,2))))))</f>
        <v xml:space="preserve">Закупка товаров, работ и услуг для обеспечения государственных (муниципальных) нужд
</v>
      </c>
      <c r="B123" s="114"/>
      <c r="C123" s="109"/>
      <c r="D123" s="110"/>
      <c r="E123" s="109"/>
      <c r="F123" s="111">
        <v>200</v>
      </c>
      <c r="G123" s="369">
        <v>7900000</v>
      </c>
      <c r="H123" s="369"/>
      <c r="I123" s="369">
        <f>SUM(G123:H123)</f>
        <v>7900000</v>
      </c>
      <c r="J123" s="268">
        <v>8400000</v>
      </c>
      <c r="K123" s="268"/>
      <c r="L123" s="286">
        <f>SUM(J123:K123)</f>
        <v>8400000</v>
      </c>
    </row>
    <row r="124" spans="1:12" ht="47.25" hidden="1" x14ac:dyDescent="0.2">
      <c r="A124" s="113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IF(B124&gt;0,VLOOKUP(B124,КВСР!A64:B1229,2),IF(C124&gt;0,VLOOKUP(C124,КФСР!A64:B1576,2),IF(D124&gt;0,VLOOKUP(D124,Программа!A$1:B$5124,2),IF(F124&gt;0,VLOOKUP(F124,КВР!A$1:B$5001,2),IF(E124&gt;0,VLOOKUP(E124,Направление!A$1:B$4812,2))))))</f>
        <v>Предоставление субсидий бюджетным, автономным учреждениям и иным некоммерческим организациям</v>
      </c>
      <c r="B124" s="114"/>
      <c r="C124" s="109"/>
      <c r="D124" s="110"/>
      <c r="E124" s="109"/>
      <c r="F124" s="111">
        <v>600</v>
      </c>
      <c r="G124" s="369">
        <v>0</v>
      </c>
      <c r="H124" s="369"/>
      <c r="I124" s="369">
        <f t="shared" si="75"/>
        <v>0</v>
      </c>
      <c r="J124" s="369">
        <v>0</v>
      </c>
      <c r="K124" s="286"/>
      <c r="L124" s="286">
        <f t="shared" si="70"/>
        <v>0</v>
      </c>
    </row>
    <row r="125" spans="1:12" ht="31.5" x14ac:dyDescent="0.2">
      <c r="A125" s="113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IF(B125&gt;0,VLOOKUP(B125,КВСР!A65:B1230,2),IF(C125&gt;0,VLOOKUP(C125,КФСР!A65:B1577,2),IF(D125&gt;0,VLOOKUP(D125,Программа!A$1:B$5124,2),IF(F125&gt;0,VLOOKUP(F125,КВР!A$1:B$5001,2),IF(E125&gt;0,VLOOKUP(E125,Направление!A$1:B$4812,2))))))</f>
        <v>Содержание и организация деятельности дорожного хозяйства</v>
      </c>
      <c r="B125" s="114"/>
      <c r="C125" s="109"/>
      <c r="D125" s="110"/>
      <c r="E125" s="109">
        <v>29696</v>
      </c>
      <c r="F125" s="111"/>
      <c r="G125" s="369">
        <v>26155330</v>
      </c>
      <c r="H125" s="369">
        <f>H126+H127+H128</f>
        <v>0</v>
      </c>
      <c r="I125" s="369">
        <f t="shared" ref="I125:L125" si="79">I126+I127+I128</f>
        <v>26155330</v>
      </c>
      <c r="J125" s="369">
        <v>26225080</v>
      </c>
      <c r="K125" s="369">
        <f t="shared" si="79"/>
        <v>0</v>
      </c>
      <c r="L125" s="369">
        <f t="shared" si="79"/>
        <v>26225080</v>
      </c>
    </row>
    <row r="126" spans="1:12" ht="110.25" x14ac:dyDescent="0.2">
      <c r="A126" s="113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14"/>
      <c r="C126" s="109"/>
      <c r="D126" s="110"/>
      <c r="E126" s="109"/>
      <c r="F126" s="111">
        <v>100</v>
      </c>
      <c r="G126" s="369">
        <v>13457030</v>
      </c>
      <c r="H126" s="369"/>
      <c r="I126" s="369">
        <f t="shared" si="75"/>
        <v>13457030</v>
      </c>
      <c r="J126" s="369">
        <v>12738731</v>
      </c>
      <c r="K126" s="286"/>
      <c r="L126" s="286">
        <f t="shared" si="70"/>
        <v>12738731</v>
      </c>
    </row>
    <row r="127" spans="1:12" ht="63" x14ac:dyDescent="0.2">
      <c r="A127" s="113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IF(B127&gt;0,VLOOKUP(B127,КВСР!A67:B1232,2),IF(C127&gt;0,VLOOKUP(C127,КФСР!A67:B1579,2),IF(D127&gt;0,VLOOKUP(D127,Программа!A$1:B$5124,2),IF(F127&gt;0,VLOOKUP(F127,КВР!A$1:B$5001,2),IF(E127&gt;0,VLOOKUP(E127,Направление!A$1:B$4812,2))))))</f>
        <v xml:space="preserve">Закупка товаров, работ и услуг для обеспечения государственных (муниципальных) нужд
</v>
      </c>
      <c r="B127" s="114"/>
      <c r="C127" s="109"/>
      <c r="D127" s="110"/>
      <c r="E127" s="109"/>
      <c r="F127" s="111">
        <v>200</v>
      </c>
      <c r="G127" s="369">
        <v>12593300</v>
      </c>
      <c r="H127" s="369"/>
      <c r="I127" s="369">
        <f t="shared" si="75"/>
        <v>12593300</v>
      </c>
      <c r="J127" s="369">
        <v>13381349</v>
      </c>
      <c r="K127" s="286"/>
      <c r="L127" s="286">
        <f t="shared" si="70"/>
        <v>13381349</v>
      </c>
    </row>
    <row r="128" spans="1:12" ht="15.75" x14ac:dyDescent="0.2">
      <c r="A128" s="113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IF(B128&gt;0,VLOOKUP(B128,КВСР!A68:B1233,2),IF(C128&gt;0,VLOOKUP(C128,КФСР!A68:B1580,2),IF(D128&gt;0,VLOOKUP(D128,Программа!A$1:B$5124,2),IF(F128&gt;0,VLOOKUP(F128,КВР!A$1:B$5001,2),IF(E128&gt;0,VLOOKUP(E128,Направление!A$1:B$4812,2))))))</f>
        <v>Иные бюджетные ассигнования</v>
      </c>
      <c r="B128" s="114"/>
      <c r="C128" s="109"/>
      <c r="D128" s="110"/>
      <c r="E128" s="109"/>
      <c r="F128" s="111">
        <v>800</v>
      </c>
      <c r="G128" s="369">
        <v>105000</v>
      </c>
      <c r="H128" s="369"/>
      <c r="I128" s="369">
        <f t="shared" si="75"/>
        <v>105000</v>
      </c>
      <c r="J128" s="369">
        <v>105000</v>
      </c>
      <c r="K128" s="286"/>
      <c r="L128" s="286">
        <f t="shared" si="70"/>
        <v>105000</v>
      </c>
    </row>
    <row r="129" spans="1:12" ht="31.5" hidden="1" x14ac:dyDescent="0.2">
      <c r="A129" s="113" t="s">
        <v>1220</v>
      </c>
      <c r="B129" s="114"/>
      <c r="C129" s="109"/>
      <c r="D129" s="110"/>
      <c r="E129" s="109">
        <v>72440</v>
      </c>
      <c r="F129" s="111"/>
      <c r="G129" s="369">
        <v>0</v>
      </c>
      <c r="H129" s="369">
        <f t="shared" ref="H129:L129" si="80">H130</f>
        <v>0</v>
      </c>
      <c r="I129" s="369">
        <f t="shared" si="80"/>
        <v>0</v>
      </c>
      <c r="J129" s="369">
        <v>0</v>
      </c>
      <c r="K129" s="369">
        <f t="shared" si="80"/>
        <v>0</v>
      </c>
      <c r="L129" s="369">
        <f t="shared" si="80"/>
        <v>0</v>
      </c>
    </row>
    <row r="130" spans="1:12" ht="47.25" hidden="1" x14ac:dyDescent="0.2">
      <c r="A130" s="113" t="s">
        <v>372</v>
      </c>
      <c r="B130" s="114"/>
      <c r="C130" s="109"/>
      <c r="D130" s="110"/>
      <c r="E130" s="109"/>
      <c r="F130" s="111">
        <v>200</v>
      </c>
      <c r="G130" s="369">
        <v>0</v>
      </c>
      <c r="H130" s="369"/>
      <c r="I130" s="369">
        <f>G130+H130</f>
        <v>0</v>
      </c>
      <c r="J130" s="369">
        <v>0</v>
      </c>
      <c r="K130" s="286"/>
      <c r="L130" s="286">
        <f>J130+K130</f>
        <v>0</v>
      </c>
    </row>
    <row r="131" spans="1:12" ht="47.25" x14ac:dyDescent="0.2">
      <c r="A131" s="113" t="s">
        <v>372</v>
      </c>
      <c r="B131" s="114"/>
      <c r="C131" s="109"/>
      <c r="D131" s="110"/>
      <c r="E131" s="109">
        <v>72446</v>
      </c>
      <c r="F131" s="111"/>
      <c r="G131" s="369">
        <v>24673351</v>
      </c>
      <c r="H131" s="369">
        <f t="shared" ref="H131:L131" si="81">H132</f>
        <v>0</v>
      </c>
      <c r="I131" s="369">
        <f t="shared" si="81"/>
        <v>24673351</v>
      </c>
      <c r="J131" s="369">
        <v>24673351</v>
      </c>
      <c r="K131" s="369">
        <f t="shared" si="81"/>
        <v>0</v>
      </c>
      <c r="L131" s="369">
        <f t="shared" si="81"/>
        <v>24673351</v>
      </c>
    </row>
    <row r="132" spans="1:12" ht="47.25" x14ac:dyDescent="0.2">
      <c r="A132" s="113" t="s">
        <v>372</v>
      </c>
      <c r="B132" s="114"/>
      <c r="C132" s="109"/>
      <c r="D132" s="110"/>
      <c r="E132" s="109"/>
      <c r="F132" s="111">
        <v>200</v>
      </c>
      <c r="G132" s="369">
        <v>24673351</v>
      </c>
      <c r="H132" s="369"/>
      <c r="I132" s="369">
        <f>G132+H132</f>
        <v>24673351</v>
      </c>
      <c r="J132" s="369">
        <v>24673351</v>
      </c>
      <c r="K132" s="286"/>
      <c r="L132" s="286">
        <f>J132+K132</f>
        <v>24673351</v>
      </c>
    </row>
    <row r="133" spans="1:12" ht="47.25" x14ac:dyDescent="0.2">
      <c r="A133" s="113" t="s">
        <v>372</v>
      </c>
      <c r="B133" s="114"/>
      <c r="C133" s="109"/>
      <c r="D133" s="110"/>
      <c r="E133" s="109">
        <v>77356</v>
      </c>
      <c r="F133" s="111"/>
      <c r="G133" s="369">
        <v>19070057</v>
      </c>
      <c r="H133" s="369">
        <f t="shared" ref="H133:L133" si="82">H134</f>
        <v>0</v>
      </c>
      <c r="I133" s="369">
        <f t="shared" si="82"/>
        <v>19070057</v>
      </c>
      <c r="J133" s="369">
        <v>19070057</v>
      </c>
      <c r="K133" s="369">
        <f t="shared" si="82"/>
        <v>0</v>
      </c>
      <c r="L133" s="369">
        <f t="shared" si="82"/>
        <v>19070057</v>
      </c>
    </row>
    <row r="134" spans="1:12" ht="47.25" x14ac:dyDescent="0.2">
      <c r="A134" s="113" t="s">
        <v>372</v>
      </c>
      <c r="B134" s="114"/>
      <c r="C134" s="109"/>
      <c r="D134" s="110"/>
      <c r="E134" s="109"/>
      <c r="F134" s="111">
        <v>200</v>
      </c>
      <c r="G134" s="369">
        <v>19070057</v>
      </c>
      <c r="H134" s="369"/>
      <c r="I134" s="369">
        <f t="shared" ref="I134" si="83">G134+H134</f>
        <v>19070057</v>
      </c>
      <c r="J134" s="369">
        <v>19070057</v>
      </c>
      <c r="K134" s="286"/>
      <c r="L134" s="286">
        <f t="shared" ref="L134" si="84">J134+K134</f>
        <v>19070057</v>
      </c>
    </row>
    <row r="135" spans="1:12" ht="47.25" x14ac:dyDescent="0.2">
      <c r="A135" s="113" t="s">
        <v>372</v>
      </c>
      <c r="B135" s="114"/>
      <c r="C135" s="109"/>
      <c r="D135" s="110" t="s">
        <v>1577</v>
      </c>
      <c r="E135" s="109"/>
      <c r="F135" s="111"/>
      <c r="G135" s="369">
        <v>107790000</v>
      </c>
      <c r="H135" s="369">
        <f t="shared" ref="H135:L136" si="85">H136</f>
        <v>0</v>
      </c>
      <c r="I135" s="369">
        <f t="shared" si="85"/>
        <v>107790000</v>
      </c>
      <c r="J135" s="369">
        <f t="shared" si="85"/>
        <v>0</v>
      </c>
      <c r="K135" s="369">
        <f t="shared" si="85"/>
        <v>0</v>
      </c>
      <c r="L135" s="369">
        <f t="shared" si="85"/>
        <v>0</v>
      </c>
    </row>
    <row r="136" spans="1:12" ht="47.25" x14ac:dyDescent="0.2">
      <c r="A136" s="113" t="s">
        <v>372</v>
      </c>
      <c r="B136" s="114"/>
      <c r="C136" s="109"/>
      <c r="D136" s="110"/>
      <c r="E136" s="109">
        <v>76513</v>
      </c>
      <c r="F136" s="111"/>
      <c r="G136" s="369">
        <v>107790000</v>
      </c>
      <c r="H136" s="369">
        <f t="shared" si="85"/>
        <v>0</v>
      </c>
      <c r="I136" s="369">
        <f t="shared" si="85"/>
        <v>107790000</v>
      </c>
      <c r="J136" s="369">
        <f t="shared" si="85"/>
        <v>0</v>
      </c>
      <c r="K136" s="369">
        <f t="shared" si="85"/>
        <v>0</v>
      </c>
      <c r="L136" s="369">
        <f t="shared" si="85"/>
        <v>0</v>
      </c>
    </row>
    <row r="137" spans="1:12" ht="47.25" x14ac:dyDescent="0.2">
      <c r="A137" s="113" t="s">
        <v>372</v>
      </c>
      <c r="B137" s="114"/>
      <c r="C137" s="109"/>
      <c r="D137" s="110"/>
      <c r="E137" s="109"/>
      <c r="F137" s="111">
        <v>400</v>
      </c>
      <c r="G137" s="369">
        <v>107790000</v>
      </c>
      <c r="H137" s="369"/>
      <c r="I137" s="369">
        <f>SUM(G137:H137)</f>
        <v>107790000</v>
      </c>
      <c r="J137" s="369"/>
      <c r="K137" s="286"/>
      <c r="L137" s="286">
        <f>SUM(J137:K137)</f>
        <v>0</v>
      </c>
    </row>
    <row r="138" spans="1:12" ht="31.5" x14ac:dyDescent="0.2">
      <c r="A138" s="113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IF(B138&gt;0,VLOOKUP(B138,КВСР!A69:B1234,2),IF(C138&gt;0,VLOOKUP(C138,КФСР!A69:B1581,2),IF(D138&gt;0,VLOOKUP(D138,Программа!A$1:B$5124,2),IF(F138&gt;0,VLOOKUP(F138,КВР!A$1:B$5001,2),IF(E138&gt;0,VLOOKUP(E138,Направление!A$1:B$4812,2))))))</f>
        <v>Реализация федерального проекта "Дорожная сеть"</v>
      </c>
      <c r="B138" s="114"/>
      <c r="C138" s="109"/>
      <c r="D138" s="111" t="s">
        <v>1414</v>
      </c>
      <c r="E138" s="111"/>
      <c r="F138" s="111"/>
      <c r="G138" s="374">
        <v>44445000</v>
      </c>
      <c r="H138" s="369">
        <f t="shared" ref="H138:L138" si="86">H139+H141</f>
        <v>0</v>
      </c>
      <c r="I138" s="369">
        <f t="shared" si="86"/>
        <v>44445000</v>
      </c>
      <c r="J138" s="369">
        <v>44445000</v>
      </c>
      <c r="K138" s="369">
        <f t="shared" si="86"/>
        <v>0</v>
      </c>
      <c r="L138" s="369">
        <f t="shared" si="86"/>
        <v>44445000</v>
      </c>
    </row>
    <row r="139" spans="1:12" ht="94.5" x14ac:dyDescent="0.2">
      <c r="A139" s="113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14"/>
      <c r="C139" s="109"/>
      <c r="D139" s="110"/>
      <c r="E139" s="109">
        <v>23936</v>
      </c>
      <c r="F139" s="111"/>
      <c r="G139" s="374">
        <v>4445000</v>
      </c>
      <c r="H139" s="369">
        <f t="shared" ref="H139:L139" si="87">H140</f>
        <v>0</v>
      </c>
      <c r="I139" s="369">
        <f t="shared" si="87"/>
        <v>4445000</v>
      </c>
      <c r="J139" s="369">
        <v>4445000</v>
      </c>
      <c r="K139" s="369">
        <f t="shared" si="87"/>
        <v>0</v>
      </c>
      <c r="L139" s="369">
        <f t="shared" si="87"/>
        <v>4445000</v>
      </c>
    </row>
    <row r="140" spans="1:12" ht="63" x14ac:dyDescent="0.2">
      <c r="A140" s="113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IF(B140&gt;0,VLOOKUP(B140,КВСР!A71:B1236,2),IF(C140&gt;0,VLOOKUP(C140,КФСР!A71:B1583,2),IF(D140&gt;0,VLOOKUP(D140,Программа!A$1:B$5124,2),IF(F140&gt;0,VLOOKUP(F140,КВР!A$1:B$5001,2),IF(E140&gt;0,VLOOKUP(E140,Направление!A$1:B$4812,2))))))</f>
        <v xml:space="preserve">Закупка товаров, работ и услуг для обеспечения государственных (муниципальных) нужд
</v>
      </c>
      <c r="B140" s="114"/>
      <c r="C140" s="109"/>
      <c r="D140" s="110"/>
      <c r="E140" s="109"/>
      <c r="F140" s="111">
        <v>200</v>
      </c>
      <c r="G140" s="369">
        <v>4445000</v>
      </c>
      <c r="H140" s="369"/>
      <c r="I140" s="369">
        <f>G140+H140</f>
        <v>4445000</v>
      </c>
      <c r="J140" s="369">
        <v>4445000</v>
      </c>
      <c r="K140" s="286"/>
      <c r="L140" s="286">
        <f t="shared" si="70"/>
        <v>4445000</v>
      </c>
    </row>
    <row r="141" spans="1:12" ht="94.5" x14ac:dyDescent="0.2">
      <c r="A141" s="113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IF(B141&gt;0,VLOOKUP(B141,КВСР!A72:B1237,2),IF(C141&gt;0,VLOOKUP(C141,КФСР!A72:B1584,2),IF(D141&gt;0,VLOOKUP(D141,Программа!A$1:B$5124,2),IF(F141&gt;0,VLOOKUP(F141,КВР!A$1:B$5001,2),IF(E141&gt;0,VLOOKUP(E141,Направление!A$1:B$4812,2))))))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14"/>
      <c r="C141" s="109"/>
      <c r="D141" s="110"/>
      <c r="E141" s="109">
        <v>73936</v>
      </c>
      <c r="F141" s="111"/>
      <c r="G141" s="275">
        <v>40000000</v>
      </c>
      <c r="H141" s="286">
        <f t="shared" ref="H141:I141" si="88">H142</f>
        <v>0</v>
      </c>
      <c r="I141" s="286">
        <f t="shared" si="88"/>
        <v>40000000</v>
      </c>
      <c r="J141" s="286">
        <v>40000000</v>
      </c>
      <c r="K141" s="286">
        <f>K142</f>
        <v>0</v>
      </c>
      <c r="L141" s="286">
        <f t="shared" si="70"/>
        <v>40000000</v>
      </c>
    </row>
    <row r="142" spans="1:12" ht="63" x14ac:dyDescent="0.2">
      <c r="A142" s="113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IF(B142&gt;0,VLOOKUP(B142,КВСР!A73:B1238,2),IF(C142&gt;0,VLOOKUP(C142,КФСР!A73:B1585,2),IF(D142&gt;0,VLOOKUP(D142,Программа!A$1:B$5124,2),IF(F142&gt;0,VLOOKUP(F142,КВР!A$1:B$5001,2),IF(E142&gt;0,VLOOKUP(E142,Направление!A$1:B$4812,2))))))</f>
        <v xml:space="preserve">Закупка товаров, работ и услуг для обеспечения государственных (муниципальных) нужд
</v>
      </c>
      <c r="B142" s="114"/>
      <c r="C142" s="109"/>
      <c r="D142" s="110"/>
      <c r="E142" s="109"/>
      <c r="F142" s="111">
        <v>200</v>
      </c>
      <c r="G142" s="369">
        <v>40000000</v>
      </c>
      <c r="H142" s="369"/>
      <c r="I142" s="369">
        <f>SUM(G142:H142)</f>
        <v>40000000</v>
      </c>
      <c r="J142" s="369">
        <v>40000000</v>
      </c>
      <c r="K142" s="286"/>
      <c r="L142" s="286">
        <f>SUM(J142:K142)</f>
        <v>40000000</v>
      </c>
    </row>
    <row r="143" spans="1:12" ht="15.75" hidden="1" x14ac:dyDescent="0.2">
      <c r="A143" s="113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IF(B143&gt;0,VLOOKUP(B143,КВСР!A74:B1239,2),IF(C143&gt;0,VLOOKUP(C143,КФСР!A74:B1586,2),IF(D143&gt;0,VLOOKUP(D143,Программа!A$1:B$5124,2),IF(F143&gt;0,VLOOKUP(F143,КВР!A$1:B$5001,2),IF(E143&gt;0,VLOOKUP(E143,Направление!A$1:B$4812,2))))))</f>
        <v>Непрограммные расходы бюджета</v>
      </c>
      <c r="B143" s="114"/>
      <c r="C143" s="109"/>
      <c r="D143" s="110" t="s">
        <v>311</v>
      </c>
      <c r="E143" s="109"/>
      <c r="F143" s="111"/>
      <c r="G143" s="369">
        <v>0</v>
      </c>
      <c r="H143" s="369">
        <f t="shared" ref="H143:H144" si="89">H144</f>
        <v>0</v>
      </c>
      <c r="I143" s="369">
        <f t="shared" ref="I143:I144" si="90">I144</f>
        <v>0</v>
      </c>
      <c r="J143" s="369">
        <v>0</v>
      </c>
      <c r="K143" s="369">
        <f t="shared" ref="K143:K144" si="91">K144</f>
        <v>0</v>
      </c>
      <c r="L143" s="369">
        <f t="shared" ref="L143:L144" si="92">L144</f>
        <v>0</v>
      </c>
    </row>
    <row r="144" spans="1:12" ht="110.25" hidden="1" x14ac:dyDescent="0.2">
      <c r="A144" s="113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IF(B144&gt;0,VLOOKUP(B144,КВСР!A75:B1240,2),IF(C144&gt;0,VLOOKUP(C144,КФСР!A75:B1587,2),IF(D144&gt;0,VLOOKUP(D144,Программа!A$1:B$5124,2),IF(F144&gt;0,VLOOKUP(F144,КВР!A$1:B$5001,2),IF(E144&gt;0,VLOOKUP(E144,Направление!A$1:B$4812,2))))))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14"/>
      <c r="C144" s="109"/>
      <c r="D144" s="110"/>
      <c r="E144" s="109">
        <v>26936</v>
      </c>
      <c r="F144" s="111"/>
      <c r="G144" s="369">
        <v>0</v>
      </c>
      <c r="H144" s="369">
        <f t="shared" si="89"/>
        <v>0</v>
      </c>
      <c r="I144" s="369">
        <f t="shared" si="90"/>
        <v>0</v>
      </c>
      <c r="J144" s="369">
        <v>0</v>
      </c>
      <c r="K144" s="369">
        <f t="shared" si="91"/>
        <v>0</v>
      </c>
      <c r="L144" s="369">
        <f t="shared" si="92"/>
        <v>0</v>
      </c>
    </row>
    <row r="145" spans="1:12" ht="63" hidden="1" x14ac:dyDescent="0.2">
      <c r="A145" s="113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IF(B145&gt;0,VLOOKUP(B145,КВСР!A76:B1241,2),IF(C145&gt;0,VLOOKUP(C145,КФСР!A76:B1588,2),IF(D145&gt;0,VLOOKUP(D145,Программа!A$1:B$5124,2),IF(F145&gt;0,VLOOKUP(F145,КВР!A$1:B$5001,2),IF(E145&gt;0,VLOOKUP(E145,Направление!A$1:B$4812,2))))))</f>
        <v xml:space="preserve">Закупка товаров, работ и услуг для обеспечения государственных (муниципальных) нужд
</v>
      </c>
      <c r="B145" s="114"/>
      <c r="C145" s="109"/>
      <c r="D145" s="110"/>
      <c r="E145" s="109"/>
      <c r="F145" s="111">
        <v>200</v>
      </c>
      <c r="G145" s="369">
        <v>0</v>
      </c>
      <c r="H145" s="369"/>
      <c r="I145" s="369">
        <f>G145+H145</f>
        <v>0</v>
      </c>
      <c r="J145" s="369"/>
      <c r="K145" s="286"/>
      <c r="L145" s="286"/>
    </row>
    <row r="146" spans="1:12" ht="31.5" hidden="1" x14ac:dyDescent="0.2">
      <c r="A146" s="113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IF(B146&gt;0,VLOOKUP(B146,КВСР!A77:B1242,2),IF(C146&gt;0,VLOOKUP(C146,КФСР!A77:B1589,2),IF(D146&gt;0,VLOOKUP(D146,Программа!A$1:B$5124,2),IF(F146&gt;0,VLOOKUP(F146,КВР!A$1:B$5001,2),IF(E146&gt;0,VLOOKUP(E146,Направление!A$1:B$4812,2))))))</f>
        <v>Межбюджетные трансферты  поселениям района</v>
      </c>
      <c r="B146" s="114"/>
      <c r="C146" s="109"/>
      <c r="D146" s="110" t="s">
        <v>478</v>
      </c>
      <c r="E146" s="109"/>
      <c r="F146" s="111"/>
      <c r="G146" s="369">
        <v>0</v>
      </c>
      <c r="H146" s="369">
        <f>H147</f>
        <v>0</v>
      </c>
      <c r="I146" s="369">
        <f t="shared" ref="I146:L147" si="93">I147</f>
        <v>0</v>
      </c>
      <c r="J146" s="369">
        <v>0</v>
      </c>
      <c r="K146" s="369">
        <f t="shared" si="93"/>
        <v>0</v>
      </c>
      <c r="L146" s="369">
        <f t="shared" si="93"/>
        <v>0</v>
      </c>
    </row>
    <row r="147" spans="1:12" ht="126" hidden="1" x14ac:dyDescent="0.2">
      <c r="A147" s="113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IF(B147&gt;0,VLOOKUP(B147,КВСР!A78:B1243,2),IF(C147&gt;0,VLOOKUP(C147,КФСР!A78:B1590,2),IF(D147&gt;0,VLOOKUP(D147,Программа!A$1:B$5124,2),IF(F147&gt;0,VLOOKUP(F147,КВР!A$1:B$5001,2),IF(E147&gt;0,VLOOKUP(E147,Направление!A$1:B$4812,2))))))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14"/>
      <c r="C147" s="109"/>
      <c r="D147" s="110"/>
      <c r="E147" s="109">
        <v>10052</v>
      </c>
      <c r="F147" s="111"/>
      <c r="G147" s="369">
        <v>0</v>
      </c>
      <c r="H147" s="369">
        <f>H148</f>
        <v>0</v>
      </c>
      <c r="I147" s="369">
        <f t="shared" si="93"/>
        <v>0</v>
      </c>
      <c r="J147" s="369">
        <v>0</v>
      </c>
      <c r="K147" s="369">
        <f t="shared" si="93"/>
        <v>0</v>
      </c>
      <c r="L147" s="369">
        <f t="shared" si="93"/>
        <v>0</v>
      </c>
    </row>
    <row r="148" spans="1:12" ht="15.75" hidden="1" x14ac:dyDescent="0.2">
      <c r="A148" s="113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IF(B148&gt;0,VLOOKUP(B148,КВСР!A79:B1244,2),IF(C148&gt;0,VLOOKUP(C148,КФСР!A79:B1591,2),IF(D148&gt;0,VLOOKUP(D148,Программа!A$1:B$5124,2),IF(F148&gt;0,VLOOKUP(F148,КВР!A$1:B$5001,2),IF(E148&gt;0,VLOOKUP(E148,Направление!A$1:B$4812,2))))))</f>
        <v xml:space="preserve"> Межбюджетные трансферты</v>
      </c>
      <c r="B148" s="114"/>
      <c r="C148" s="109"/>
      <c r="D148" s="110"/>
      <c r="E148" s="109"/>
      <c r="F148" s="111">
        <v>500</v>
      </c>
      <c r="G148" s="369">
        <v>0</v>
      </c>
      <c r="H148" s="369"/>
      <c r="I148" s="369">
        <f>G148+H148</f>
        <v>0</v>
      </c>
      <c r="J148" s="369">
        <v>0</v>
      </c>
      <c r="K148" s="286"/>
      <c r="L148" s="286">
        <f>J148+K148</f>
        <v>0</v>
      </c>
    </row>
    <row r="149" spans="1:12" ht="31.5" hidden="1" x14ac:dyDescent="0.2">
      <c r="A149" s="113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IF(B149&gt;0,VLOOKUP(B149,КВСР!A74:B1239,2),IF(C149&gt;0,VLOOKUP(C149,КФСР!A74:B1586,2),IF(D149&gt;0,VLOOKUP(D149,Программа!A$1:B$5124,2),IF(F149&gt;0,VLOOKUP(F149,КВР!A$1:B$5001,2),IF(E149&gt;0,VLOOKUP(E149,Направление!A$1:B$4812,2))))))</f>
        <v>Другие вопросы в области национальной экономики</v>
      </c>
      <c r="B149" s="114"/>
      <c r="C149" s="109">
        <v>412</v>
      </c>
      <c r="D149" s="110"/>
      <c r="E149" s="109"/>
      <c r="F149" s="111"/>
      <c r="G149" s="369">
        <v>0</v>
      </c>
      <c r="H149" s="369">
        <f t="shared" ref="H149:H155" si="94">H150</f>
        <v>0</v>
      </c>
      <c r="I149" s="369">
        <f t="shared" ref="I149:I155" si="95">I150</f>
        <v>0</v>
      </c>
      <c r="J149" s="369">
        <v>0</v>
      </c>
      <c r="K149" s="369">
        <f t="shared" ref="K149:L151" si="96">K150</f>
        <v>0</v>
      </c>
      <c r="L149" s="369">
        <f t="shared" si="96"/>
        <v>0</v>
      </c>
    </row>
    <row r="150" spans="1:12" ht="94.5" hidden="1" x14ac:dyDescent="0.2">
      <c r="A150" s="113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IF(B150&gt;0,VLOOKUP(B150,КВСР!A75:B1240,2),IF(C150&gt;0,VLOOKUP(C150,КФСР!A75:B1587,2),IF(D150&gt;0,VLOOKUP(D150,Программа!A$1:B$5124,2),IF(F150&gt;0,VLOOKUP(F150,КВР!A$1:B$5001,2),IF(E150&gt;0,VLOOKUP(E150,Направление!A$1:B$4812,2))))))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14"/>
      <c r="C150" s="109"/>
      <c r="D150" s="110" t="s">
        <v>337</v>
      </c>
      <c r="E150" s="109"/>
      <c r="F150" s="111"/>
      <c r="G150" s="369">
        <v>0</v>
      </c>
      <c r="H150" s="369">
        <f t="shared" si="94"/>
        <v>0</v>
      </c>
      <c r="I150" s="369">
        <f t="shared" si="95"/>
        <v>0</v>
      </c>
      <c r="J150" s="369">
        <v>0</v>
      </c>
      <c r="K150" s="369">
        <f t="shared" si="96"/>
        <v>0</v>
      </c>
      <c r="L150" s="369">
        <f t="shared" si="96"/>
        <v>0</v>
      </c>
    </row>
    <row r="151" spans="1:12" ht="47.25" hidden="1" x14ac:dyDescent="0.2">
      <c r="A151" s="113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IF(B151&gt;0,VLOOKUP(B151,КВСР!A76:B1241,2),IF(C151&gt;0,VLOOKUP(C151,КФСР!A76:B1588,2),IF(D151&gt;0,VLOOKUP(D151,Программа!A$1:B$5124,2),IF(F151&gt;0,VLOOKUP(F151,КВР!A$1:B$5001,2),IF(E151&gt;0,VLOOKUP(E151,Направление!A$1:B$4812,2))))))</f>
        <v>Муниципальная целевая программа "Развитие потребительского рынка Тутаевского муниципального района "</v>
      </c>
      <c r="B151" s="114"/>
      <c r="C151" s="109"/>
      <c r="D151" s="110" t="s">
        <v>353</v>
      </c>
      <c r="E151" s="109"/>
      <c r="F151" s="111"/>
      <c r="G151" s="369">
        <v>0</v>
      </c>
      <c r="H151" s="369">
        <f t="shared" si="94"/>
        <v>0</v>
      </c>
      <c r="I151" s="369">
        <f t="shared" si="95"/>
        <v>0</v>
      </c>
      <c r="J151" s="369">
        <v>0</v>
      </c>
      <c r="K151" s="369">
        <f t="shared" si="96"/>
        <v>0</v>
      </c>
      <c r="L151" s="369">
        <f t="shared" si="96"/>
        <v>0</v>
      </c>
    </row>
    <row r="152" spans="1:12" ht="47.25" hidden="1" x14ac:dyDescent="0.2">
      <c r="A152" s="113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IF(B152&gt;0,VLOOKUP(B152,КВСР!A77:B1242,2),IF(C152&gt;0,VLOOKUP(C152,КФСР!A77:B1589,2),IF(D152&gt;0,VLOOKUP(D152,Программа!A$1:B$5124,2),IF(F152&gt;0,VLOOKUP(F152,КВР!A$1:B$5001,2),IF(E152&gt;0,VLOOKUP(E152,Направление!A$1:B$4812,2))))))</f>
        <v>Обеспечение доступности товаров для сельского населения путем оказания государственной поддержки</v>
      </c>
      <c r="B152" s="114"/>
      <c r="C152" s="109"/>
      <c r="D152" s="110" t="s">
        <v>355</v>
      </c>
      <c r="E152" s="109"/>
      <c r="F152" s="111"/>
      <c r="G152" s="369">
        <v>0</v>
      </c>
      <c r="H152" s="369">
        <f t="shared" ref="H152:I152" si="97">H155+H153</f>
        <v>0</v>
      </c>
      <c r="I152" s="369">
        <f t="shared" si="97"/>
        <v>0</v>
      </c>
      <c r="J152" s="369">
        <v>0</v>
      </c>
      <c r="K152" s="369">
        <f t="shared" ref="K152" si="98">K155+K153</f>
        <v>0</v>
      </c>
      <c r="L152" s="369">
        <f t="shared" ref="L152" si="99">L155+L153</f>
        <v>0</v>
      </c>
    </row>
    <row r="153" spans="1:12" ht="94.5" hidden="1" x14ac:dyDescent="0.2">
      <c r="A153" s="113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IF(B153&gt;0,VLOOKUP(B153,КВСР!A78:B1243,2),IF(C153&gt;0,VLOOKUP(C153,КФСР!A78:B1590,2),IF(D153&gt;0,VLOOKUP(D153,Программа!A$1:B$5124,2),IF(F153&gt;0,VLOOKUP(F153,КВР!A$1:B$5001,2),IF(E153&gt;0,VLOOKUP(E153,Направление!A$1:B$4812,2))))))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14"/>
      <c r="C153" s="109"/>
      <c r="D153" s="110"/>
      <c r="E153" s="109">
        <v>12880</v>
      </c>
      <c r="F153" s="111"/>
      <c r="G153" s="369">
        <v>0</v>
      </c>
      <c r="H153" s="369">
        <f t="shared" ref="H153:L153" si="100">H154</f>
        <v>0</v>
      </c>
      <c r="I153" s="369">
        <f t="shared" si="100"/>
        <v>0</v>
      </c>
      <c r="J153" s="369">
        <v>0</v>
      </c>
      <c r="K153" s="369">
        <f t="shared" si="100"/>
        <v>0</v>
      </c>
      <c r="L153" s="369">
        <f t="shared" si="100"/>
        <v>0</v>
      </c>
    </row>
    <row r="154" spans="1:12" ht="15.75" hidden="1" x14ac:dyDescent="0.2">
      <c r="A154" s="113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IF(B154&gt;0,VLOOKUP(B154,КВСР!A79:B1244,2),IF(C154&gt;0,VLOOKUP(C154,КФСР!A79:B1591,2),IF(D154&gt;0,VLOOKUP(D154,Программа!A$1:B$5124,2),IF(F154&gt;0,VLOOKUP(F154,КВР!A$1:B$5001,2),IF(E154&gt;0,VLOOKUP(E154,Направление!A$1:B$4812,2))))))</f>
        <v>Иные бюджетные ассигнования</v>
      </c>
      <c r="B154" s="114"/>
      <c r="C154" s="109"/>
      <c r="D154" s="110"/>
      <c r="E154" s="109"/>
      <c r="F154" s="111">
        <v>800</v>
      </c>
      <c r="G154" s="369">
        <v>0</v>
      </c>
      <c r="H154" s="369"/>
      <c r="I154" s="369">
        <f>G154+H154</f>
        <v>0</v>
      </c>
      <c r="J154" s="369">
        <v>0</v>
      </c>
      <c r="K154" s="369"/>
      <c r="L154" s="369">
        <f>J154+K154</f>
        <v>0</v>
      </c>
    </row>
    <row r="155" spans="1:12" ht="94.5" hidden="1" x14ac:dyDescent="0.2">
      <c r="A155" s="113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IF(B155&gt;0,VLOOKUP(B155,КВСР!A78:B1243,2),IF(C155&gt;0,VLOOKUP(C155,КФСР!A78:B1590,2),IF(D155&gt;0,VLOOKUP(D155,Программа!A$1:B$5124,2),IF(F155&gt;0,VLOOKUP(F155,КВР!A$1:B$5001,2),IF(E155&gt;0,VLOOKUP(E155,Направление!A$1:B$4812,2))))))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14"/>
      <c r="C155" s="109"/>
      <c r="D155" s="110"/>
      <c r="E155" s="109">
        <v>72880</v>
      </c>
      <c r="F155" s="111"/>
      <c r="G155" s="369">
        <v>0</v>
      </c>
      <c r="H155" s="369">
        <f t="shared" si="94"/>
        <v>0</v>
      </c>
      <c r="I155" s="369">
        <f t="shared" si="95"/>
        <v>0</v>
      </c>
      <c r="J155" s="369">
        <v>0</v>
      </c>
      <c r="K155" s="369">
        <f t="shared" ref="K155" si="101">K156</f>
        <v>0</v>
      </c>
      <c r="L155" s="369">
        <f t="shared" ref="L155" si="102">L156</f>
        <v>0</v>
      </c>
    </row>
    <row r="156" spans="1:12" ht="15.75" hidden="1" x14ac:dyDescent="0.2">
      <c r="A156" s="113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IF(B156&gt;0,VLOOKUP(B156,КВСР!A79:B1244,2),IF(C156&gt;0,VLOOKUP(C156,КФСР!A79:B1591,2),IF(D156&gt;0,VLOOKUP(D156,Программа!A$1:B$5124,2),IF(F156&gt;0,VLOOKUP(F156,КВР!A$1:B$5001,2),IF(E156&gt;0,VLOOKUP(E156,Направление!A$1:B$4812,2))))))</f>
        <v>Иные бюджетные ассигнования</v>
      </c>
      <c r="B156" s="114"/>
      <c r="C156" s="109"/>
      <c r="D156" s="110"/>
      <c r="E156" s="109"/>
      <c r="F156" s="111">
        <v>800</v>
      </c>
      <c r="G156" s="369">
        <v>0</v>
      </c>
      <c r="H156" s="369"/>
      <c r="I156" s="369">
        <f>SUM(G156:H156)</f>
        <v>0</v>
      </c>
      <c r="J156" s="369">
        <v>0</v>
      </c>
      <c r="K156" s="286"/>
      <c r="L156" s="286">
        <f>SUM(J156:K156)</f>
        <v>0</v>
      </c>
    </row>
    <row r="157" spans="1:12" ht="15.75" x14ac:dyDescent="0.2">
      <c r="A157" s="113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IF(B157&gt;0,VLOOKUP(B157,КВСР!A61:B1226,2),IF(C157&gt;0,VLOOKUP(C157,КФСР!A61:B1573,2),IF(D157&gt;0,VLOOKUP(D157,Программа!A$1:B$5124,2),IF(F157&gt;0,VLOOKUP(F157,КВР!A$1:B$5001,2),IF(E157&gt;0,VLOOKUP(E157,Направление!A$1:B$4812,2))))))</f>
        <v>Жилищное хозяйство</v>
      </c>
      <c r="B157" s="114"/>
      <c r="C157" s="109">
        <v>501</v>
      </c>
      <c r="D157" s="110"/>
      <c r="E157" s="109"/>
      <c r="F157" s="111"/>
      <c r="G157" s="369">
        <v>500000</v>
      </c>
      <c r="H157" s="369">
        <f t="shared" ref="H157:I160" si="103">H158</f>
        <v>0</v>
      </c>
      <c r="I157" s="369">
        <f>SUM(G157:H157)</f>
        <v>500000</v>
      </c>
      <c r="J157" s="286">
        <v>500000</v>
      </c>
      <c r="K157" s="286">
        <f t="shared" ref="K157:L160" si="104">K158</f>
        <v>0</v>
      </c>
      <c r="L157" s="286">
        <f t="shared" si="104"/>
        <v>500000</v>
      </c>
    </row>
    <row r="158" spans="1:12" ht="63" x14ac:dyDescent="0.2">
      <c r="A158" s="113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IF(B158&gt;0,VLOOKUP(B158,КВСР!A62:B1227,2),IF(C158&gt;0,VLOOKUP(C158,КФСР!A62:B1574,2),IF(D158&gt;0,VLOOKUP(D158,Программа!A$1:B$5124,2),IF(F158&gt;0,VLOOKUP(F158,КВР!A$1:B$5001,2),IF(E158&gt;0,VLOOKUP(E158,Направление!A$1:B$4812,2))))))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14"/>
      <c r="C158" s="109"/>
      <c r="D158" s="110" t="s">
        <v>1416</v>
      </c>
      <c r="E158" s="109"/>
      <c r="F158" s="111"/>
      <c r="G158" s="369">
        <v>500000</v>
      </c>
      <c r="H158" s="369">
        <f t="shared" si="103"/>
        <v>0</v>
      </c>
      <c r="I158" s="369">
        <f t="shared" si="103"/>
        <v>500000</v>
      </c>
      <c r="J158" s="369">
        <v>500000</v>
      </c>
      <c r="K158" s="369">
        <f t="shared" si="104"/>
        <v>0</v>
      </c>
      <c r="L158" s="369">
        <f t="shared" si="104"/>
        <v>500000</v>
      </c>
    </row>
    <row r="159" spans="1:12" ht="47.25" x14ac:dyDescent="0.2">
      <c r="A159" s="113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IF(B159&gt;0,VLOOKUP(B159,КВСР!A64:B1229,2),IF(C159&gt;0,VLOOKUP(C159,КФСР!A64:B1576,2),IF(D159&gt;0,VLOOKUP(D159,Программа!A$1:B$5124,2),IF(F159&gt;0,VLOOKUP(F159,КВР!A$1:B$5001,2),IF(E159&gt;0,VLOOKUP(E159,Направление!A$1:B$4812,2))))))</f>
        <v xml:space="preserve">Реализация  мероприятий  по  развитию, ремонту и содержанию муниципального жилищного фонда   </v>
      </c>
      <c r="B159" s="114"/>
      <c r="C159" s="109"/>
      <c r="D159" s="110" t="s">
        <v>1418</v>
      </c>
      <c r="E159" s="109"/>
      <c r="F159" s="111"/>
      <c r="G159" s="369">
        <v>500000</v>
      </c>
      <c r="H159" s="369">
        <f t="shared" si="103"/>
        <v>0</v>
      </c>
      <c r="I159" s="369">
        <f t="shared" ref="I159:I160" si="105">SUM(G159:H159)</f>
        <v>500000</v>
      </c>
      <c r="J159" s="369">
        <v>500000</v>
      </c>
      <c r="K159" s="369">
        <f t="shared" si="104"/>
        <v>0</v>
      </c>
      <c r="L159" s="369">
        <f t="shared" si="104"/>
        <v>500000</v>
      </c>
    </row>
    <row r="160" spans="1:12" ht="63" x14ac:dyDescent="0.2">
      <c r="A160" s="113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IF(B160&gt;0,VLOOKUP(B160,КВСР!A65:B1230,2),IF(C160&gt;0,VLOOKUP(C160,КФСР!A65:B1577,2),IF(D160&gt;0,VLOOKUP(D160,Программа!A$1:B$5124,2),IF(F160&gt;0,VLOOKUP(F160,КВР!A$1:B$5001,2),IF(E160&gt;0,VLOOKUP(E160,Направление!A$1:B$4812,2))))))</f>
        <v>Обеспечение мероприятий по содержанию,  реконструкции и капитальному ремонту муниципального жилищного фонда</v>
      </c>
      <c r="B160" s="114"/>
      <c r="C160" s="109"/>
      <c r="D160" s="110"/>
      <c r="E160" s="109">
        <v>29376</v>
      </c>
      <c r="F160" s="111"/>
      <c r="G160" s="369">
        <v>500000</v>
      </c>
      <c r="H160" s="369">
        <f t="shared" si="103"/>
        <v>0</v>
      </c>
      <c r="I160" s="369">
        <f t="shared" si="105"/>
        <v>500000</v>
      </c>
      <c r="J160" s="369">
        <v>500000</v>
      </c>
      <c r="K160" s="369">
        <f t="shared" si="104"/>
        <v>0</v>
      </c>
      <c r="L160" s="369">
        <f t="shared" si="104"/>
        <v>500000</v>
      </c>
    </row>
    <row r="161" spans="1:12" ht="63" x14ac:dyDescent="0.2">
      <c r="A161" s="113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IF(B161&gt;0,VLOOKUP(B161,КВСР!A66:B1231,2),IF(C161&gt;0,VLOOKUP(C161,КФСР!A66:B1578,2),IF(D161&gt;0,VLOOKUP(D161,Программа!A$1:B$5124,2),IF(F161&gt;0,VLOOKUP(F161,КВР!A$1:B$5001,2),IF(E161&gt;0,VLOOKUP(E161,Направление!A$1:B$4812,2))))))</f>
        <v xml:space="preserve">Закупка товаров, работ и услуг для обеспечения государственных (муниципальных) нужд
</v>
      </c>
      <c r="B161" s="114"/>
      <c r="C161" s="109"/>
      <c r="D161" s="110"/>
      <c r="E161" s="109"/>
      <c r="F161" s="111">
        <v>200</v>
      </c>
      <c r="G161" s="369">
        <v>500000</v>
      </c>
      <c r="H161" s="369"/>
      <c r="I161" s="369">
        <f>SUM(G161:H161)</f>
        <v>500000</v>
      </c>
      <c r="J161" s="369">
        <v>500000</v>
      </c>
      <c r="K161" s="286"/>
      <c r="L161" s="286">
        <f t="shared" si="70"/>
        <v>500000</v>
      </c>
    </row>
    <row r="162" spans="1:12" ht="15.75" x14ac:dyDescent="0.2">
      <c r="A162" s="113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IF(B162&gt;0,VLOOKUP(B162,КВСР!A61:B1226,2),IF(C162&gt;0,VLOOKUP(C162,КФСР!A61:B1573,2),IF(D162&gt;0,VLOOKUP(D162,Программа!A$1:B$5124,2),IF(F162&gt;0,VLOOKUP(F162,КВР!A$1:B$5001,2),IF(E162&gt;0,VLOOKUP(E162,Направление!A$1:B$4812,2))))))</f>
        <v>Коммунальное хозяйство</v>
      </c>
      <c r="B162" s="114"/>
      <c r="C162" s="109">
        <v>502</v>
      </c>
      <c r="D162" s="110"/>
      <c r="E162" s="109"/>
      <c r="F162" s="111"/>
      <c r="G162" s="369">
        <v>27363000</v>
      </c>
      <c r="H162" s="369">
        <f t="shared" ref="H162:L162" si="106">H163+H175</f>
        <v>0</v>
      </c>
      <c r="I162" s="369">
        <f t="shared" si="106"/>
        <v>27363000</v>
      </c>
      <c r="J162" s="369">
        <v>2700000</v>
      </c>
      <c r="K162" s="369">
        <f t="shared" si="106"/>
        <v>0</v>
      </c>
      <c r="L162" s="369">
        <f t="shared" si="106"/>
        <v>2700000</v>
      </c>
    </row>
    <row r="163" spans="1:12" ht="63" x14ac:dyDescent="0.2">
      <c r="A163" s="113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IF(B163&gt;0,VLOOKUP(B163,КВСР!A62:B1227,2),IF(C163&gt;0,VLOOKUP(C163,КФСР!A62:B1574,2),IF(D163&gt;0,VLOOKUP(D163,Программа!A$1:B$5124,2),IF(F163&gt;0,VLOOKUP(F163,КВР!A$1:B$5001,2),IF(E163&gt;0,VLOOKUP(E163,Направление!A$1:B$4812,2))))))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14"/>
      <c r="C163" s="109"/>
      <c r="D163" s="110" t="s">
        <v>525</v>
      </c>
      <c r="E163" s="109"/>
      <c r="F163" s="111"/>
      <c r="G163" s="369">
        <v>24663000</v>
      </c>
      <c r="H163" s="369">
        <f t="shared" ref="H163:L163" si="107">H164</f>
        <v>0</v>
      </c>
      <c r="I163" s="369">
        <f t="shared" si="107"/>
        <v>24663000</v>
      </c>
      <c r="J163" s="369">
        <v>0</v>
      </c>
      <c r="K163" s="369">
        <f t="shared" si="107"/>
        <v>0</v>
      </c>
      <c r="L163" s="369">
        <f t="shared" si="107"/>
        <v>0</v>
      </c>
    </row>
    <row r="164" spans="1:12" ht="78.75" x14ac:dyDescent="0.2">
      <c r="A164" s="113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IF(B164&gt;0,VLOOKUP(B164,КВСР!A63:B1228,2),IF(C164&gt;0,VLOOKUP(C164,КФСР!A63:B1575,2),IF(D164&gt;0,VLOOKUP(D164,Программа!A$1:B$5124,2),IF(F164&gt;0,VLOOKUP(F164,КВР!A$1:B$5001,2),IF(E164&gt;0,VLOOKUP(E164,Направление!A$1:B$4812,2))))))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14"/>
      <c r="C164" s="109"/>
      <c r="D164" s="110" t="s">
        <v>554</v>
      </c>
      <c r="E164" s="109"/>
      <c r="F164" s="111"/>
      <c r="G164" s="369">
        <v>24663000</v>
      </c>
      <c r="H164" s="369">
        <f>H168+H165</f>
        <v>0</v>
      </c>
      <c r="I164" s="369">
        <f t="shared" ref="I164:I181" si="108">G164+H164</f>
        <v>24663000</v>
      </c>
      <c r="J164" s="369">
        <v>0</v>
      </c>
      <c r="K164" s="369">
        <f>K168</f>
        <v>0</v>
      </c>
      <c r="L164" s="369">
        <f>L168</f>
        <v>0</v>
      </c>
    </row>
    <row r="165" spans="1:12" ht="34.5" customHeight="1" x14ac:dyDescent="0.2">
      <c r="A165" s="909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IF(B165&gt;0,VLOOKUP(B165,КВСР!A64:B1229,2),IF(C165&gt;0,VLOOKUP(C165,КФСР!A64:B1576,2),IF(D165&gt;0,VLOOKUP(D165,Программа!A$1:B$5124,2),IF(F165&gt;0,VLOOKUP(F165,КВР!A$1:B$5001,2),IF(E165&gt;0,VLOOKUP(E165,Направление!A$1:B$4812,2))))))</f>
        <v xml:space="preserve">Модернизация объектов коммунального назначения с вводом их в эксплуатацию </v>
      </c>
      <c r="B165" s="910"/>
      <c r="C165" s="367"/>
      <c r="D165" s="911" t="s">
        <v>555</v>
      </c>
      <c r="E165" s="367"/>
      <c r="F165" s="435"/>
      <c r="G165" s="369">
        <v>10000000</v>
      </c>
      <c r="H165" s="369">
        <f t="shared" ref="H165:L166" si="109">H166</f>
        <v>0</v>
      </c>
      <c r="I165" s="369">
        <f t="shared" si="109"/>
        <v>10000000</v>
      </c>
      <c r="J165" s="369">
        <f t="shared" si="109"/>
        <v>0</v>
      </c>
      <c r="K165" s="369">
        <f t="shared" si="109"/>
        <v>0</v>
      </c>
      <c r="L165" s="369">
        <f t="shared" si="109"/>
        <v>0</v>
      </c>
    </row>
    <row r="166" spans="1:12" ht="66.75" customHeight="1" x14ac:dyDescent="0.2">
      <c r="A166" s="909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IF(B166&gt;0,VLOOKUP(B166,КВСР!A65:B1230,2),IF(C166&gt;0,VLOOKUP(C166,КФСР!A65:B1577,2),IF(D166&gt;0,VLOOKUP(D166,Программа!A$1:B$5124,2),IF(F166&gt;0,VLOOKUP(F166,КВР!A$1:B$5001,2),IF(E166&gt;0,VLOOKUP(E166,Направление!A$1:B$4812,2))))))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910"/>
      <c r="C166" s="367"/>
      <c r="D166" s="911"/>
      <c r="E166" s="367">
        <v>10090</v>
      </c>
      <c r="F166" s="435"/>
      <c r="G166" s="369">
        <v>10000000</v>
      </c>
      <c r="H166" s="369">
        <f t="shared" si="109"/>
        <v>0</v>
      </c>
      <c r="I166" s="369">
        <f t="shared" si="109"/>
        <v>10000000</v>
      </c>
      <c r="J166" s="369">
        <f t="shared" si="109"/>
        <v>0</v>
      </c>
      <c r="K166" s="369">
        <f t="shared" si="109"/>
        <v>0</v>
      </c>
      <c r="L166" s="369">
        <f t="shared" si="109"/>
        <v>0</v>
      </c>
    </row>
    <row r="167" spans="1:12" ht="63" x14ac:dyDescent="0.2">
      <c r="A167" s="909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IF(B167&gt;0,VLOOKUP(B167,КВСР!A66:B1231,2),IF(C167&gt;0,VLOOKUP(C167,КФСР!A66:B1578,2),IF(D167&gt;0,VLOOKUP(D167,Программа!A$1:B$5124,2),IF(F167&gt;0,VLOOKUP(F167,КВР!A$1:B$5001,2),IF(E167&gt;0,VLOOKUP(E167,Направление!A$1:B$4812,2))))))</f>
        <v xml:space="preserve">Закупка товаров, работ и услуг для обеспечения государственных (муниципальных) нужд
</v>
      </c>
      <c r="B167" s="910"/>
      <c r="C167" s="367"/>
      <c r="D167" s="911"/>
      <c r="E167" s="367"/>
      <c r="F167" s="435">
        <v>200</v>
      </c>
      <c r="G167" s="369">
        <v>10000000</v>
      </c>
      <c r="H167" s="369"/>
      <c r="I167" s="369">
        <f>G167+H167</f>
        <v>10000000</v>
      </c>
      <c r="J167" s="369"/>
      <c r="K167" s="369"/>
      <c r="L167" s="369">
        <f t="shared" ref="L167" si="110">L171</f>
        <v>0</v>
      </c>
    </row>
    <row r="168" spans="1:12" ht="78.75" x14ac:dyDescent="0.2">
      <c r="A168" s="113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IF(B168&gt;0,VLOOKUP(B168,КВСР!A64:B1229,2),IF(C168&gt;0,VLOOKUP(C168,КФСР!A64:B1576,2),IF(D168&gt;0,VLOOKUP(D168,Программа!A$1:B$5124,2),IF(F168&gt;0,VLOOKUP(F168,КВР!A$1:B$5001,2),IF(E168&gt;0,VLOOKUP(E168,Направление!A$1:B$4812,2))))))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14"/>
      <c r="C168" s="109"/>
      <c r="D168" s="110" t="s">
        <v>595</v>
      </c>
      <c r="E168" s="109"/>
      <c r="F168" s="111"/>
      <c r="G168" s="369">
        <v>14663000</v>
      </c>
      <c r="H168" s="369">
        <f>H169+H171+H173</f>
        <v>0</v>
      </c>
      <c r="I168" s="369">
        <f t="shared" ref="I168:K168" si="111">I169+I171+I173</f>
        <v>14663000</v>
      </c>
      <c r="J168" s="369">
        <v>0</v>
      </c>
      <c r="K168" s="369">
        <f t="shared" si="111"/>
        <v>0</v>
      </c>
      <c r="L168" s="369">
        <f t="shared" ref="L168" si="112">L173+L169+L171</f>
        <v>0</v>
      </c>
    </row>
    <row r="169" spans="1:12" ht="47.25" hidden="1" x14ac:dyDescent="0.2">
      <c r="A169" s="113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IF(B169&gt;0,VLOOKUP(B169,КВСР!A65:B1230,2),IF(C169&gt;0,VLOOKUP(C169,КФСР!A65:B1577,2),IF(D169&gt;0,VLOOKUP(D169,Программа!A$1:B$5124,2),IF(F169&gt;0,VLOOKUP(F169,КВР!A$1:B$5001,2),IF(E169&gt;0,VLOOKUP(E169,Направление!A$1:B$4812,2))))))</f>
        <v>Бюджетные инвестиции в объекты капитального строительства муниципальной собственности</v>
      </c>
      <c r="B169" s="114"/>
      <c r="C169" s="109"/>
      <c r="D169" s="110"/>
      <c r="E169" s="109">
        <v>10010</v>
      </c>
      <c r="F169" s="111"/>
      <c r="G169" s="369">
        <v>0</v>
      </c>
      <c r="H169" s="369">
        <f t="shared" ref="H169:L169" si="113">H170</f>
        <v>0</v>
      </c>
      <c r="I169" s="369">
        <f t="shared" si="108"/>
        <v>0</v>
      </c>
      <c r="J169" s="369">
        <v>0</v>
      </c>
      <c r="K169" s="369">
        <f t="shared" si="113"/>
        <v>0</v>
      </c>
      <c r="L169" s="369">
        <f t="shared" si="113"/>
        <v>0</v>
      </c>
    </row>
    <row r="170" spans="1:12" ht="47.25" hidden="1" x14ac:dyDescent="0.2">
      <c r="A170" s="113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IF(B170&gt;0,VLOOKUP(B170,КВСР!A66:B1231,2),IF(C170&gt;0,VLOOKUP(C170,КФСР!A66:B1578,2),IF(D170&gt;0,VLOOKUP(D170,Программа!A$1:B$5124,2),IF(F170&gt;0,VLOOKUP(F170,КВР!A$1:B$5001,2),IF(E170&gt;0,VLOOKUP(E170,Направление!A$1:B$4812,2))))))</f>
        <v>Капитальные вложения в объекты государственной (муниципальной) собственности</v>
      </c>
      <c r="B170" s="114"/>
      <c r="C170" s="109"/>
      <c r="D170" s="110"/>
      <c r="E170" s="109"/>
      <c r="F170" s="111">
        <v>400</v>
      </c>
      <c r="G170" s="369">
        <v>0</v>
      </c>
      <c r="H170" s="369"/>
      <c r="I170" s="369">
        <f t="shared" si="108"/>
        <v>0</v>
      </c>
      <c r="J170" s="369">
        <v>0</v>
      </c>
      <c r="K170" s="286"/>
      <c r="L170" s="286">
        <f t="shared" ref="L170:L181" si="114">J170+K170</f>
        <v>0</v>
      </c>
    </row>
    <row r="171" spans="1:12" ht="47.25" x14ac:dyDescent="0.2">
      <c r="A171" s="113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IF(B171&gt;0,VLOOKUP(B171,КВСР!A67:B1232,2),IF(C171&gt;0,VLOOKUP(C171,КФСР!A67:B1579,2),IF(D171&gt;0,VLOOKUP(D171,Программа!A$1:B$5124,2),IF(F171&gt;0,VLOOKUP(F171,КВР!A$1:B$5001,2),IF(E171&gt;0,VLOOKUP(E171,Направление!A$1:B$4812,2))))))</f>
        <v>Бюджетные инвестиции на строительство межпоселенческих газопроводов</v>
      </c>
      <c r="B171" s="114"/>
      <c r="C171" s="109"/>
      <c r="D171" s="110"/>
      <c r="E171" s="109">
        <v>15260</v>
      </c>
      <c r="F171" s="111"/>
      <c r="G171" s="369">
        <v>1500000</v>
      </c>
      <c r="H171" s="369">
        <f t="shared" ref="H171" si="115">H172</f>
        <v>0</v>
      </c>
      <c r="I171" s="369">
        <f t="shared" si="108"/>
        <v>1500000</v>
      </c>
      <c r="J171" s="369">
        <v>0</v>
      </c>
      <c r="K171" s="286">
        <f>K172</f>
        <v>0</v>
      </c>
      <c r="L171" s="286">
        <f>L172</f>
        <v>0</v>
      </c>
    </row>
    <row r="172" spans="1:12" ht="47.25" x14ac:dyDescent="0.2">
      <c r="A172" s="113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IF(B172&gt;0,VLOOKUP(B172,КВСР!A68:B1233,2),IF(C172&gt;0,VLOOKUP(C172,КФСР!A68:B1580,2),IF(D172&gt;0,VLOOKUP(D172,Программа!A$1:B$5124,2),IF(F172&gt;0,VLOOKUP(F172,КВР!A$1:B$5001,2),IF(E172&gt;0,VLOOKUP(E172,Направление!A$1:B$4812,2))))))</f>
        <v>Капитальные вложения в объекты государственной (муниципальной) собственности</v>
      </c>
      <c r="B172" s="114"/>
      <c r="C172" s="109"/>
      <c r="D172" s="110"/>
      <c r="E172" s="109"/>
      <c r="F172" s="111">
        <v>400</v>
      </c>
      <c r="G172" s="369">
        <v>1500000</v>
      </c>
      <c r="H172" s="369"/>
      <c r="I172" s="369">
        <f t="shared" si="108"/>
        <v>1500000</v>
      </c>
      <c r="J172" s="369">
        <v>0</v>
      </c>
      <c r="K172" s="286"/>
      <c r="L172" s="286">
        <f t="shared" si="114"/>
        <v>0</v>
      </c>
    </row>
    <row r="173" spans="1:12" ht="47.25" x14ac:dyDescent="0.2">
      <c r="A173" s="113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IF(B173&gt;0,VLOOKUP(B173,КВСР!A65:B1230,2),IF(C173&gt;0,VLOOKUP(C173,КФСР!A65:B1577,2),IF(D173&gt;0,VLOOKUP(D173,Программа!A$1:B$5124,2),IF(F173&gt;0,VLOOKUP(F173,КВР!A$1:B$5001,2),IF(E173&gt;0,VLOOKUP(E173,Направление!A$1:B$4812,2))))))</f>
        <v>Расходы на мероприятия по строительству межпоселеченских газопроводов</v>
      </c>
      <c r="B173" s="114"/>
      <c r="C173" s="109"/>
      <c r="D173" s="110"/>
      <c r="E173" s="109">
        <v>75260</v>
      </c>
      <c r="F173" s="111"/>
      <c r="G173" s="369">
        <v>13163000</v>
      </c>
      <c r="H173" s="369">
        <f t="shared" ref="H173" si="116">H174</f>
        <v>0</v>
      </c>
      <c r="I173" s="369">
        <f t="shared" si="108"/>
        <v>13163000</v>
      </c>
      <c r="J173" s="369">
        <v>0</v>
      </c>
      <c r="K173" s="286">
        <f>K174</f>
        <v>0</v>
      </c>
      <c r="L173" s="286">
        <f>L174</f>
        <v>0</v>
      </c>
    </row>
    <row r="174" spans="1:12" ht="47.25" x14ac:dyDescent="0.2">
      <c r="A174" s="113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IF(B174&gt;0,VLOOKUP(B174,КВСР!A66:B1231,2),IF(C174&gt;0,VLOOKUP(C174,КФСР!A66:B1578,2),IF(D174&gt;0,VLOOKUP(D174,Программа!A$1:B$5124,2),IF(F174&gt;0,VLOOKUP(F174,КВР!A$1:B$5001,2),IF(E174&gt;0,VLOOKUP(E174,Направление!A$1:B$4812,2))))))</f>
        <v>Капитальные вложения в объекты государственной (муниципальной) собственности</v>
      </c>
      <c r="B174" s="114"/>
      <c r="C174" s="109"/>
      <c r="D174" s="110"/>
      <c r="E174" s="109"/>
      <c r="F174" s="111">
        <v>400</v>
      </c>
      <c r="G174" s="369">
        <v>13163000</v>
      </c>
      <c r="H174" s="369"/>
      <c r="I174" s="369">
        <f t="shared" si="108"/>
        <v>13163000</v>
      </c>
      <c r="J174" s="369">
        <v>0</v>
      </c>
      <c r="K174" s="286"/>
      <c r="L174" s="286">
        <f t="shared" si="114"/>
        <v>0</v>
      </c>
    </row>
    <row r="175" spans="1:12" ht="15.75" x14ac:dyDescent="0.2">
      <c r="A175" s="113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IF(B175&gt;0,VLOOKUP(B175,КВСР!A67:B1232,2),IF(C175&gt;0,VLOOKUP(C175,КФСР!A67:B1579,2),IF(D175&gt;0,VLOOKUP(D175,Программа!A$1:B$5124,2),IF(F175&gt;0,VLOOKUP(F175,КВР!A$1:B$5001,2),IF(E175&gt;0,VLOOKUP(E175,Направление!A$1:B$4812,2))))))</f>
        <v>Непрограммные расходы бюджета</v>
      </c>
      <c r="B175" s="114"/>
      <c r="C175" s="109"/>
      <c r="D175" s="110" t="s">
        <v>311</v>
      </c>
      <c r="E175" s="109"/>
      <c r="F175" s="111"/>
      <c r="G175" s="369">
        <v>2700000</v>
      </c>
      <c r="H175" s="369">
        <f>H178+H180+H176</f>
        <v>0</v>
      </c>
      <c r="I175" s="369">
        <f t="shared" ref="I175:L175" si="117">I178+I180+I176</f>
        <v>2700000</v>
      </c>
      <c r="J175" s="369">
        <v>2700000</v>
      </c>
      <c r="K175" s="369">
        <f t="shared" si="117"/>
        <v>0</v>
      </c>
      <c r="L175" s="369">
        <f t="shared" si="117"/>
        <v>2700000</v>
      </c>
    </row>
    <row r="176" spans="1:12" ht="31.5" hidden="1" x14ac:dyDescent="0.2">
      <c r="A176" s="113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IF(B176&gt;0,VLOOKUP(B176,КВСР!A68:B1233,2),IF(C176&gt;0,VLOOKUP(C176,КФСР!A68:B1580,2),IF(D176&gt;0,VLOOKUP(D176,Программа!A$1:B$5124,2),IF(F176&gt;0,VLOOKUP(F176,КВР!A$1:B$5001,2),IF(E176&gt;0,VLOOKUP(E176,Направление!A$1:B$4812,2))))))</f>
        <v>Мероприятия по актуализации схем коммунальной инфраструктуры</v>
      </c>
      <c r="B176" s="114"/>
      <c r="C176" s="109"/>
      <c r="D176" s="110"/>
      <c r="E176" s="109">
        <v>10410</v>
      </c>
      <c r="F176" s="111"/>
      <c r="G176" s="369">
        <v>0</v>
      </c>
      <c r="H176" s="369">
        <f>H177</f>
        <v>0</v>
      </c>
      <c r="I176" s="369">
        <f>I177</f>
        <v>0</v>
      </c>
      <c r="J176" s="369">
        <v>0</v>
      </c>
      <c r="K176" s="369">
        <f>K177</f>
        <v>0</v>
      </c>
      <c r="L176" s="369">
        <f>L177</f>
        <v>0</v>
      </c>
    </row>
    <row r="177" spans="1:12" ht="63" hidden="1" x14ac:dyDescent="0.2">
      <c r="A177" s="113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IF(B177&gt;0,VLOOKUP(B177,КВСР!A69:B1234,2),IF(C177&gt;0,VLOOKUP(C177,КФСР!A69:B1581,2),IF(D177&gt;0,VLOOKUP(D177,Программа!A$1:B$5124,2),IF(F177&gt;0,VLOOKUP(F177,КВР!A$1:B$5001,2),IF(E177&gt;0,VLOOKUP(E177,Направление!A$1:B$4812,2))))))</f>
        <v xml:space="preserve">Закупка товаров, работ и услуг для обеспечения государственных (муниципальных) нужд
</v>
      </c>
      <c r="B177" s="114"/>
      <c r="C177" s="109"/>
      <c r="D177" s="110"/>
      <c r="E177" s="109"/>
      <c r="F177" s="111">
        <v>200</v>
      </c>
      <c r="G177" s="369">
        <v>0</v>
      </c>
      <c r="H177" s="369"/>
      <c r="I177" s="369">
        <f>G177+H177</f>
        <v>0</v>
      </c>
      <c r="J177" s="369">
        <v>0</v>
      </c>
      <c r="K177" s="369"/>
      <c r="L177" s="369">
        <f>J177+K177</f>
        <v>0</v>
      </c>
    </row>
    <row r="178" spans="1:12" ht="47.25" x14ac:dyDescent="0.2">
      <c r="A178" s="113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IF(B178&gt;0,VLOOKUP(B178,КВСР!A68:B1233,2),IF(C178&gt;0,VLOOKUP(C178,КФСР!A68:B1580,2),IF(D178&gt;0,VLOOKUP(D178,Программа!A$1:B$5124,2),IF(F178&gt;0,VLOOKUP(F178,КВР!A$1:B$5001,2),IF(E178&gt;0,VLOOKUP(E178,Направление!A$1:B$4812,2))))))</f>
        <v>Обеспечение мероприятий по актуализации схем коммунальной инфраструктуры</v>
      </c>
      <c r="B178" s="114"/>
      <c r="C178" s="109"/>
      <c r="D178" s="110"/>
      <c r="E178" s="109">
        <v>29536</v>
      </c>
      <c r="F178" s="111"/>
      <c r="G178" s="369">
        <v>200000</v>
      </c>
      <c r="H178" s="369">
        <f t="shared" ref="H178:I178" si="118">H179</f>
        <v>0</v>
      </c>
      <c r="I178" s="369">
        <f t="shared" si="118"/>
        <v>200000</v>
      </c>
      <c r="J178" s="369">
        <v>200000</v>
      </c>
      <c r="K178" s="369">
        <f t="shared" ref="K178" si="119">K179</f>
        <v>0</v>
      </c>
      <c r="L178" s="369">
        <f t="shared" ref="L178" si="120">L179</f>
        <v>200000</v>
      </c>
    </row>
    <row r="179" spans="1:12" ht="63" x14ac:dyDescent="0.2">
      <c r="A179" s="113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IF(B179&gt;0,VLOOKUP(B179,КВСР!A68:B1233,2),IF(C179&gt;0,VLOOKUP(C179,КФСР!A68:B1580,2),IF(D179&gt;0,VLOOKUP(D179,Программа!A$1:B$5124,2),IF(F179&gt;0,VLOOKUP(F179,КВР!A$1:B$5001,2),IF(E179&gt;0,VLOOKUP(E179,Направление!A$1:B$4812,2))))))</f>
        <v xml:space="preserve">Закупка товаров, работ и услуг для обеспечения государственных (муниципальных) нужд
</v>
      </c>
      <c r="B179" s="114"/>
      <c r="C179" s="109"/>
      <c r="D179" s="110"/>
      <c r="E179" s="109"/>
      <c r="F179" s="111">
        <v>200</v>
      </c>
      <c r="G179" s="369">
        <v>200000</v>
      </c>
      <c r="H179" s="369"/>
      <c r="I179" s="369">
        <f t="shared" si="108"/>
        <v>200000</v>
      </c>
      <c r="J179" s="369">
        <v>200000</v>
      </c>
      <c r="K179" s="286"/>
      <c r="L179" s="286">
        <f t="shared" si="114"/>
        <v>200000</v>
      </c>
    </row>
    <row r="180" spans="1:12" ht="47.25" x14ac:dyDescent="0.2">
      <c r="A180" s="113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IF(B180&gt;0,VLOOKUP(B180,КВСР!A69:B1234,2),IF(C180&gt;0,VLOOKUP(C180,КФСР!A69:B1581,2),IF(D180&gt;0,VLOOKUP(D180,Программа!A$1:B$5124,2),IF(F180&gt;0,VLOOKUP(F180,КВР!A$1:B$5001,2),IF(E180&gt;0,VLOOKUP(E180,Направление!A$1:B$4812,2))))))</f>
        <v>Обеспечение мероприятий  по переработке и утилизации ливневых стоков</v>
      </c>
      <c r="B180" s="114"/>
      <c r="C180" s="109"/>
      <c r="D180" s="110"/>
      <c r="E180" s="109">
        <v>29616</v>
      </c>
      <c r="F180" s="111"/>
      <c r="G180" s="369">
        <v>2500000</v>
      </c>
      <c r="H180" s="369">
        <f t="shared" ref="H180:L180" si="121">H181</f>
        <v>0</v>
      </c>
      <c r="I180" s="369">
        <f t="shared" si="108"/>
        <v>2500000</v>
      </c>
      <c r="J180" s="369">
        <v>2500000</v>
      </c>
      <c r="K180" s="369">
        <f t="shared" si="121"/>
        <v>0</v>
      </c>
      <c r="L180" s="369">
        <f t="shared" si="121"/>
        <v>2500000</v>
      </c>
    </row>
    <row r="181" spans="1:12" ht="63" x14ac:dyDescent="0.2">
      <c r="A181" s="113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IF(B181&gt;0,VLOOKUP(B181,КВСР!A70:B1235,2),IF(C181&gt;0,VLOOKUP(C181,КФСР!A70:B1582,2),IF(D181&gt;0,VLOOKUP(D181,Программа!A$1:B$5124,2),IF(F181&gt;0,VLOOKUP(F181,КВР!A$1:B$5001,2),IF(E181&gt;0,VLOOKUP(E181,Направление!A$1:B$4812,2))))))</f>
        <v xml:space="preserve">Закупка товаров, работ и услуг для обеспечения государственных (муниципальных) нужд
</v>
      </c>
      <c r="B181" s="114"/>
      <c r="C181" s="109"/>
      <c r="D181" s="110"/>
      <c r="E181" s="109"/>
      <c r="F181" s="111">
        <v>200</v>
      </c>
      <c r="G181" s="369">
        <v>2500000</v>
      </c>
      <c r="H181" s="369"/>
      <c r="I181" s="369">
        <f t="shared" si="108"/>
        <v>2500000</v>
      </c>
      <c r="J181" s="369">
        <v>2500000</v>
      </c>
      <c r="K181" s="286"/>
      <c r="L181" s="286">
        <f t="shared" si="114"/>
        <v>2500000</v>
      </c>
    </row>
    <row r="182" spans="1:12" ht="15.75" x14ac:dyDescent="0.2">
      <c r="A182" s="113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IF(B182&gt;0,VLOOKUP(B182,КВСР!A71:B1236,2),IF(C182&gt;0,VLOOKUP(C182,КФСР!A71:B1583,2),IF(D182&gt;0,VLOOKUP(D182,Программа!A$1:B$5124,2),IF(F182&gt;0,VLOOKUP(F182,КВР!A$1:B$5001,2),IF(E182&gt;0,VLOOKUP(E182,Направление!A$1:B$4812,2))))))</f>
        <v>Благоустройство</v>
      </c>
      <c r="B182" s="114"/>
      <c r="C182" s="109">
        <v>503</v>
      </c>
      <c r="D182" s="110"/>
      <c r="E182" s="109"/>
      <c r="F182" s="111"/>
      <c r="G182" s="369">
        <v>31355078</v>
      </c>
      <c r="H182" s="369">
        <f t="shared" ref="H182:I182" si="122">H183+H205</f>
        <v>0</v>
      </c>
      <c r="I182" s="369">
        <f t="shared" si="122"/>
        <v>31355078</v>
      </c>
      <c r="J182" s="369">
        <v>24930078</v>
      </c>
      <c r="K182" s="369">
        <f t="shared" ref="K182" si="123">K183+K205</f>
        <v>0</v>
      </c>
      <c r="L182" s="369">
        <f t="shared" ref="L182" si="124">L183+L205</f>
        <v>24930078</v>
      </c>
    </row>
    <row r="183" spans="1:12" ht="63" x14ac:dyDescent="0.2">
      <c r="A183" s="113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IF(B183&gt;0,VLOOKUP(B183,КВСР!A72:B1237,2),IF(C183&gt;0,VLOOKUP(C183,КФСР!A72:B1584,2),IF(D183&gt;0,VLOOKUP(D183,Программа!A$1:B$5124,2),IF(F183&gt;0,VLOOKUP(F183,КВР!A$1:B$5001,2),IF(E183&gt;0,VLOOKUP(E183,Направление!A$1:B$4812,2))))))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14"/>
      <c r="C183" s="109"/>
      <c r="D183" s="110" t="s">
        <v>640</v>
      </c>
      <c r="E183" s="109"/>
      <c r="F183" s="111"/>
      <c r="G183" s="369">
        <v>25480078</v>
      </c>
      <c r="H183" s="369">
        <f>H184+H188+H197+H201</f>
        <v>0</v>
      </c>
      <c r="I183" s="369">
        <f t="shared" ref="I183" si="125">I184+I188+I197+I201</f>
        <v>25480078</v>
      </c>
      <c r="J183" s="369">
        <v>23430078</v>
      </c>
      <c r="K183" s="369">
        <f t="shared" ref="K183" si="126">K184+K188+K197+K201</f>
        <v>0</v>
      </c>
      <c r="L183" s="369">
        <f t="shared" ref="L183" si="127">L184+L188+L197+L201</f>
        <v>23430078</v>
      </c>
    </row>
    <row r="184" spans="1:12" ht="63" x14ac:dyDescent="0.2">
      <c r="A184" s="113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IF(B184&gt;0,VLOOKUP(B184,КВСР!A73:B1238,2),IF(C184&gt;0,VLOOKUP(C184,КФСР!A73:B1585,2),IF(D184&gt;0,VLOOKUP(D184,Программа!A$1:B$5124,2),IF(F184&gt;0,VLOOKUP(F184,КВР!A$1:B$5001,2),IF(E184&gt;0,VLOOKUP(E184,Направление!A$1:B$4812,2))))))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14"/>
      <c r="C184" s="109"/>
      <c r="D184" s="110" t="s">
        <v>642</v>
      </c>
      <c r="E184" s="109"/>
      <c r="F184" s="111"/>
      <c r="G184" s="369">
        <v>500000</v>
      </c>
      <c r="H184" s="369">
        <f t="shared" ref="H184:L186" si="128">H185</f>
        <v>0</v>
      </c>
      <c r="I184" s="369">
        <f t="shared" si="128"/>
        <v>500000</v>
      </c>
      <c r="J184" s="369">
        <v>500000</v>
      </c>
      <c r="K184" s="369">
        <f t="shared" si="128"/>
        <v>0</v>
      </c>
      <c r="L184" s="369">
        <f t="shared" si="128"/>
        <v>500000</v>
      </c>
    </row>
    <row r="185" spans="1:12" ht="47.25" x14ac:dyDescent="0.2">
      <c r="A185" s="113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IF(B185&gt;0,VLOOKUP(B185,КВСР!A74:B1239,2),IF(C185&gt;0,VLOOKUP(C185,КФСР!A74:B1586,2),IF(D185&gt;0,VLOOKUP(D185,Программа!A$1:B$5124,2),IF(F185&gt;0,VLOOKUP(F185,КВР!A$1:B$5001,2),IF(E185&gt;0,VLOOKUP(E185,Направление!A$1:B$4812,2))))))</f>
        <v>Обеспечение комплекса работ по повышению уровня благоустройства мест погребений</v>
      </c>
      <c r="B185" s="114"/>
      <c r="C185" s="109"/>
      <c r="D185" s="110" t="s">
        <v>644</v>
      </c>
      <c r="E185" s="109"/>
      <c r="F185" s="111"/>
      <c r="G185" s="369">
        <v>500000</v>
      </c>
      <c r="H185" s="369">
        <f t="shared" si="128"/>
        <v>0</v>
      </c>
      <c r="I185" s="369">
        <f t="shared" si="128"/>
        <v>500000</v>
      </c>
      <c r="J185" s="369">
        <v>500000</v>
      </c>
      <c r="K185" s="369">
        <f t="shared" si="128"/>
        <v>0</v>
      </c>
      <c r="L185" s="369">
        <f t="shared" si="128"/>
        <v>500000</v>
      </c>
    </row>
    <row r="186" spans="1:12" ht="31.5" x14ac:dyDescent="0.2">
      <c r="A186" s="113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IF(B186&gt;0,VLOOKUP(B186,КВСР!A75:B1240,2),IF(C186&gt;0,VLOOKUP(C186,КФСР!A75:B1587,2),IF(D186&gt;0,VLOOKUP(D186,Программа!A$1:B$5124,2),IF(F186&gt;0,VLOOKUP(F186,КВР!A$1:B$5001,2),IF(E186&gt;0,VLOOKUP(E186,Направление!A$1:B$4812,2))))))</f>
        <v>Обеспечение мероприятий по  содержанию мест захоронения</v>
      </c>
      <c r="B186" s="114"/>
      <c r="C186" s="109"/>
      <c r="D186" s="110"/>
      <c r="E186" s="109">
        <v>29316</v>
      </c>
      <c r="F186" s="111"/>
      <c r="G186" s="369">
        <v>500000</v>
      </c>
      <c r="H186" s="369">
        <f t="shared" si="128"/>
        <v>0</v>
      </c>
      <c r="I186" s="369">
        <f t="shared" si="128"/>
        <v>500000</v>
      </c>
      <c r="J186" s="369">
        <v>500000</v>
      </c>
      <c r="K186" s="369">
        <f t="shared" si="128"/>
        <v>0</v>
      </c>
      <c r="L186" s="369">
        <f t="shared" si="128"/>
        <v>500000</v>
      </c>
    </row>
    <row r="187" spans="1:12" ht="63" x14ac:dyDescent="0.2">
      <c r="A187" s="113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IF(B187&gt;0,VLOOKUP(B187,КВСР!A76:B1241,2),IF(C187&gt;0,VLOOKUP(C187,КФСР!A76:B1588,2),IF(D187&gt;0,VLOOKUP(D187,Программа!A$1:B$5124,2),IF(F187&gt;0,VLOOKUP(F187,КВР!A$1:B$5001,2),IF(E187&gt;0,VLOOKUP(E187,Направление!A$1:B$4812,2))))))</f>
        <v xml:space="preserve">Закупка товаров, работ и услуг для обеспечения государственных (муниципальных) нужд
</v>
      </c>
      <c r="B187" s="114"/>
      <c r="C187" s="109"/>
      <c r="D187" s="110"/>
      <c r="E187" s="109"/>
      <c r="F187" s="111">
        <v>200</v>
      </c>
      <c r="G187" s="369">
        <v>500000</v>
      </c>
      <c r="H187" s="369"/>
      <c r="I187" s="369">
        <f t="shared" ref="I187" si="129">SUM(G187:H187)</f>
        <v>500000</v>
      </c>
      <c r="J187" s="369">
        <v>500000</v>
      </c>
      <c r="K187" s="286"/>
      <c r="L187" s="286">
        <f t="shared" ref="L187" si="130">SUM(J187:K187)</f>
        <v>500000</v>
      </c>
    </row>
    <row r="188" spans="1:12" ht="63" x14ac:dyDescent="0.2">
      <c r="A188" s="113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IF(B188&gt;0,VLOOKUP(B188,КВСР!A77:B1242,2),IF(C188&gt;0,VLOOKUP(C188,КФСР!A77:B1589,2),IF(D188&gt;0,VLOOKUP(D188,Программа!A$1:B$5124,2),IF(F188&gt;0,VLOOKUP(F188,КВР!A$1:B$5001,2),IF(E188&gt;0,VLOOKUP(E188,Направление!A$1:B$4812,2))))))</f>
        <v>Муниципальная целевая программа "Благоустройство и озеленение территории Тутаевского муниципального  района"</v>
      </c>
      <c r="B188" s="114"/>
      <c r="C188" s="109"/>
      <c r="D188" s="110" t="s">
        <v>645</v>
      </c>
      <c r="E188" s="109"/>
      <c r="F188" s="111"/>
      <c r="G188" s="369">
        <v>11818000</v>
      </c>
      <c r="H188" s="369">
        <f>H189+H193</f>
        <v>0</v>
      </c>
      <c r="I188" s="369">
        <f t="shared" ref="I188:L188" si="131">I189+I193</f>
        <v>11818000</v>
      </c>
      <c r="J188" s="369">
        <v>11118000</v>
      </c>
      <c r="K188" s="369">
        <f t="shared" si="131"/>
        <v>0</v>
      </c>
      <c r="L188" s="369">
        <f t="shared" si="131"/>
        <v>11118000</v>
      </c>
    </row>
    <row r="189" spans="1:12" ht="63" x14ac:dyDescent="0.2">
      <c r="A189" s="113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IF(B189&gt;0,VLOOKUP(B189,КВСР!A78:B1243,2),IF(C189&gt;0,VLOOKUP(C189,КФСР!A78:B1590,2),IF(D189&gt;0,VLOOKUP(D189,Программа!A$1:B$5124,2),IF(F189&gt;0,VLOOKUP(F189,КВР!A$1:B$5001,2),IF(E189&gt;0,VLOOKUP(E189,Направление!A$1:B$4812,2))))))</f>
        <v>Улучшение уровня внешнего благоустройства и санитарного  состояния территорий Тутаевского муниципального района</v>
      </c>
      <c r="B189" s="114"/>
      <c r="C189" s="109"/>
      <c r="D189" s="110" t="s">
        <v>647</v>
      </c>
      <c r="E189" s="109"/>
      <c r="F189" s="111"/>
      <c r="G189" s="369">
        <v>5000000</v>
      </c>
      <c r="H189" s="369">
        <f>H190</f>
        <v>0</v>
      </c>
      <c r="I189" s="369">
        <f t="shared" ref="I189:L189" si="132">I190</f>
        <v>5000000</v>
      </c>
      <c r="J189" s="369">
        <v>5000000</v>
      </c>
      <c r="K189" s="369">
        <f t="shared" si="132"/>
        <v>0</v>
      </c>
      <c r="L189" s="369">
        <f t="shared" si="132"/>
        <v>5000000</v>
      </c>
    </row>
    <row r="190" spans="1:12" ht="47.25" x14ac:dyDescent="0.2">
      <c r="A190" s="113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IF(B190&gt;0,VLOOKUP(B190,КВСР!A85:B1250,2),IF(C190&gt;0,VLOOKUP(C190,КФСР!A85:B1597,2),IF(D190&gt;0,VLOOKUP(D190,Программа!A$1:B$5124,2),IF(F190&gt;0,VLOOKUP(F190,КВР!A$1:B$5001,2),IF(E190&gt;0,VLOOKUP(E190,Направление!A$1:B$4812,2))))))</f>
        <v>Содержание и организация деятельности по благоустройству на территории поселения</v>
      </c>
      <c r="B190" s="114"/>
      <c r="C190" s="109"/>
      <c r="D190" s="110"/>
      <c r="E190" s="109">
        <v>29256</v>
      </c>
      <c r="F190" s="111"/>
      <c r="G190" s="369">
        <v>5000000</v>
      </c>
      <c r="H190" s="369">
        <f>H191+H192</f>
        <v>0</v>
      </c>
      <c r="I190" s="369">
        <f t="shared" ref="I190:L190" si="133">I191+I192</f>
        <v>5000000</v>
      </c>
      <c r="J190" s="369">
        <v>5000000</v>
      </c>
      <c r="K190" s="369">
        <f t="shared" si="133"/>
        <v>0</v>
      </c>
      <c r="L190" s="369">
        <f t="shared" si="133"/>
        <v>5000000</v>
      </c>
    </row>
    <row r="191" spans="1:12" ht="110.25" x14ac:dyDescent="0.2">
      <c r="A191" s="113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14"/>
      <c r="C191" s="109"/>
      <c r="D191" s="110"/>
      <c r="E191" s="109"/>
      <c r="F191" s="111">
        <v>100</v>
      </c>
      <c r="G191" s="369">
        <v>4985000</v>
      </c>
      <c r="H191" s="369"/>
      <c r="I191" s="369">
        <f t="shared" ref="I191:I210" si="134">SUM(G191:H191)</f>
        <v>4985000</v>
      </c>
      <c r="J191" s="369">
        <v>4985000</v>
      </c>
      <c r="K191" s="286"/>
      <c r="L191" s="286">
        <f t="shared" ref="L191:L210" si="135">SUM(J191:K191)</f>
        <v>4985000</v>
      </c>
    </row>
    <row r="192" spans="1:12" ht="15.75" x14ac:dyDescent="0.2">
      <c r="A192" s="113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IF(B192&gt;0,VLOOKUP(B192,КВСР!A87:B1252,2),IF(C192&gt;0,VLOOKUP(C192,КФСР!A87:B1599,2),IF(D192&gt;0,VLOOKUP(D192,Программа!A$1:B$5124,2),IF(F192&gt;0,VLOOKUP(F192,КВР!A$1:B$5001,2),IF(E192&gt;0,VLOOKUP(E192,Направление!A$1:B$4812,2))))))</f>
        <v>Иные бюджетные ассигнования</v>
      </c>
      <c r="B192" s="114"/>
      <c r="C192" s="109"/>
      <c r="D192" s="110"/>
      <c r="E192" s="109"/>
      <c r="F192" s="111">
        <v>800</v>
      </c>
      <c r="G192" s="369">
        <v>15000</v>
      </c>
      <c r="H192" s="369"/>
      <c r="I192" s="369">
        <f t="shared" si="134"/>
        <v>15000</v>
      </c>
      <c r="J192" s="369">
        <v>15000</v>
      </c>
      <c r="K192" s="286"/>
      <c r="L192" s="286">
        <f t="shared" si="135"/>
        <v>15000</v>
      </c>
    </row>
    <row r="193" spans="1:12" ht="47.25" x14ac:dyDescent="0.2">
      <c r="A193" s="113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IF(B193&gt;0,VLOOKUP(B193,КВСР!A88:B1253,2),IF(C193&gt;0,VLOOKUP(C193,КФСР!A88:B1600,2),IF(D193&gt;0,VLOOKUP(D193,Программа!A$1:B$5124,2),IF(F193&gt;0,VLOOKUP(F193,КВР!A$1:B$5001,2),IF(E193&gt;0,VLOOKUP(E193,Направление!A$1:B$4812,2))))))</f>
        <v xml:space="preserve">Обеспечение мероприятий по совершенствованию  эстетического  состояния территорий </v>
      </c>
      <c r="B193" s="114"/>
      <c r="C193" s="109"/>
      <c r="D193" s="110" t="s">
        <v>649</v>
      </c>
      <c r="E193" s="109"/>
      <c r="F193" s="111"/>
      <c r="G193" s="369">
        <v>6818000</v>
      </c>
      <c r="H193" s="369">
        <f t="shared" ref="H193:L193" si="136">H194</f>
        <v>0</v>
      </c>
      <c r="I193" s="369">
        <f t="shared" si="136"/>
        <v>6818000</v>
      </c>
      <c r="J193" s="369">
        <v>6118000</v>
      </c>
      <c r="K193" s="369">
        <f t="shared" si="136"/>
        <v>0</v>
      </c>
      <c r="L193" s="369">
        <f t="shared" si="136"/>
        <v>6118000</v>
      </c>
    </row>
    <row r="194" spans="1:12" ht="31.5" x14ac:dyDescent="0.2">
      <c r="A194" s="113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IF(B194&gt;0,VLOOKUP(B194,КВСР!A87:B1252,2),IF(C194&gt;0,VLOOKUP(C194,КФСР!A87:B1599,2),IF(D194&gt;0,VLOOKUP(D194,Программа!A$1:B$5124,2),IF(F194&gt;0,VLOOKUP(F194,КВР!A$1:B$5001,2),IF(E194&gt;0,VLOOKUP(E194,Направление!A$1:B$4812,2))))))</f>
        <v>Обеспечение мероприятий в области благоустройства и озеленения</v>
      </c>
      <c r="B194" s="114"/>
      <c r="C194" s="109"/>
      <c r="D194" s="110"/>
      <c r="E194" s="109">
        <v>29266</v>
      </c>
      <c r="F194" s="111"/>
      <c r="G194" s="369">
        <v>6818000</v>
      </c>
      <c r="H194" s="369">
        <f>H195+H196</f>
        <v>0</v>
      </c>
      <c r="I194" s="369">
        <f t="shared" si="134"/>
        <v>6818000</v>
      </c>
      <c r="J194" s="286">
        <v>6118000</v>
      </c>
      <c r="K194" s="286">
        <f>K195+K196</f>
        <v>0</v>
      </c>
      <c r="L194" s="286">
        <f t="shared" si="135"/>
        <v>6118000</v>
      </c>
    </row>
    <row r="195" spans="1:12" ht="63" x14ac:dyDescent="0.2">
      <c r="A195" s="113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IF(B195&gt;0,VLOOKUP(B195,КВСР!A88:B1253,2),IF(C195&gt;0,VLOOKUP(C195,КФСР!A88:B1600,2),IF(D195&gt;0,VLOOKUP(D195,Программа!A$1:B$5124,2),IF(F195&gt;0,VLOOKUP(F195,КВР!A$1:B$5001,2),IF(E195&gt;0,VLOOKUP(E195,Направление!A$1:B$4812,2))))))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69">
        <v>6118000</v>
      </c>
      <c r="H195" s="369"/>
      <c r="I195" s="369">
        <f t="shared" si="134"/>
        <v>6118000</v>
      </c>
      <c r="J195" s="369">
        <v>6118000</v>
      </c>
      <c r="K195" s="286"/>
      <c r="L195" s="286">
        <f t="shared" si="135"/>
        <v>6118000</v>
      </c>
    </row>
    <row r="196" spans="1:12" ht="53.25" customHeight="1" x14ac:dyDescent="0.2">
      <c r="A196" s="113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IF(B196&gt;0,VLOOKUP(B196,КВСР!A89:B1254,2),IF(C196&gt;0,VLOOKUP(C196,КФСР!A89:B1601,2),IF(D196&gt;0,VLOOKUP(D196,Программа!A$1:B$5124,2),IF(F196&gt;0,VLOOKUP(F196,КВР!A$1:B$5001,2),IF(E196&gt;0,VLOOKUP(E196,Направление!A$1:B$4812,2))))))</f>
        <v>Капитальные вложения в объекты государственной (муниципальной) собственности</v>
      </c>
      <c r="B196" s="114"/>
      <c r="C196" s="109"/>
      <c r="D196" s="110"/>
      <c r="E196" s="109"/>
      <c r="F196" s="111">
        <v>400</v>
      </c>
      <c r="G196" s="369">
        <v>700000</v>
      </c>
      <c r="H196" s="369"/>
      <c r="I196" s="369">
        <f>SUM(G196:H196)</f>
        <v>700000</v>
      </c>
      <c r="J196" s="369"/>
      <c r="K196" s="286"/>
      <c r="L196" s="286">
        <f>SUM(J196:K196)</f>
        <v>0</v>
      </c>
    </row>
    <row r="197" spans="1:12" ht="110.25" x14ac:dyDescent="0.2">
      <c r="A197" s="113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IF(B197&gt;0,VLOOKUP(B197,КВСР!A89:B1254,2),IF(C197&gt;0,VLOOKUP(C197,КФСР!A89:B1601,2),IF(D197&gt;0,VLOOKUP(D197,Программа!A$1:B$5124,2),IF(F197&gt;0,VLOOKUP(F197,КВР!A$1:B$5001,2),IF(E197&gt;0,VLOOKUP(E197,Направление!A$1:B$4812,2))))))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14"/>
      <c r="C197" s="109"/>
      <c r="D197" s="110" t="s">
        <v>1391</v>
      </c>
      <c r="E197" s="109"/>
      <c r="F197" s="111"/>
      <c r="G197" s="369">
        <v>11662078</v>
      </c>
      <c r="H197" s="369">
        <f t="shared" ref="H197:I199" si="137">H198</f>
        <v>0</v>
      </c>
      <c r="I197" s="369">
        <f t="shared" si="137"/>
        <v>11662078</v>
      </c>
      <c r="J197" s="369">
        <v>11662078</v>
      </c>
      <c r="K197" s="369">
        <f t="shared" ref="K197:K199" si="138">K198</f>
        <v>0</v>
      </c>
      <c r="L197" s="369">
        <f t="shared" ref="L197:L199" si="139">L198</f>
        <v>11662078</v>
      </c>
    </row>
    <row r="198" spans="1:12" ht="47.25" x14ac:dyDescent="0.2">
      <c r="A198" s="113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IF(B198&gt;0,VLOOKUP(B198,КВСР!A90:B1255,2),IF(C198&gt;0,VLOOKUP(C198,КФСР!A90:B1602,2),IF(D198&gt;0,VLOOKUP(D198,Программа!A$1:B$5124,2),IF(F198&gt;0,VLOOKUP(F198,КВР!A$1:B$5001,2),IF(E198&gt;0,VLOOKUP(E198,Направление!A$1:B$4812,2))))))</f>
        <v>Создание механизма управления потреблением энергетических ресурсов и сокращение бюджетных затрат</v>
      </c>
      <c r="B198" s="114"/>
      <c r="C198" s="109"/>
      <c r="D198" s="110" t="s">
        <v>1392</v>
      </c>
      <c r="E198" s="109"/>
      <c r="F198" s="111"/>
      <c r="G198" s="369">
        <v>11662078</v>
      </c>
      <c r="H198" s="369">
        <f t="shared" si="137"/>
        <v>0</v>
      </c>
      <c r="I198" s="369">
        <f t="shared" si="137"/>
        <v>11662078</v>
      </c>
      <c r="J198" s="369">
        <v>11662078</v>
      </c>
      <c r="K198" s="369">
        <f t="shared" si="138"/>
        <v>0</v>
      </c>
      <c r="L198" s="369">
        <f t="shared" si="139"/>
        <v>11662078</v>
      </c>
    </row>
    <row r="199" spans="1:12" ht="31.5" x14ac:dyDescent="0.2">
      <c r="A199" s="113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IF(B199&gt;0,VLOOKUP(B199,КВСР!A91:B1256,2),IF(C199&gt;0,VLOOKUP(C199,КФСР!A91:B1603,2),IF(D199&gt;0,VLOOKUP(D199,Программа!A$1:B$5124,2),IF(F199&gt;0,VLOOKUP(F199,КВР!A$1:B$5001,2),IF(E199&gt;0,VLOOKUP(E199,Направление!A$1:B$4812,2))))))</f>
        <v>Обеспечение мероприятий по уличному освещению</v>
      </c>
      <c r="B199" s="114"/>
      <c r="C199" s="109"/>
      <c r="D199" s="110"/>
      <c r="E199" s="109">
        <v>29236</v>
      </c>
      <c r="F199" s="111"/>
      <c r="G199" s="369">
        <v>11662078</v>
      </c>
      <c r="H199" s="369">
        <f t="shared" si="137"/>
        <v>0</v>
      </c>
      <c r="I199" s="369">
        <f t="shared" si="137"/>
        <v>11662078</v>
      </c>
      <c r="J199" s="369">
        <v>11662078</v>
      </c>
      <c r="K199" s="369">
        <f t="shared" si="138"/>
        <v>0</v>
      </c>
      <c r="L199" s="369">
        <f t="shared" si="139"/>
        <v>11662078</v>
      </c>
    </row>
    <row r="200" spans="1:12" ht="63" x14ac:dyDescent="0.2">
      <c r="A200" s="113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IF(B200&gt;0,VLOOKUP(B200,КВСР!A92:B1257,2),IF(C200&gt;0,VLOOKUP(C200,КФСР!A92:B1604,2),IF(D200&gt;0,VLOOKUP(D200,Программа!A$1:B$5124,2),IF(F200&gt;0,VLOOKUP(F200,КВР!A$1:B$5001,2),IF(E200&gt;0,VLOOKUP(E200,Направление!A$1:B$4812,2))))))</f>
        <v xml:space="preserve">Закупка товаров, работ и услуг для обеспечения государственных (муниципальных) нужд
</v>
      </c>
      <c r="B200" s="114"/>
      <c r="C200" s="109"/>
      <c r="D200" s="110"/>
      <c r="E200" s="109"/>
      <c r="F200" s="111">
        <v>200</v>
      </c>
      <c r="G200" s="369">
        <v>11662078</v>
      </c>
      <c r="H200" s="369"/>
      <c r="I200" s="369">
        <f>G200+H200</f>
        <v>11662078</v>
      </c>
      <c r="J200" s="369">
        <v>11662078</v>
      </c>
      <c r="K200" s="286"/>
      <c r="L200" s="286">
        <f>J200+K200</f>
        <v>11662078</v>
      </c>
    </row>
    <row r="201" spans="1:12" ht="63" x14ac:dyDescent="0.2">
      <c r="A201" s="113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IF(B201&gt;0,VLOOKUP(B201,КВСР!A93:B1258,2),IF(C201&gt;0,VLOOKUP(C201,КФСР!A93:B1605,2),IF(D201&gt;0,VLOOKUP(D201,Программа!A$1:B$5124,2),IF(F201&gt;0,VLOOKUP(F201,КВР!A$1:B$5001,2),IF(E201&gt;0,VLOOKUP(E201,Направление!A$1:B$4812,2))))))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14"/>
      <c r="C201" s="109"/>
      <c r="D201" s="110" t="s">
        <v>1393</v>
      </c>
      <c r="E201" s="109"/>
      <c r="F201" s="111"/>
      <c r="G201" s="369">
        <v>1500000</v>
      </c>
      <c r="H201" s="369">
        <f t="shared" ref="H201:I203" si="140">H202</f>
        <v>0</v>
      </c>
      <c r="I201" s="369">
        <f t="shared" si="140"/>
        <v>1500000</v>
      </c>
      <c r="J201" s="369">
        <v>150000</v>
      </c>
      <c r="K201" s="369">
        <f t="shared" ref="K201:K203" si="141">K202</f>
        <v>0</v>
      </c>
      <c r="L201" s="369">
        <f t="shared" ref="L201:L203" si="142">L202</f>
        <v>150000</v>
      </c>
    </row>
    <row r="202" spans="1:12" ht="31.5" x14ac:dyDescent="0.2">
      <c r="A202" s="113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IF(B202&gt;0,VLOOKUP(B202,КВСР!A94:B1259,2),IF(C202&gt;0,VLOOKUP(C202,КФСР!A94:B1606,2),IF(D202&gt;0,VLOOKUP(D202,Программа!A$1:B$5124,2),IF(F202&gt;0,VLOOKUP(F202,КВР!A$1:B$5001,2),IF(E202&gt;0,VLOOKUP(E202,Направление!A$1:B$4812,2))))))</f>
        <v xml:space="preserve">Реконструкция, ремонт и строительство новых сетей уличного освещения </v>
      </c>
      <c r="B202" s="114"/>
      <c r="C202" s="109"/>
      <c r="D202" s="110" t="s">
        <v>1394</v>
      </c>
      <c r="E202" s="109"/>
      <c r="F202" s="111"/>
      <c r="G202" s="369">
        <v>1500000</v>
      </c>
      <c r="H202" s="369">
        <f t="shared" si="140"/>
        <v>0</v>
      </c>
      <c r="I202" s="369">
        <f t="shared" si="140"/>
        <v>1500000</v>
      </c>
      <c r="J202" s="369">
        <v>150000</v>
      </c>
      <c r="K202" s="369">
        <f t="shared" si="141"/>
        <v>0</v>
      </c>
      <c r="L202" s="369">
        <f t="shared" si="142"/>
        <v>150000</v>
      </c>
    </row>
    <row r="203" spans="1:12" ht="63" x14ac:dyDescent="0.2">
      <c r="A203" s="113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IF(B203&gt;0,VLOOKUP(B203,КВСР!A95:B1260,2),IF(C203&gt;0,VLOOKUP(C203,КФСР!A95:B1607,2),IF(D203&gt;0,VLOOKUP(D203,Программа!A$1:B$5124,2),IF(F203&gt;0,VLOOKUP(F203,КВР!A$1:B$5001,2),IF(E203&gt;0,VLOOKUP(E203,Направление!A$1:B$4812,2))))))</f>
        <v>Обеспечение мероприятий по техническому содержанию, текущему и капитальному ремонту сетей уличного освещения</v>
      </c>
      <c r="B203" s="114"/>
      <c r="C203" s="109"/>
      <c r="D203" s="110"/>
      <c r="E203" s="109">
        <v>29246</v>
      </c>
      <c r="F203" s="111"/>
      <c r="G203" s="369">
        <v>1500000</v>
      </c>
      <c r="H203" s="369">
        <f t="shared" si="140"/>
        <v>0</v>
      </c>
      <c r="I203" s="369">
        <f t="shared" si="140"/>
        <v>1500000</v>
      </c>
      <c r="J203" s="369">
        <v>150000</v>
      </c>
      <c r="K203" s="369">
        <f t="shared" si="141"/>
        <v>0</v>
      </c>
      <c r="L203" s="369">
        <f t="shared" si="142"/>
        <v>150000</v>
      </c>
    </row>
    <row r="204" spans="1:12" ht="63" x14ac:dyDescent="0.2">
      <c r="A204" s="113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IF(B204&gt;0,VLOOKUP(B204,КВСР!A96:B1261,2),IF(C204&gt;0,VLOOKUP(C204,КФСР!A96:B1608,2),IF(D204&gt;0,VLOOKUP(D204,Программа!A$1:B$5124,2),IF(F204&gt;0,VLOOKUP(F204,КВР!A$1:B$5001,2),IF(E204&gt;0,VLOOKUP(E204,Направление!A$1:B$4812,2))))))</f>
        <v xml:space="preserve">Закупка товаров, работ и услуг для обеспечения государственных (муниципальных) нужд
</v>
      </c>
      <c r="B204" s="114"/>
      <c r="C204" s="109"/>
      <c r="D204" s="110"/>
      <c r="E204" s="109"/>
      <c r="F204" s="111">
        <v>200</v>
      </c>
      <c r="G204" s="369">
        <v>1500000</v>
      </c>
      <c r="H204" s="369"/>
      <c r="I204" s="369">
        <f>G204+H204</f>
        <v>1500000</v>
      </c>
      <c r="J204" s="369">
        <v>150000</v>
      </c>
      <c r="K204" s="286"/>
      <c r="L204" s="286">
        <f>J204+K204</f>
        <v>150000</v>
      </c>
    </row>
    <row r="205" spans="1:12" ht="63" x14ac:dyDescent="0.2">
      <c r="A205" s="113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IF(B205&gt;0,VLOOKUP(B205,КВСР!A89:B1254,2),IF(C205&gt;0,VLOOKUP(C205,КФСР!A89:B1601,2),IF(D205&gt;0,VLOOKUP(D205,Программа!A$1:B$5124,2),IF(F205&gt;0,VLOOKUP(F205,КВР!A$1:B$5001,2),IF(E205&gt;0,VLOOKUP(E205,Направление!A$1:B$4812,2))))))</f>
        <v>Муниципальная программа "Формирование  современной городской среды"  Тутаевского муниципального района</v>
      </c>
      <c r="B205" s="114"/>
      <c r="C205" s="109"/>
      <c r="D205" s="110" t="s">
        <v>1134</v>
      </c>
      <c r="E205" s="109"/>
      <c r="F205" s="111"/>
      <c r="G205" s="374">
        <v>5875000</v>
      </c>
      <c r="H205" s="369">
        <f t="shared" ref="H205:H209" si="143">H206</f>
        <v>0</v>
      </c>
      <c r="I205" s="369">
        <f t="shared" si="134"/>
        <v>5875000</v>
      </c>
      <c r="J205" s="286">
        <v>1500000</v>
      </c>
      <c r="K205" s="286">
        <f t="shared" ref="K205:L209" si="144">K206</f>
        <v>0</v>
      </c>
      <c r="L205" s="286">
        <f t="shared" si="144"/>
        <v>1500000</v>
      </c>
    </row>
    <row r="206" spans="1:12" ht="31.5" x14ac:dyDescent="0.2">
      <c r="A206" s="113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IF(B206&gt;0,VLOOKUP(B206,КВСР!A90:B1255,2),IF(C206&gt;0,VLOOKUP(C206,КФСР!A90:B1602,2),IF(D206&gt;0,VLOOKUP(D206,Программа!A$1:B$5124,2),IF(F206&gt;0,VLOOKUP(F206,КВР!A$1:B$5001,2),IF(E206&gt;0,VLOOKUP(E206,Направление!A$1:B$4812,2))))))</f>
        <v>Повышение уровня благоустройства территорий</v>
      </c>
      <c r="B206" s="114"/>
      <c r="C206" s="109"/>
      <c r="D206" s="110" t="s">
        <v>1152</v>
      </c>
      <c r="E206" s="109"/>
      <c r="F206" s="111"/>
      <c r="G206" s="374">
        <v>5875000</v>
      </c>
      <c r="H206" s="369">
        <f>H209+H207</f>
        <v>0</v>
      </c>
      <c r="I206" s="369">
        <f>SUM(G206:H206)</f>
        <v>5875000</v>
      </c>
      <c r="J206" s="286">
        <v>1500000</v>
      </c>
      <c r="K206" s="286">
        <f>K209+K207</f>
        <v>0</v>
      </c>
      <c r="L206" s="286">
        <f>L209+L207</f>
        <v>1500000</v>
      </c>
    </row>
    <row r="207" spans="1:12" ht="47.25" x14ac:dyDescent="0.2">
      <c r="A207" s="113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IF(B207&gt;0,VLOOKUP(B207,КВСР!A89:B1254,2),IF(C207&gt;0,VLOOKUP(C207,КФСР!A89:B1601,2),IF(D207&gt;0,VLOOKUP(D207,Программа!A$1:B$5124,2),IF(F207&gt;0,VLOOKUP(F207,КВР!A$1:B$5001,2),IF(E207&gt;0,VLOOKUP(E207,Направление!A$1:B$4812,2))))))</f>
        <v>Обеспечение мероприятий по формированию современной городской среды</v>
      </c>
      <c r="B207" s="114"/>
      <c r="C207" s="109"/>
      <c r="D207" s="110"/>
      <c r="E207" s="109">
        <v>29456</v>
      </c>
      <c r="F207" s="111"/>
      <c r="G207" s="374">
        <v>1500000</v>
      </c>
      <c r="H207" s="369">
        <f t="shared" si="143"/>
        <v>0</v>
      </c>
      <c r="I207" s="369">
        <f t="shared" ref="I207:I208" si="145">SUM(G207:H207)</f>
        <v>1500000</v>
      </c>
      <c r="J207" s="286">
        <v>1500000</v>
      </c>
      <c r="K207" s="286">
        <f t="shared" si="144"/>
        <v>0</v>
      </c>
      <c r="L207" s="286">
        <f t="shared" si="144"/>
        <v>1500000</v>
      </c>
    </row>
    <row r="208" spans="1:12" ht="63" x14ac:dyDescent="0.2">
      <c r="A208" s="113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IF(B208&gt;0,VLOOKUP(B208,КВСР!A90:B1255,2),IF(C208&gt;0,VLOOKUP(C208,КФСР!A90:B1602,2),IF(D208&gt;0,VLOOKUP(D208,Программа!A$1:B$5124,2),IF(F208&gt;0,VLOOKUP(F208,КВР!A$1:B$5001,2),IF(E208&gt;0,VLOOKUP(E208,Направление!A$1:B$4812,2))))))</f>
        <v xml:space="preserve">Закупка товаров, работ и услуг для обеспечения государственных (муниципальных) нужд
</v>
      </c>
      <c r="B208" s="114"/>
      <c r="C208" s="109"/>
      <c r="D208" s="110"/>
      <c r="E208" s="109"/>
      <c r="F208" s="111">
        <v>200</v>
      </c>
      <c r="G208" s="369">
        <v>1500000</v>
      </c>
      <c r="H208" s="369"/>
      <c r="I208" s="369">
        <f t="shared" si="145"/>
        <v>1500000</v>
      </c>
      <c r="J208" s="369">
        <v>1500000</v>
      </c>
      <c r="K208" s="286"/>
      <c r="L208" s="286">
        <f t="shared" ref="L208" si="146">SUM(J208:K208)</f>
        <v>1500000</v>
      </c>
    </row>
    <row r="209" spans="1:12" ht="63" x14ac:dyDescent="0.2">
      <c r="A209" s="113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IF(B209&gt;0,VLOOKUP(B209,КВСР!A91:B1256,2),IF(C209&gt;0,VLOOKUP(C209,КФСР!A91:B1603,2),IF(D209&gt;0,VLOOKUP(D209,Программа!A$1:B$5124,2),IF(F209&gt;0,VLOOKUP(F209,КВР!A$1:B$5001,2),IF(E209&gt;0,VLOOKUP(E209,Направление!A$1:B$4812,2))))))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14"/>
      <c r="C209" s="109"/>
      <c r="D209" s="110"/>
      <c r="E209" s="109">
        <v>29856</v>
      </c>
      <c r="F209" s="111"/>
      <c r="G209" s="374">
        <v>5875000</v>
      </c>
      <c r="H209" s="369">
        <f t="shared" si="143"/>
        <v>0</v>
      </c>
      <c r="I209" s="369">
        <f t="shared" si="134"/>
        <v>5875000</v>
      </c>
      <c r="J209" s="286">
        <v>1500000</v>
      </c>
      <c r="K209" s="286">
        <f t="shared" si="144"/>
        <v>0</v>
      </c>
      <c r="L209" s="286">
        <f t="shared" si="144"/>
        <v>0</v>
      </c>
    </row>
    <row r="210" spans="1:12" ht="63" x14ac:dyDescent="0.2">
      <c r="A210" s="113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IF(B210&gt;0,VLOOKUP(B210,КВСР!A92:B1257,2),IF(C210&gt;0,VLOOKUP(C210,КФСР!A92:B1604,2),IF(D210&gt;0,VLOOKUP(D210,Программа!A$1:B$5124,2),IF(F210&gt;0,VLOOKUP(F210,КВР!A$1:B$5001,2),IF(E210&gt;0,VLOOKUP(E210,Направление!A$1:B$4812,2))))))</f>
        <v xml:space="preserve">Закупка товаров, работ и услуг для обеспечения государственных (муниципальных) нужд
</v>
      </c>
      <c r="B210" s="114"/>
      <c r="C210" s="109"/>
      <c r="D210" s="110"/>
      <c r="E210" s="109"/>
      <c r="F210" s="111">
        <v>200</v>
      </c>
      <c r="G210" s="369">
        <v>4375000</v>
      </c>
      <c r="H210" s="369"/>
      <c r="I210" s="369">
        <f t="shared" si="134"/>
        <v>4375000</v>
      </c>
      <c r="J210" s="369"/>
      <c r="K210" s="286"/>
      <c r="L210" s="286">
        <f t="shared" si="135"/>
        <v>0</v>
      </c>
    </row>
    <row r="211" spans="1:12" ht="31.5" x14ac:dyDescent="0.2">
      <c r="A211" s="113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IF(B211&gt;0,VLOOKUP(B211,КВСР!A71:B1236,2),IF(C211&gt;0,VLOOKUP(C211,КФСР!A71:B1583,2),IF(D211&gt;0,VLOOKUP(D211,Программа!A$1:B$5124,2),IF(F211&gt;0,VLOOKUP(F211,КВР!A$1:B$5001,2),IF(E211&gt;0,VLOOKUP(E211,Направление!A$1:B$4812,2))))))</f>
        <v>Другие вопросы в области охраны окружающей среды</v>
      </c>
      <c r="B211" s="114"/>
      <c r="C211" s="109">
        <v>605</v>
      </c>
      <c r="D211" s="110"/>
      <c r="E211" s="109"/>
      <c r="F211" s="111"/>
      <c r="G211" s="369">
        <v>2936113</v>
      </c>
      <c r="H211" s="369">
        <f t="shared" ref="H211:L216" si="147">H212</f>
        <v>0</v>
      </c>
      <c r="I211" s="369">
        <f t="shared" si="147"/>
        <v>2936113</v>
      </c>
      <c r="J211" s="369">
        <v>6359412</v>
      </c>
      <c r="K211" s="369">
        <f t="shared" si="147"/>
        <v>0</v>
      </c>
      <c r="L211" s="369">
        <f t="shared" si="147"/>
        <v>6359412</v>
      </c>
    </row>
    <row r="212" spans="1:12" ht="63" x14ac:dyDescent="0.2">
      <c r="A212" s="113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IF(B212&gt;0,VLOOKUP(B212,КВСР!A72:B1237,2),IF(C212&gt;0,VLOOKUP(C212,КФСР!A72:B1584,2),IF(D212&gt;0,VLOOKUP(D212,Программа!A$1:B$5124,2),IF(F212&gt;0,VLOOKUP(F212,КВР!A$1:B$5001,2),IF(E212&gt;0,VLOOKUP(E212,Направление!A$1:B$4812,2))))))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14"/>
      <c r="C212" s="109"/>
      <c r="D212" s="110" t="s">
        <v>1026</v>
      </c>
      <c r="E212" s="109"/>
      <c r="F212" s="111"/>
      <c r="G212" s="369">
        <v>2936113</v>
      </c>
      <c r="H212" s="369">
        <f t="shared" si="147"/>
        <v>0</v>
      </c>
      <c r="I212" s="369">
        <f t="shared" si="147"/>
        <v>2936113</v>
      </c>
      <c r="J212" s="369">
        <v>6359412</v>
      </c>
      <c r="K212" s="369">
        <f t="shared" si="147"/>
        <v>0</v>
      </c>
      <c r="L212" s="369">
        <f t="shared" si="147"/>
        <v>6359412</v>
      </c>
    </row>
    <row r="213" spans="1:12" ht="63" x14ac:dyDescent="0.2">
      <c r="A213" s="113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IF(B213&gt;0,VLOOKUP(B213,КВСР!A73:B1238,2),IF(C213&gt;0,VLOOKUP(C213,КФСР!A73:B1585,2),IF(D213&gt;0,VLOOKUP(D213,Программа!A$1:B$5124,2),IF(F213&gt;0,VLOOKUP(F213,КВР!A$1:B$5001,2),IF(E213&gt;0,VLOOKUP(E213,Направление!A$1:B$4812,2))))))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14"/>
      <c r="C213" s="109"/>
      <c r="D213" s="110" t="s">
        <v>1067</v>
      </c>
      <c r="E213" s="109"/>
      <c r="F213" s="111"/>
      <c r="G213" s="369">
        <v>2936113</v>
      </c>
      <c r="H213" s="369">
        <f>H216+H218+H214</f>
        <v>0</v>
      </c>
      <c r="I213" s="369">
        <f>I216+I218+I214</f>
        <v>2936113</v>
      </c>
      <c r="J213" s="369">
        <v>6359412</v>
      </c>
      <c r="K213" s="369">
        <f t="shared" ref="K213:L213" si="148">K216+K218+K214</f>
        <v>0</v>
      </c>
      <c r="L213" s="369">
        <f t="shared" si="148"/>
        <v>6359412</v>
      </c>
    </row>
    <row r="214" spans="1:12" ht="31.5" x14ac:dyDescent="0.2">
      <c r="A214" s="113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IF(B214&gt;0,VLOOKUP(B214,КВСР!A74:B1239,2),IF(C214&gt;0,VLOOKUP(C214,КФСР!A74:B1586,2),IF(D214&gt;0,VLOOKUP(D214,Программа!A$1:B$5124,2),IF(F214&gt;0,VLOOKUP(F214,КВР!A$1:B$5001,2),IF(E214&gt;0,VLOOKUP(E214,Направление!A$1:B$4812,2))))))</f>
        <v>Расходы на природоохранные мероприятия</v>
      </c>
      <c r="B214" s="114"/>
      <c r="C214" s="109"/>
      <c r="D214" s="110"/>
      <c r="E214" s="109">
        <v>10600</v>
      </c>
      <c r="F214" s="111"/>
      <c r="G214" s="369">
        <v>2464048</v>
      </c>
      <c r="H214" s="369">
        <f t="shared" ref="H214:L214" si="149">H215</f>
        <v>0</v>
      </c>
      <c r="I214" s="369">
        <f t="shared" si="149"/>
        <v>2464048</v>
      </c>
      <c r="J214" s="369">
        <v>5887347</v>
      </c>
      <c r="K214" s="369">
        <f t="shared" si="149"/>
        <v>0</v>
      </c>
      <c r="L214" s="369">
        <f t="shared" si="149"/>
        <v>5887347</v>
      </c>
    </row>
    <row r="215" spans="1:12" ht="63" x14ac:dyDescent="0.2">
      <c r="A215" s="113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IF(B215&gt;0,VLOOKUP(B215,КВСР!A75:B1240,2),IF(C215&gt;0,VLOOKUP(C215,КФСР!A75:B1587,2),IF(D215&gt;0,VLOOKUP(D215,Программа!A$1:B$5124,2),IF(F215&gt;0,VLOOKUP(F215,КВР!A$1:B$5001,2),IF(E215&gt;0,VLOOKUP(E215,Направление!A$1:B$4812,2))))))</f>
        <v xml:space="preserve">Закупка товаров, работ и услуг для обеспечения государственных (муниципальных) нужд
</v>
      </c>
      <c r="B215" s="114"/>
      <c r="C215" s="109"/>
      <c r="D215" s="110"/>
      <c r="E215" s="109"/>
      <c r="F215" s="111">
        <v>200</v>
      </c>
      <c r="G215" s="369">
        <v>2464048</v>
      </c>
      <c r="H215" s="369"/>
      <c r="I215" s="369">
        <f>G215+H215</f>
        <v>2464048</v>
      </c>
      <c r="J215" s="369">
        <v>5887347</v>
      </c>
      <c r="K215" s="369"/>
      <c r="L215" s="286">
        <f>K215+J215</f>
        <v>5887347</v>
      </c>
    </row>
    <row r="216" spans="1:12" ht="31.5" x14ac:dyDescent="0.2">
      <c r="A216" s="113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IF(B216&gt;0,VLOOKUP(B216,КВСР!A75:B1240,2),IF(C216&gt;0,VLOOKUP(C216,КФСР!A75:B1587,2),IF(D216&gt;0,VLOOKUP(D216,Программа!A$1:B$5124,2),IF(F216&gt;0,VLOOKUP(F216,КВР!A$1:B$5001,2),IF(E216&gt;0,VLOOKUP(E216,Направление!A$1:B$4812,2))))))</f>
        <v>Расходы на реализацию мероприятий по борьбе с борщевиком Сосновского</v>
      </c>
      <c r="B216" s="114"/>
      <c r="C216" s="109"/>
      <c r="D216" s="110"/>
      <c r="E216" s="109">
        <v>16900</v>
      </c>
      <c r="F216" s="111"/>
      <c r="G216" s="369">
        <v>25000</v>
      </c>
      <c r="H216" s="369">
        <f t="shared" si="147"/>
        <v>0</v>
      </c>
      <c r="I216" s="369">
        <f t="shared" si="147"/>
        <v>25000</v>
      </c>
      <c r="J216" s="369">
        <v>25000</v>
      </c>
      <c r="K216" s="369">
        <f t="shared" si="147"/>
        <v>0</v>
      </c>
      <c r="L216" s="369">
        <f t="shared" si="147"/>
        <v>25000</v>
      </c>
    </row>
    <row r="217" spans="1:12" ht="63" x14ac:dyDescent="0.2">
      <c r="A217" s="113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IF(B217&gt;0,VLOOKUP(B217,КВСР!A76:B1241,2),IF(C217&gt;0,VLOOKUP(C217,КФСР!A76:B1588,2),IF(D217&gt;0,VLOOKUP(D217,Программа!A$1:B$5124,2),IF(F217&gt;0,VLOOKUP(F217,КВР!A$1:B$5001,2),IF(E217&gt;0,VLOOKUP(E217,Направление!A$1:B$4812,2))))))</f>
        <v xml:space="preserve">Закупка товаров, работ и услуг для обеспечения государственных (муниципальных) нужд
</v>
      </c>
      <c r="B217" s="114"/>
      <c r="C217" s="109"/>
      <c r="D217" s="110"/>
      <c r="E217" s="109"/>
      <c r="F217" s="111">
        <v>200</v>
      </c>
      <c r="G217" s="369">
        <v>25000</v>
      </c>
      <c r="H217" s="369"/>
      <c r="I217" s="369">
        <f>G217+H217</f>
        <v>25000</v>
      </c>
      <c r="J217" s="369">
        <v>25000</v>
      </c>
      <c r="K217" s="286"/>
      <c r="L217" s="286">
        <f>K217+J217</f>
        <v>25000</v>
      </c>
    </row>
    <row r="218" spans="1:12" ht="47.25" x14ac:dyDescent="0.2">
      <c r="A218" s="113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IF(B218&gt;0,VLOOKUP(B218,КВСР!A81:B1246,2),IF(C218&gt;0,VLOOKUP(C218,КФСР!A81:B1593,2),IF(D218&gt;0,VLOOKUP(D218,Программа!A$1:B$5124,2),IF(F218&gt;0,VLOOKUP(F218,КВР!A$1:B$5001,2),IF(E218&gt;0,VLOOKUP(E218,Направление!A$1:B$4812,2))))))</f>
        <v>Расходы на реализацию мероприятий по борьбе с борщевиком Сосновского на территории Ярославской области</v>
      </c>
      <c r="B218" s="114"/>
      <c r="C218" s="109"/>
      <c r="D218" s="110"/>
      <c r="E218" s="109">
        <v>76900</v>
      </c>
      <c r="F218" s="111"/>
      <c r="G218" s="369">
        <v>447065</v>
      </c>
      <c r="H218" s="369">
        <f t="shared" ref="H218:L218" si="150">H219</f>
        <v>0</v>
      </c>
      <c r="I218" s="369">
        <f t="shared" si="150"/>
        <v>447065</v>
      </c>
      <c r="J218" s="369">
        <v>447065</v>
      </c>
      <c r="K218" s="286">
        <f t="shared" si="150"/>
        <v>0</v>
      </c>
      <c r="L218" s="286">
        <f t="shared" si="150"/>
        <v>447065</v>
      </c>
    </row>
    <row r="219" spans="1:12" ht="63" x14ac:dyDescent="0.2">
      <c r="A219" s="113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IF(B219&gt;0,VLOOKUP(B219,КВСР!A82:B1247,2),IF(C219&gt;0,VLOOKUP(C219,КФСР!A82:B1594,2),IF(D219&gt;0,VLOOKUP(D219,Программа!A$1:B$5124,2),IF(F219&gt;0,VLOOKUP(F219,КВР!A$1:B$5001,2),IF(E219&gt;0,VLOOKUP(E219,Направление!A$1:B$4812,2))))))</f>
        <v xml:space="preserve">Закупка товаров, работ и услуг для обеспечения государственных (муниципальных) нужд
</v>
      </c>
      <c r="B219" s="114"/>
      <c r="C219" s="109"/>
      <c r="D219" s="110"/>
      <c r="E219" s="109"/>
      <c r="F219" s="111">
        <v>200</v>
      </c>
      <c r="G219" s="369">
        <v>447065</v>
      </c>
      <c r="H219" s="369"/>
      <c r="I219" s="369">
        <f>G219+H219</f>
        <v>447065</v>
      </c>
      <c r="J219" s="369">
        <v>447065</v>
      </c>
      <c r="K219" s="286"/>
      <c r="L219" s="286">
        <f>J219+K219</f>
        <v>447065</v>
      </c>
    </row>
    <row r="220" spans="1:12" ht="15.75" x14ac:dyDescent="0.2">
      <c r="A220" s="113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IF(B220&gt;0,VLOOKUP(B220,КВСР!A83:B1248,2),IF(C220&gt;0,VLOOKUP(C220,КФСР!A83:B1595,2),IF(D220&gt;0,VLOOKUP(D220,Программа!A$1:B$5124,2),IF(F220&gt;0,VLOOKUP(F220,КВР!A$1:B$5001,2),IF(E220&gt;0,VLOOKUP(E220,Направление!A$1:B$4812,2))))))</f>
        <v>Массовый спорт</v>
      </c>
      <c r="B220" s="114"/>
      <c r="C220" s="109">
        <v>1102</v>
      </c>
      <c r="D220" s="110"/>
      <c r="E220" s="109"/>
      <c r="F220" s="111"/>
      <c r="G220" s="369">
        <v>16000000</v>
      </c>
      <c r="H220" s="369">
        <f>H221</f>
        <v>0</v>
      </c>
      <c r="I220" s="369">
        <f t="shared" ref="H220:I227" si="151">I221</f>
        <v>16000000</v>
      </c>
      <c r="J220" s="369">
        <v>268236880</v>
      </c>
      <c r="K220" s="369">
        <f t="shared" ref="K220:K227" si="152">K221</f>
        <v>0</v>
      </c>
      <c r="L220" s="369">
        <f t="shared" ref="L220:L227" si="153">L221</f>
        <v>268236880</v>
      </c>
    </row>
    <row r="221" spans="1:12" ht="63" x14ac:dyDescent="0.2">
      <c r="A221" s="113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21" s="114"/>
      <c r="C221" s="109"/>
      <c r="D221" s="110" t="s">
        <v>367</v>
      </c>
      <c r="E221" s="109"/>
      <c r="F221" s="111"/>
      <c r="G221" s="369">
        <v>16000000</v>
      </c>
      <c r="H221" s="369">
        <f t="shared" si="151"/>
        <v>0</v>
      </c>
      <c r="I221" s="369">
        <f t="shared" si="151"/>
        <v>16000000</v>
      </c>
      <c r="J221" s="369">
        <v>268236880</v>
      </c>
      <c r="K221" s="369">
        <f t="shared" si="152"/>
        <v>0</v>
      </c>
      <c r="L221" s="369">
        <f t="shared" si="153"/>
        <v>268236880</v>
      </c>
    </row>
    <row r="222" spans="1:12" ht="47.25" x14ac:dyDescent="0.2">
      <c r="A222" s="113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222" s="114"/>
      <c r="C222" s="109"/>
      <c r="D222" s="110" t="s">
        <v>386</v>
      </c>
      <c r="E222" s="109"/>
      <c r="F222" s="111"/>
      <c r="G222" s="369">
        <v>16000000</v>
      </c>
      <c r="H222" s="369">
        <f>H226+H223</f>
        <v>0</v>
      </c>
      <c r="I222" s="369">
        <f t="shared" ref="I222:L222" si="154">I226+I223</f>
        <v>16000000</v>
      </c>
      <c r="J222" s="369">
        <f t="shared" si="154"/>
        <v>268236880</v>
      </c>
      <c r="K222" s="369">
        <f t="shared" si="154"/>
        <v>0</v>
      </c>
      <c r="L222" s="369">
        <f t="shared" si="154"/>
        <v>268236880</v>
      </c>
    </row>
    <row r="223" spans="1:12" ht="47.25" x14ac:dyDescent="0.2">
      <c r="A223" s="113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IF(B223&gt;0,VLOOKUP(B223,КВСР!A86:B1251,2),IF(C223&gt;0,VLOOKUP(C223,КФСР!A86:B1598,2),IF(D223&gt;0,VLOOKUP(D223,Программа!A$1:B$5124,2),IF(F223&gt;0,VLOOKUP(F223,КВР!A$1:B$5001,2),IF(E223&gt;0,VLOOKUP(E223,Направление!A$1:B$4812,2))))))</f>
        <v>Строительство и реконструкция спортивных сооружений и укрепление материальной базы</v>
      </c>
      <c r="B223" s="114"/>
      <c r="C223" s="109"/>
      <c r="D223" s="110" t="s">
        <v>387</v>
      </c>
      <c r="E223" s="109"/>
      <c r="F223" s="111"/>
      <c r="G223" s="369">
        <v>16000000</v>
      </c>
      <c r="H223" s="369">
        <f t="shared" ref="H223:L224" si="155">H224</f>
        <v>0</v>
      </c>
      <c r="I223" s="369">
        <f t="shared" si="155"/>
        <v>16000000</v>
      </c>
      <c r="J223" s="369">
        <f t="shared" si="155"/>
        <v>0</v>
      </c>
      <c r="K223" s="369">
        <f t="shared" si="155"/>
        <v>0</v>
      </c>
      <c r="L223" s="369">
        <f t="shared" si="155"/>
        <v>0</v>
      </c>
    </row>
    <row r="224" spans="1:12" ht="47.25" x14ac:dyDescent="0.2">
      <c r="A224" s="113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IF(B224&gt;0,VLOOKUP(B224,КВСР!A87:B1252,2),IF(C224&gt;0,VLOOKUP(C224,КФСР!A87:B1599,2),IF(D224&gt;0,VLOOKUP(D224,Программа!A$1:B$5124,2),IF(F224&gt;0,VLOOKUP(F224,КВР!A$1:B$5001,2),IF(E224&gt;0,VLOOKUP(E224,Направление!A$1:B$4812,2))))))</f>
        <v>Мероприятия по строительству, реконструкции и ремонту спортивных объектов</v>
      </c>
      <c r="B224" s="114"/>
      <c r="C224" s="109"/>
      <c r="D224" s="110"/>
      <c r="E224" s="109">
        <v>14100</v>
      </c>
      <c r="F224" s="111"/>
      <c r="G224" s="369">
        <v>16000000</v>
      </c>
      <c r="H224" s="369">
        <f t="shared" si="155"/>
        <v>0</v>
      </c>
      <c r="I224" s="369">
        <f t="shared" si="155"/>
        <v>16000000</v>
      </c>
      <c r="J224" s="369">
        <f t="shared" si="155"/>
        <v>0</v>
      </c>
      <c r="K224" s="369">
        <f t="shared" si="155"/>
        <v>0</v>
      </c>
      <c r="L224" s="369">
        <f t="shared" si="155"/>
        <v>0</v>
      </c>
    </row>
    <row r="225" spans="1:12" ht="47.25" x14ac:dyDescent="0.2">
      <c r="A225" s="113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IF(B225&gt;0,VLOOKUP(B225,КВСР!A88:B1253,2),IF(C225&gt;0,VLOOKUP(C225,КФСР!A88:B1600,2),IF(D225&gt;0,VLOOKUP(D225,Программа!A$1:B$5124,2),IF(F225&gt;0,VLOOKUP(F225,КВР!A$1:B$5001,2),IF(E225&gt;0,VLOOKUP(E225,Направление!A$1:B$4812,2))))))</f>
        <v>Капитальные вложения в объекты государственной (муниципальной) собственности</v>
      </c>
      <c r="B225" s="114"/>
      <c r="C225" s="109"/>
      <c r="D225" s="110"/>
      <c r="E225" s="109"/>
      <c r="F225" s="111">
        <v>400</v>
      </c>
      <c r="G225" s="369">
        <v>16000000</v>
      </c>
      <c r="H225" s="369"/>
      <c r="I225" s="369">
        <f>G225+H225</f>
        <v>16000000</v>
      </c>
      <c r="J225" s="369"/>
      <c r="K225" s="369"/>
      <c r="L225" s="286">
        <f>J225+K225</f>
        <v>0</v>
      </c>
    </row>
    <row r="226" spans="1:12" ht="31.5" x14ac:dyDescent="0.2">
      <c r="A226" s="113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IF(B226&gt;0,VLOOKUP(B226,КВСР!A86:B1251,2),IF(C226&gt;0,VLOOKUP(C226,КФСР!A86:B1598,2),IF(D226&gt;0,VLOOKUP(D226,Программа!A$1:B$5124,2),IF(F226&gt;0,VLOOKUP(F226,КВР!A$1:B$5001,2),IF(E226&gt;0,VLOOKUP(E226,Направление!A$1:B$4812,2))))))</f>
        <v>Региональный проект "Спорт – норма жизни"</v>
      </c>
      <c r="B226" s="114"/>
      <c r="C226" s="109"/>
      <c r="D226" s="110" t="s">
        <v>1659</v>
      </c>
      <c r="E226" s="109"/>
      <c r="F226" s="111"/>
      <c r="G226" s="369">
        <v>0</v>
      </c>
      <c r="H226" s="369">
        <f t="shared" si="151"/>
        <v>0</v>
      </c>
      <c r="I226" s="369">
        <f t="shared" si="151"/>
        <v>0</v>
      </c>
      <c r="J226" s="369">
        <v>268236880</v>
      </c>
      <c r="K226" s="369">
        <f t="shared" si="152"/>
        <v>0</v>
      </c>
      <c r="L226" s="369">
        <f t="shared" si="153"/>
        <v>268236880</v>
      </c>
    </row>
    <row r="227" spans="1:12" ht="63" x14ac:dyDescent="0.2">
      <c r="A227" s="113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IF(B227&gt;0,VLOOKUP(B227,КВСР!A87:B1252,2),IF(C227&gt;0,VLOOKUP(C227,КФСР!A87:B1599,2),IF(D227&gt;0,VLOOKUP(D227,Программа!A$1:B$5124,2),IF(F227&gt;0,VLOOKUP(F227,КВР!A$1:B$5001,2),IF(E227&gt;0,VLOOKUP(E227,Направление!A$1:B$4812,2))))))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14"/>
      <c r="C227" s="109"/>
      <c r="D227" s="110"/>
      <c r="E227" s="109">
        <v>51390</v>
      </c>
      <c r="F227" s="111"/>
      <c r="G227" s="369">
        <v>0</v>
      </c>
      <c r="H227" s="369">
        <f t="shared" si="151"/>
        <v>0</v>
      </c>
      <c r="I227" s="369">
        <f t="shared" si="151"/>
        <v>0</v>
      </c>
      <c r="J227" s="369">
        <v>268236880</v>
      </c>
      <c r="K227" s="369">
        <f t="shared" si="152"/>
        <v>0</v>
      </c>
      <c r="L227" s="369">
        <f t="shared" si="153"/>
        <v>268236880</v>
      </c>
    </row>
    <row r="228" spans="1:12" ht="47.25" x14ac:dyDescent="0.2">
      <c r="A228" s="113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IF(B228&gt;0,VLOOKUP(B228,КВСР!A88:B1253,2),IF(C228&gt;0,VLOOKUP(C228,КФСР!A88:B1600,2),IF(D228&gt;0,VLOOKUP(D228,Программа!A$1:B$5124,2),IF(F228&gt;0,VLOOKUP(F228,КВР!A$1:B$5001,2),IF(E228&gt;0,VLOOKUP(E228,Направление!A$1:B$4812,2))))))</f>
        <v>Капитальные вложения в объекты государственной (муниципальной) собственности</v>
      </c>
      <c r="B228" s="114"/>
      <c r="C228" s="109"/>
      <c r="D228" s="110"/>
      <c r="E228" s="109"/>
      <c r="F228" s="111">
        <v>400</v>
      </c>
      <c r="G228" s="369">
        <v>0</v>
      </c>
      <c r="H228" s="369"/>
      <c r="I228" s="369">
        <f>G228+H228</f>
        <v>0</v>
      </c>
      <c r="J228" s="369">
        <v>268236880</v>
      </c>
      <c r="K228" s="286"/>
      <c r="L228" s="286">
        <f>J228+K228</f>
        <v>268236880</v>
      </c>
    </row>
    <row r="229" spans="1:12" ht="15.75" x14ac:dyDescent="0.2">
      <c r="A229" s="113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IF(B229&gt;0,VLOOKUP(B229,КВСР!A89:B1254,2),IF(C229&gt;0,VLOOKUP(C229,КФСР!A89:B1601,2),IF(D229&gt;0,VLOOKUP(D229,Программа!A$1:B$5124,2),IF(F229&gt;0,VLOOKUP(F229,КВР!A$1:B$5001,2),IF(E229&gt;0,VLOOKUP(E229,Направление!A$1:B$4812,2))))))</f>
        <v>Периодическая печать и издательства</v>
      </c>
      <c r="B229" s="114"/>
      <c r="C229" s="109">
        <v>1202</v>
      </c>
      <c r="D229" s="110"/>
      <c r="E229" s="109"/>
      <c r="F229" s="111"/>
      <c r="G229" s="369">
        <v>2500000</v>
      </c>
      <c r="H229" s="369">
        <f t="shared" ref="H229:I231" si="156">H230</f>
        <v>0</v>
      </c>
      <c r="I229" s="369">
        <f t="shared" si="156"/>
        <v>2500000</v>
      </c>
      <c r="J229" s="369">
        <v>0</v>
      </c>
      <c r="K229" s="369">
        <f t="shared" ref="K229:K231" si="157">K230</f>
        <v>0</v>
      </c>
      <c r="L229" s="369">
        <f t="shared" ref="L229:L231" si="158">L230</f>
        <v>0</v>
      </c>
    </row>
    <row r="230" spans="1:12" ht="15.75" x14ac:dyDescent="0.2">
      <c r="A230" s="113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IF(B230&gt;0,VLOOKUP(B230,КВСР!A90:B1255,2),IF(C230&gt;0,VLOOKUP(C230,КФСР!A90:B1602,2),IF(D230&gt;0,VLOOKUP(D230,Программа!A$1:B$5124,2),IF(F230&gt;0,VLOOKUP(F230,КВР!A$1:B$5001,2),IF(E230&gt;0,VLOOKUP(E230,Направление!A$1:B$4812,2))))))</f>
        <v>Непрограммные расходы бюджета</v>
      </c>
      <c r="B230" s="114"/>
      <c r="C230" s="109"/>
      <c r="D230" s="110" t="s">
        <v>311</v>
      </c>
      <c r="E230" s="109"/>
      <c r="F230" s="111"/>
      <c r="G230" s="369">
        <v>2500000</v>
      </c>
      <c r="H230" s="369">
        <f t="shared" si="156"/>
        <v>0</v>
      </c>
      <c r="I230" s="369">
        <f t="shared" si="156"/>
        <v>2500000</v>
      </c>
      <c r="J230" s="369">
        <v>0</v>
      </c>
      <c r="K230" s="369">
        <f t="shared" si="157"/>
        <v>0</v>
      </c>
      <c r="L230" s="369">
        <f t="shared" si="158"/>
        <v>0</v>
      </c>
    </row>
    <row r="231" spans="1:12" ht="15.75" x14ac:dyDescent="0.2">
      <c r="A231" s="113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IF(B231&gt;0,VLOOKUP(B231,КВСР!A91:B1256,2),IF(C231&gt;0,VLOOKUP(C231,КФСР!A91:B1603,2),IF(D231&gt;0,VLOOKUP(D231,Программа!A$1:B$5124,2),IF(F231&gt;0,VLOOKUP(F231,КВР!A$1:B$5001,2),IF(E231&gt;0,VLOOKUP(E231,Направление!A$1:B$4812,2))))))</f>
        <v xml:space="preserve">Поддержка периодических изданий </v>
      </c>
      <c r="B231" s="114"/>
      <c r="C231" s="109"/>
      <c r="D231" s="110"/>
      <c r="E231" s="109">
        <v>12750</v>
      </c>
      <c r="F231" s="111"/>
      <c r="G231" s="369">
        <v>2500000</v>
      </c>
      <c r="H231" s="369">
        <f t="shared" si="156"/>
        <v>0</v>
      </c>
      <c r="I231" s="369">
        <f t="shared" si="156"/>
        <v>2500000</v>
      </c>
      <c r="J231" s="369">
        <v>0</v>
      </c>
      <c r="K231" s="369">
        <f t="shared" si="157"/>
        <v>0</v>
      </c>
      <c r="L231" s="369">
        <f t="shared" si="158"/>
        <v>0</v>
      </c>
    </row>
    <row r="232" spans="1:12" ht="47.25" x14ac:dyDescent="0.2">
      <c r="A232" s="113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IF(B232&gt;0,VLOOKUP(B232,КВСР!A92:B1257,2),IF(C232&gt;0,VLOOKUP(C232,КФСР!A92:B1604,2),IF(D232&gt;0,VLOOKUP(D232,Программа!A$1:B$5124,2),IF(F232&gt;0,VLOOKUP(F232,КВР!A$1:B$5001,2),IF(E232&gt;0,VLOOKUP(E232,Направление!A$1:B$4812,2))))))</f>
        <v>Предоставление субсидий бюджетным, автономным учреждениям и иным некоммерческим организациям</v>
      </c>
      <c r="B232" s="114"/>
      <c r="C232" s="109"/>
      <c r="D232" s="110"/>
      <c r="E232" s="109"/>
      <c r="F232" s="111">
        <v>600</v>
      </c>
      <c r="G232" s="369">
        <v>2500000</v>
      </c>
      <c r="H232" s="369"/>
      <c r="I232" s="369">
        <f>G232+H232</f>
        <v>2500000</v>
      </c>
      <c r="J232" s="369">
        <v>0</v>
      </c>
      <c r="K232" s="286"/>
      <c r="L232" s="286">
        <f>J232+K232</f>
        <v>0</v>
      </c>
    </row>
    <row r="233" spans="1:12" ht="31.5" x14ac:dyDescent="0.2">
      <c r="A233" s="107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IF(B233&gt;0,VLOOKUP(B233,КВСР!A51:B1216,2),IF(C233&gt;0,VLOOKUP(C233,КФСР!A51:B1563,2),IF(D233&gt;0,VLOOKUP(D233,Программа!A$1:B$5124,2),IF(F233&gt;0,VLOOKUP(F233,КВР!A$1:B$5001,2),IF(E233&gt;0,VLOOKUP(E233,Направление!A$1:B$4812,2))))))</f>
        <v>Департамент муниципального имущества Администрации ТМР</v>
      </c>
      <c r="B233" s="108">
        <v>952</v>
      </c>
      <c r="C233" s="109"/>
      <c r="D233" s="110"/>
      <c r="E233" s="109"/>
      <c r="F233" s="111"/>
      <c r="G233" s="372">
        <v>7730000</v>
      </c>
      <c r="H233" s="372">
        <f t="shared" ref="H233:L233" si="159">H234+H253+H259</f>
        <v>0</v>
      </c>
      <c r="I233" s="372">
        <f t="shared" si="159"/>
        <v>7730000</v>
      </c>
      <c r="J233" s="372">
        <v>1380000</v>
      </c>
      <c r="K233" s="368">
        <f t="shared" si="159"/>
        <v>0</v>
      </c>
      <c r="L233" s="368">
        <f t="shared" si="159"/>
        <v>1380000</v>
      </c>
    </row>
    <row r="234" spans="1:12" ht="15.75" x14ac:dyDescent="0.2">
      <c r="A234" s="113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IF(B234&gt;0,VLOOKUP(B234,КВСР!A52:B1217,2),IF(C234&gt;0,VLOOKUP(C234,КФСР!A52:B1564,2),IF(D234&gt;0,VLOOKUP(D234,Программа!A$1:B$5124,2),IF(F234&gt;0,VLOOKUP(F234,КВР!A$1:B$5001,2),IF(E234&gt;0,VLOOKUP(E234,Направление!A$1:B$4812,2))))))</f>
        <v>Другие общегосударственные вопросы</v>
      </c>
      <c r="B234" s="114"/>
      <c r="C234" s="109">
        <v>113</v>
      </c>
      <c r="D234" s="110"/>
      <c r="E234" s="109"/>
      <c r="F234" s="111"/>
      <c r="G234" s="369">
        <v>6780000</v>
      </c>
      <c r="H234" s="369">
        <f t="shared" ref="H234:K234" si="160">H239+H235</f>
        <v>0</v>
      </c>
      <c r="I234" s="369">
        <f t="shared" si="160"/>
        <v>6780000</v>
      </c>
      <c r="J234" s="369">
        <v>550000</v>
      </c>
      <c r="K234" s="286">
        <f t="shared" si="160"/>
        <v>0</v>
      </c>
      <c r="L234" s="286">
        <f>L239+L235</f>
        <v>550000</v>
      </c>
    </row>
    <row r="235" spans="1:12" ht="63" x14ac:dyDescent="0.2">
      <c r="A235" s="113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14"/>
      <c r="C235" s="109"/>
      <c r="D235" s="110" t="s">
        <v>326</v>
      </c>
      <c r="E235" s="109"/>
      <c r="F235" s="111"/>
      <c r="G235" s="369">
        <v>150000</v>
      </c>
      <c r="H235" s="369">
        <f t="shared" ref="H235:L236" si="161">H236</f>
        <v>0</v>
      </c>
      <c r="I235" s="369">
        <f t="shared" si="161"/>
        <v>150000</v>
      </c>
      <c r="J235" s="369">
        <v>0</v>
      </c>
      <c r="K235" s="286">
        <f t="shared" si="161"/>
        <v>0</v>
      </c>
      <c r="L235" s="286">
        <f>L236</f>
        <v>0</v>
      </c>
    </row>
    <row r="236" spans="1:12" ht="31.5" x14ac:dyDescent="0.2">
      <c r="A236" s="113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IF(B236&gt;0,VLOOKUP(B236,КВСР!A54:B1219,2),IF(C236&gt;0,VLOOKUP(C236,КФСР!A54:B1566,2),IF(D236&gt;0,VLOOKUP(D236,Программа!A$1:B$5124,2),IF(F236&gt;0,VLOOKUP(F236,КВР!A$1:B$5001,2),IF(E236&gt;0,VLOOKUP(E236,Направление!A$1:B$4812,2))))))</f>
        <v>Бесперебойное функционирование информационных систем</v>
      </c>
      <c r="B236" s="114"/>
      <c r="C236" s="109"/>
      <c r="D236" s="110" t="s">
        <v>360</v>
      </c>
      <c r="E236" s="109"/>
      <c r="F236" s="111"/>
      <c r="G236" s="369">
        <v>150000</v>
      </c>
      <c r="H236" s="369">
        <f t="shared" si="161"/>
        <v>0</v>
      </c>
      <c r="I236" s="369">
        <f t="shared" si="161"/>
        <v>150000</v>
      </c>
      <c r="J236" s="369">
        <v>0</v>
      </c>
      <c r="K236" s="286">
        <f t="shared" si="161"/>
        <v>0</v>
      </c>
      <c r="L236" s="286">
        <f t="shared" si="161"/>
        <v>0</v>
      </c>
    </row>
    <row r="237" spans="1:12" ht="31.5" x14ac:dyDescent="0.2">
      <c r="A237" s="113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IF(B237&gt;0,VLOOKUP(B237,КВСР!A55:B1220,2),IF(C237&gt;0,VLOOKUP(C237,КФСР!A55:B1567,2),IF(D237&gt;0,VLOOKUP(D237,Программа!A$1:B$5124,2),IF(F237&gt;0,VLOOKUP(F237,КВР!A$1:B$5001,2),IF(E237&gt;0,VLOOKUP(E237,Направление!A$1:B$4812,2))))))</f>
        <v>Расходы на проведение мероприятий по информатизации</v>
      </c>
      <c r="B237" s="114"/>
      <c r="C237" s="109"/>
      <c r="D237" s="110"/>
      <c r="E237" s="109">
        <v>12210</v>
      </c>
      <c r="F237" s="111"/>
      <c r="G237" s="369">
        <v>150000</v>
      </c>
      <c r="H237" s="369">
        <f t="shared" ref="H237:L237" si="162">H238</f>
        <v>0</v>
      </c>
      <c r="I237" s="369">
        <f t="shared" si="162"/>
        <v>150000</v>
      </c>
      <c r="J237" s="369">
        <v>0</v>
      </c>
      <c r="K237" s="286">
        <f t="shared" si="162"/>
        <v>0</v>
      </c>
      <c r="L237" s="286">
        <f t="shared" si="162"/>
        <v>0</v>
      </c>
    </row>
    <row r="238" spans="1:12" ht="63" x14ac:dyDescent="0.2">
      <c r="A238" s="113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IF(B238&gt;0,VLOOKUP(B238,КВСР!A56:B1221,2),IF(C238&gt;0,VLOOKUP(C238,КФСР!A56:B1568,2),IF(D238&gt;0,VLOOKUP(D238,Программа!A$1:B$5124,2),IF(F238&gt;0,VLOOKUP(F238,КВР!A$1:B$5001,2),IF(E238&gt;0,VLOOKUP(E238,Направление!A$1:B$4812,2))))))</f>
        <v xml:space="preserve">Закупка товаров, работ и услуг для обеспечения государственных (муниципальных) нужд
</v>
      </c>
      <c r="B238" s="114"/>
      <c r="C238" s="109"/>
      <c r="D238" s="110"/>
      <c r="E238" s="109"/>
      <c r="F238" s="111">
        <v>200</v>
      </c>
      <c r="G238" s="369">
        <v>150000</v>
      </c>
      <c r="H238" s="369"/>
      <c r="I238" s="369">
        <f>G238+H238</f>
        <v>150000</v>
      </c>
      <c r="J238" s="369">
        <v>0</v>
      </c>
      <c r="K238" s="286"/>
      <c r="L238" s="286">
        <f>J238+K238</f>
        <v>0</v>
      </c>
    </row>
    <row r="239" spans="1:12" ht="15.75" x14ac:dyDescent="0.2">
      <c r="A239" s="113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IF(B239&gt;0,VLOOKUP(B239,КВСР!A53:B1218,2),IF(C239&gt;0,VLOOKUP(C239,КФСР!A53:B1565,2),IF(D239&gt;0,VLOOKUP(D239,Программа!A$1:B$5124,2),IF(F239&gt;0,VLOOKUP(F239,КВР!A$1:B$5001,2),IF(E239&gt;0,VLOOKUP(E239,Направление!A$1:B$4812,2))))))</f>
        <v>Непрограммные расходы бюджета</v>
      </c>
      <c r="B239" s="114"/>
      <c r="C239" s="109"/>
      <c r="D239" s="110" t="s">
        <v>311</v>
      </c>
      <c r="E239" s="109"/>
      <c r="F239" s="111"/>
      <c r="G239" s="369">
        <v>6630000</v>
      </c>
      <c r="H239" s="369">
        <f t="shared" ref="H239:L239" si="163">H240+H248+H244+H246+H251</f>
        <v>0</v>
      </c>
      <c r="I239" s="369">
        <f t="shared" si="163"/>
        <v>6630000</v>
      </c>
      <c r="J239" s="369">
        <v>550000</v>
      </c>
      <c r="K239" s="369">
        <f t="shared" si="163"/>
        <v>0</v>
      </c>
      <c r="L239" s="369">
        <f t="shared" si="163"/>
        <v>550000</v>
      </c>
    </row>
    <row r="240" spans="1:12" ht="15.75" x14ac:dyDescent="0.2">
      <c r="A240" s="113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IF(B240&gt;0,VLOOKUP(B240,КВСР!A54:B1219,2),IF(C240&gt;0,VLOOKUP(C240,КФСР!A54:B1566,2),IF(D240&gt;0,VLOOKUP(D240,Программа!A$1:B$5124,2),IF(F240&gt;0,VLOOKUP(F240,КВР!A$1:B$5001,2),IF(E240&gt;0,VLOOKUP(E240,Направление!A$1:B$4812,2))))))</f>
        <v>Содержание центрального аппарата</v>
      </c>
      <c r="B240" s="114"/>
      <c r="C240" s="109"/>
      <c r="D240" s="110"/>
      <c r="E240" s="109">
        <v>12010</v>
      </c>
      <c r="F240" s="111"/>
      <c r="G240" s="369">
        <v>5285000</v>
      </c>
      <c r="H240" s="369">
        <f t="shared" ref="H240:L240" si="164">H241+H242+H243</f>
        <v>0</v>
      </c>
      <c r="I240" s="369">
        <f t="shared" si="164"/>
        <v>5285000</v>
      </c>
      <c r="J240" s="369">
        <v>0</v>
      </c>
      <c r="K240" s="286">
        <f t="shared" si="164"/>
        <v>0</v>
      </c>
      <c r="L240" s="286">
        <f t="shared" si="164"/>
        <v>0</v>
      </c>
    </row>
    <row r="241" spans="1:12" ht="110.25" x14ac:dyDescent="0.2">
      <c r="A241" s="113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14"/>
      <c r="C241" s="109"/>
      <c r="D241" s="110"/>
      <c r="E241" s="109"/>
      <c r="F241" s="111">
        <v>100</v>
      </c>
      <c r="G241" s="369">
        <v>5195000</v>
      </c>
      <c r="H241" s="369"/>
      <c r="I241" s="369">
        <f>SUM(G241:H241)</f>
        <v>5195000</v>
      </c>
      <c r="J241" s="369">
        <v>0</v>
      </c>
      <c r="K241" s="286"/>
      <c r="L241" s="286">
        <f t="shared" si="11"/>
        <v>0</v>
      </c>
    </row>
    <row r="242" spans="1:12" ht="63" x14ac:dyDescent="0.2">
      <c r="A242" s="113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IF(B242&gt;0,VLOOKUP(B242,КВСР!A56:B1221,2),IF(C242&gt;0,VLOOKUP(C242,КФСР!A56:B1568,2),IF(D242&gt;0,VLOOKUP(D242,Программа!A$1:B$5124,2),IF(F242&gt;0,VLOOKUP(F242,КВР!A$1:B$5001,2),IF(E242&gt;0,VLOOKUP(E242,Направление!A$1:B$4812,2))))))</f>
        <v xml:space="preserve">Закупка товаров, работ и услуг для обеспечения государственных (муниципальных) нужд
</v>
      </c>
      <c r="B242" s="114"/>
      <c r="C242" s="109"/>
      <c r="D242" s="110"/>
      <c r="E242" s="109"/>
      <c r="F242" s="111">
        <v>200</v>
      </c>
      <c r="G242" s="369">
        <v>90000</v>
      </c>
      <c r="H242" s="369"/>
      <c r="I242" s="369">
        <f t="shared" ref="I242:I243" si="165">SUM(G242:H242)</f>
        <v>90000</v>
      </c>
      <c r="J242" s="369">
        <v>0</v>
      </c>
      <c r="K242" s="286"/>
      <c r="L242" s="286">
        <f t="shared" si="11"/>
        <v>0</v>
      </c>
    </row>
    <row r="243" spans="1:12" ht="15.75" hidden="1" x14ac:dyDescent="0.2">
      <c r="A243" s="113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IF(B243&gt;0,VLOOKUP(B243,КВСР!A57:B1222,2),IF(C243&gt;0,VLOOKUP(C243,КФСР!A57:B1569,2),IF(D243&gt;0,VLOOKUP(D243,Программа!A$1:B$5124,2),IF(F243&gt;0,VLOOKUP(F243,КВР!A$1:B$5001,2),IF(E243&gt;0,VLOOKUP(E243,Направление!A$1:B$4812,2))))))</f>
        <v>Иные бюджетные ассигнования</v>
      </c>
      <c r="B243" s="114"/>
      <c r="C243" s="109"/>
      <c r="D243" s="110"/>
      <c r="E243" s="109"/>
      <c r="F243" s="111">
        <v>800</v>
      </c>
      <c r="G243" s="369">
        <v>0</v>
      </c>
      <c r="H243" s="369"/>
      <c r="I243" s="369">
        <f t="shared" si="165"/>
        <v>0</v>
      </c>
      <c r="J243" s="369">
        <v>0</v>
      </c>
      <c r="K243" s="286"/>
      <c r="L243" s="286">
        <f t="shared" si="11"/>
        <v>0</v>
      </c>
    </row>
    <row r="244" spans="1:12" ht="31.5" x14ac:dyDescent="0.2">
      <c r="A244" s="113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IF(B244&gt;0,VLOOKUP(B244,КВСР!A57:B1222,2),IF(C244&gt;0,VLOOKUP(C244,КФСР!A57:B1569,2),IF(D244&gt;0,VLOOKUP(D244,Программа!A$1:B$5124,2),IF(F244&gt;0,VLOOKUP(F244,КВР!A$1:B$5001,2),IF(E244&gt;0,VLOOKUP(E244,Направление!A$1:B$4812,2))))))</f>
        <v>Выполнение других обязательств органов местного самоуправления</v>
      </c>
      <c r="B244" s="114"/>
      <c r="C244" s="109"/>
      <c r="D244" s="110"/>
      <c r="E244" s="109">
        <v>12080</v>
      </c>
      <c r="F244" s="111"/>
      <c r="G244" s="369">
        <v>665000</v>
      </c>
      <c r="H244" s="369">
        <f t="shared" ref="H244:K244" si="166">H245</f>
        <v>0</v>
      </c>
      <c r="I244" s="369">
        <f t="shared" si="166"/>
        <v>665000</v>
      </c>
      <c r="J244" s="369">
        <v>0</v>
      </c>
      <c r="K244" s="286">
        <f t="shared" si="166"/>
        <v>0</v>
      </c>
      <c r="L244" s="286">
        <f t="shared" si="11"/>
        <v>0</v>
      </c>
    </row>
    <row r="245" spans="1:12" ht="63" x14ac:dyDescent="0.2">
      <c r="A245" s="113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IF(B245&gt;0,VLOOKUP(B245,КВСР!A58:B1223,2),IF(C245&gt;0,VLOOKUP(C245,КФСР!A58:B1570,2),IF(D245&gt;0,VLOOKUP(D245,Программа!A$1:B$5124,2),IF(F245&gt;0,VLOOKUP(F245,КВР!A$1:B$5001,2),IF(E245&gt;0,VLOOKUP(E245,Направление!A$1:B$4812,2))))))</f>
        <v xml:space="preserve">Закупка товаров, работ и услуг для обеспечения государственных (муниципальных) нужд
</v>
      </c>
      <c r="B245" s="114"/>
      <c r="C245" s="109"/>
      <c r="D245" s="110"/>
      <c r="E245" s="109"/>
      <c r="F245" s="111">
        <v>200</v>
      </c>
      <c r="G245" s="369">
        <v>665000</v>
      </c>
      <c r="H245" s="369"/>
      <c r="I245" s="369">
        <f>G245+H245</f>
        <v>665000</v>
      </c>
      <c r="J245" s="369">
        <v>0</v>
      </c>
      <c r="K245" s="286"/>
      <c r="L245" s="286">
        <f t="shared" si="11"/>
        <v>0</v>
      </c>
    </row>
    <row r="246" spans="1:12" ht="47.25" x14ac:dyDescent="0.2">
      <c r="A246" s="113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IF(B246&gt;0,VLOOKUP(B246,КВСР!A59:B1224,2),IF(C246&gt;0,VLOOKUP(C246,КФСР!A59:B1571,2),IF(D246&gt;0,VLOOKUP(D246,Программа!A$1:B$5124,2),IF(F246&gt;0,VLOOKUP(F246,КВР!A$1:B$5001,2),IF(E246&gt;0,VLOOKUP(E246,Направление!A$1:B$4812,2))))))</f>
        <v>Оценка недвижимости, признание прав и регулирование отношений по муниципальной собственности</v>
      </c>
      <c r="B246" s="114"/>
      <c r="C246" s="109"/>
      <c r="D246" s="110"/>
      <c r="E246" s="109">
        <v>12090</v>
      </c>
      <c r="F246" s="111"/>
      <c r="G246" s="369">
        <v>130000</v>
      </c>
      <c r="H246" s="369">
        <f t="shared" ref="H246:K246" si="167">H247</f>
        <v>0</v>
      </c>
      <c r="I246" s="369">
        <f t="shared" si="167"/>
        <v>130000</v>
      </c>
      <c r="J246" s="369">
        <v>0</v>
      </c>
      <c r="K246" s="286">
        <f t="shared" si="167"/>
        <v>0</v>
      </c>
      <c r="L246" s="286">
        <f t="shared" si="11"/>
        <v>0</v>
      </c>
    </row>
    <row r="247" spans="1:12" ht="63" x14ac:dyDescent="0.2">
      <c r="A247" s="113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IF(B247&gt;0,VLOOKUP(B247,КВСР!A60:B1225,2),IF(C247&gt;0,VLOOKUP(C247,КФСР!A60:B1572,2),IF(D247&gt;0,VLOOKUP(D247,Программа!A$1:B$5124,2),IF(F247&gt;0,VLOOKUP(F247,КВР!A$1:B$5001,2),IF(E247&gt;0,VLOOKUP(E247,Направление!A$1:B$4812,2))))))</f>
        <v xml:space="preserve">Закупка товаров, работ и услуг для обеспечения государственных (муниципальных) нужд
</v>
      </c>
      <c r="B247" s="114"/>
      <c r="C247" s="109"/>
      <c r="D247" s="110"/>
      <c r="E247" s="109"/>
      <c r="F247" s="111">
        <v>200</v>
      </c>
      <c r="G247" s="369">
        <v>130000</v>
      </c>
      <c r="H247" s="369"/>
      <c r="I247" s="369">
        <f t="shared" ref="I247" si="168">G247+H247</f>
        <v>130000</v>
      </c>
      <c r="J247" s="369">
        <v>0</v>
      </c>
      <c r="K247" s="286"/>
      <c r="L247" s="286">
        <f t="shared" si="11"/>
        <v>0</v>
      </c>
    </row>
    <row r="248" spans="1:12" ht="94.5" x14ac:dyDescent="0.2">
      <c r="A248" s="113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IF(B248&gt;0,VLOOKUP(B248,КВСР!A56:B1221,2),IF(C248&gt;0,VLOOKUP(C248,КФСР!A56:B1568,2),IF(D248&gt;0,VLOOKUP(D248,Программа!A$1:B$5124,2),IF(F248&gt;0,VLOOKUP(F248,КВР!A$1:B$5001,2),IF(E248&gt;0,VLOOKUP(E248,Направление!A$1:B$4812,2))))))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14"/>
      <c r="C248" s="109"/>
      <c r="D248" s="110"/>
      <c r="E248" s="109">
        <v>29026</v>
      </c>
      <c r="F248" s="111"/>
      <c r="G248" s="369">
        <v>250000</v>
      </c>
      <c r="H248" s="369">
        <f t="shared" ref="H248" si="169">H249+H250</f>
        <v>0</v>
      </c>
      <c r="I248" s="369">
        <f t="shared" si="10"/>
        <v>250000</v>
      </c>
      <c r="J248" s="369">
        <v>250000</v>
      </c>
      <c r="K248" s="286">
        <f t="shared" ref="K248" si="170">K249+K250</f>
        <v>0</v>
      </c>
      <c r="L248" s="286">
        <f t="shared" si="11"/>
        <v>250000</v>
      </c>
    </row>
    <row r="249" spans="1:12" ht="110.25" hidden="1" x14ac:dyDescent="0.2">
      <c r="A249" s="113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14"/>
      <c r="C249" s="109"/>
      <c r="D249" s="110"/>
      <c r="E249" s="109"/>
      <c r="F249" s="111">
        <v>100</v>
      </c>
      <c r="G249" s="369">
        <v>0</v>
      </c>
      <c r="H249" s="369"/>
      <c r="I249" s="369">
        <f t="shared" si="10"/>
        <v>0</v>
      </c>
      <c r="J249" s="369">
        <v>0</v>
      </c>
      <c r="K249" s="286"/>
      <c r="L249" s="286">
        <f t="shared" si="11"/>
        <v>0</v>
      </c>
    </row>
    <row r="250" spans="1:12" ht="63" x14ac:dyDescent="0.2">
      <c r="A250" s="113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IF(B250&gt;0,VLOOKUP(B250,КВСР!A58:B1223,2),IF(C250&gt;0,VLOOKUP(C250,КФСР!A58:B1570,2),IF(D250&gt;0,VLOOKUP(D250,Программа!A$1:B$5124,2),IF(F250&gt;0,VLOOKUP(F250,КВР!A$1:B$5001,2),IF(E250&gt;0,VLOOKUP(E250,Направление!A$1:B$4812,2))))))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369">
        <v>250000</v>
      </c>
      <c r="H250" s="369"/>
      <c r="I250" s="369">
        <f t="shared" si="10"/>
        <v>250000</v>
      </c>
      <c r="J250" s="369">
        <v>250000</v>
      </c>
      <c r="K250" s="286"/>
      <c r="L250" s="286">
        <f t="shared" si="11"/>
        <v>250000</v>
      </c>
    </row>
    <row r="251" spans="1:12" ht="63" x14ac:dyDescent="0.2">
      <c r="A251" s="113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14"/>
      <c r="C251" s="109"/>
      <c r="D251" s="110"/>
      <c r="E251" s="109">
        <v>29556</v>
      </c>
      <c r="F251" s="111"/>
      <c r="G251" s="369">
        <v>300000</v>
      </c>
      <c r="H251" s="369">
        <f t="shared" ref="H251:L251" si="171">H252</f>
        <v>0</v>
      </c>
      <c r="I251" s="369">
        <f t="shared" si="171"/>
        <v>300000</v>
      </c>
      <c r="J251" s="369">
        <v>300000</v>
      </c>
      <c r="K251" s="369">
        <f t="shared" si="171"/>
        <v>0</v>
      </c>
      <c r="L251" s="369">
        <f t="shared" si="171"/>
        <v>300000</v>
      </c>
    </row>
    <row r="252" spans="1:12" ht="63" x14ac:dyDescent="0.2">
      <c r="A252" s="113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IF(B252&gt;0,VLOOKUP(B252,КВСР!A60:B1225,2),IF(C252&gt;0,VLOOKUP(C252,КФСР!A60:B1572,2),IF(D252&gt;0,VLOOKUP(D252,Программа!A$1:B$5124,2),IF(F252&gt;0,VLOOKUP(F252,КВР!A$1:B$5001,2),IF(E252&gt;0,VLOOKUP(E252,Направление!A$1:B$4812,2))))))</f>
        <v xml:space="preserve">Закупка товаров, работ и услуг для обеспечения государственных (муниципальных) нужд
</v>
      </c>
      <c r="B252" s="114"/>
      <c r="C252" s="109"/>
      <c r="D252" s="110"/>
      <c r="E252" s="109"/>
      <c r="F252" s="111">
        <v>200</v>
      </c>
      <c r="G252" s="369">
        <v>300000</v>
      </c>
      <c r="H252" s="369"/>
      <c r="I252" s="369">
        <f>G252+H252</f>
        <v>300000</v>
      </c>
      <c r="J252" s="369">
        <v>300000</v>
      </c>
      <c r="K252" s="286"/>
      <c r="L252" s="286">
        <f>J252+K252</f>
        <v>300000</v>
      </c>
    </row>
    <row r="253" spans="1:12" ht="31.5" x14ac:dyDescent="0.2">
      <c r="A253" s="113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IF(B253&gt;0,VLOOKUP(B253,КВСР!A59:B1224,2),IF(C253&gt;0,VLOOKUP(C253,КФСР!A59:B1571,2),IF(D253&gt;0,VLOOKUP(D253,Программа!A$1:B$5124,2),IF(F253&gt;0,VLOOKUP(F253,КВР!A$1:B$5001,2),IF(E253&gt;0,VLOOKUP(E253,Направление!A$1:B$4812,2))))))</f>
        <v>Другие вопросы в области национальной экономики</v>
      </c>
      <c r="B253" s="114"/>
      <c r="C253" s="109">
        <v>412</v>
      </c>
      <c r="D253" s="110"/>
      <c r="E253" s="109"/>
      <c r="F253" s="111"/>
      <c r="G253" s="369">
        <v>520000</v>
      </c>
      <c r="H253" s="369">
        <f t="shared" ref="H253:L253" si="172">H254</f>
        <v>0</v>
      </c>
      <c r="I253" s="369">
        <f t="shared" si="172"/>
        <v>520000</v>
      </c>
      <c r="J253" s="369">
        <v>400000</v>
      </c>
      <c r="K253" s="369">
        <f t="shared" si="172"/>
        <v>0</v>
      </c>
      <c r="L253" s="369">
        <f t="shared" si="172"/>
        <v>400000</v>
      </c>
    </row>
    <row r="254" spans="1:12" ht="15.75" x14ac:dyDescent="0.2">
      <c r="A254" s="113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IF(B254&gt;0,VLOOKUP(B254,КВСР!A60:B1225,2),IF(C254&gt;0,VLOOKUP(C254,КФСР!A60:B1572,2),IF(D254&gt;0,VLOOKUP(D254,Программа!A$1:B$5124,2),IF(F254&gt;0,VLOOKUP(F254,КВР!A$1:B$5001,2),IF(E254&gt;0,VLOOKUP(E254,Направление!A$1:B$4812,2))))))</f>
        <v>Непрограммные расходы бюджета</v>
      </c>
      <c r="B254" s="114"/>
      <c r="C254" s="109"/>
      <c r="D254" s="110" t="s">
        <v>311</v>
      </c>
      <c r="E254" s="109"/>
      <c r="F254" s="111"/>
      <c r="G254" s="369">
        <v>520000</v>
      </c>
      <c r="H254" s="369">
        <f t="shared" ref="H254:I254" si="173">H255+H257</f>
        <v>0</v>
      </c>
      <c r="I254" s="369">
        <f t="shared" si="173"/>
        <v>520000</v>
      </c>
      <c r="J254" s="369">
        <v>400000</v>
      </c>
      <c r="K254" s="369">
        <f t="shared" ref="K254" si="174">K255+K257</f>
        <v>0</v>
      </c>
      <c r="L254" s="369">
        <f t="shared" ref="L254" si="175">L255+L257</f>
        <v>400000</v>
      </c>
    </row>
    <row r="255" spans="1:12" ht="31.5" x14ac:dyDescent="0.2">
      <c r="A255" s="113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IF(B255&gt;0,VLOOKUP(B255,КВСР!A61:B1226,2),IF(C255&gt;0,VLOOKUP(C255,КФСР!A61:B1573,2),IF(D255&gt;0,VLOOKUP(D255,Программа!A$1:B$5124,2),IF(F255&gt;0,VLOOKUP(F255,КВР!A$1:B$5001,2),IF(E255&gt;0,VLOOKUP(E255,Направление!A$1:B$4812,2))))))</f>
        <v>Мероприятия по землеустройству и землепользованию</v>
      </c>
      <c r="B255" s="114"/>
      <c r="C255" s="109"/>
      <c r="D255" s="110"/>
      <c r="E255" s="109">
        <v>10510</v>
      </c>
      <c r="F255" s="111"/>
      <c r="G255" s="369">
        <v>120000</v>
      </c>
      <c r="H255" s="369">
        <f>H256</f>
        <v>0</v>
      </c>
      <c r="I255" s="369">
        <f t="shared" ref="I255" si="176">I256</f>
        <v>120000</v>
      </c>
      <c r="J255" s="369">
        <v>0</v>
      </c>
      <c r="K255" s="286">
        <v>0</v>
      </c>
      <c r="L255" s="286">
        <f t="shared" si="11"/>
        <v>0</v>
      </c>
    </row>
    <row r="256" spans="1:12" ht="63" x14ac:dyDescent="0.2">
      <c r="A256" s="113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IF(B256&gt;0,VLOOKUP(B256,КВСР!A62:B1227,2),IF(C256&gt;0,VLOOKUP(C256,КФСР!A62:B1574,2),IF(D256&gt;0,VLOOKUP(D256,Программа!A$1:B$5124,2),IF(F256&gt;0,VLOOKUP(F256,КВР!A$1:B$5001,2),IF(E256&gt;0,VLOOKUP(E256,Направление!A$1:B$4812,2))))))</f>
        <v xml:space="preserve">Закупка товаров, работ и услуг для обеспечения государственных (муниципальных) нужд
</v>
      </c>
      <c r="B256" s="114"/>
      <c r="C256" s="109"/>
      <c r="D256" s="110"/>
      <c r="E256" s="109"/>
      <c r="F256" s="111">
        <v>200</v>
      </c>
      <c r="G256" s="369">
        <v>120000</v>
      </c>
      <c r="H256" s="369"/>
      <c r="I256" s="369">
        <f>G256+H256</f>
        <v>120000</v>
      </c>
      <c r="J256" s="369">
        <v>0</v>
      </c>
      <c r="K256" s="286"/>
      <c r="L256" s="286">
        <f t="shared" si="11"/>
        <v>0</v>
      </c>
    </row>
    <row r="257" spans="1:12" ht="63" x14ac:dyDescent="0.2">
      <c r="A257" s="113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IF(B257&gt;0,VLOOKUP(B257,КВСР!A63:B1228,2),IF(C257&gt;0,VLOOKUP(C257,КФСР!A63:B1575,2),IF(D257&gt;0,VLOOKUP(D257,Программа!A$1:B$5124,2),IF(F257&gt;0,VLOOKUP(F257,КВР!A$1:B$5001,2),IF(E257&gt;0,VLOOKUP(E257,Направление!A$1:B$4812,2))))))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14"/>
      <c r="C257" s="109"/>
      <c r="D257" s="110"/>
      <c r="E257" s="109">
        <v>29276</v>
      </c>
      <c r="F257" s="111"/>
      <c r="G257" s="369">
        <v>400000</v>
      </c>
      <c r="H257" s="369">
        <f>H258</f>
        <v>0</v>
      </c>
      <c r="I257" s="369">
        <f t="shared" ref="I257:L257" si="177">I258</f>
        <v>400000</v>
      </c>
      <c r="J257" s="369">
        <v>400000</v>
      </c>
      <c r="K257" s="369">
        <f t="shared" si="177"/>
        <v>0</v>
      </c>
      <c r="L257" s="369">
        <f t="shared" si="177"/>
        <v>400000</v>
      </c>
    </row>
    <row r="258" spans="1:12" ht="63" x14ac:dyDescent="0.2">
      <c r="A258" s="113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IF(B258&gt;0,VLOOKUP(B258,КВСР!A64:B1229,2),IF(C258&gt;0,VLOOKUP(C258,КФСР!A64:B1576,2),IF(D258&gt;0,VLOOKUP(D258,Программа!A$1:B$5124,2),IF(F258&gt;0,VLOOKUP(F258,КВР!A$1:B$5001,2),IF(E258&gt;0,VLOOKUP(E258,Направление!A$1:B$4812,2))))))</f>
        <v xml:space="preserve">Закупка товаров, работ и услуг для обеспечения государственных (муниципальных) нужд
</v>
      </c>
      <c r="B258" s="114"/>
      <c r="C258" s="109"/>
      <c r="D258" s="110"/>
      <c r="E258" s="109"/>
      <c r="F258" s="111">
        <v>200</v>
      </c>
      <c r="G258" s="369">
        <v>400000</v>
      </c>
      <c r="H258" s="369"/>
      <c r="I258" s="369">
        <f t="shared" ref="I258" si="178">SUM(G258:H258)</f>
        <v>400000</v>
      </c>
      <c r="J258" s="369">
        <v>400000</v>
      </c>
      <c r="K258" s="286"/>
      <c r="L258" s="286">
        <f t="shared" si="11"/>
        <v>400000</v>
      </c>
    </row>
    <row r="259" spans="1:12" ht="15.75" x14ac:dyDescent="0.2">
      <c r="A259" s="113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IF(B259&gt;0,VLOOKUP(B259,КВСР!A63:B1228,2),IF(C259&gt;0,VLOOKUP(C259,КФСР!A63:B1575,2),IF(D259&gt;0,VLOOKUP(D259,Программа!A$1:B$5124,2),IF(F259&gt;0,VLOOKUP(F259,КВР!A$1:B$5001,2),IF(E259&gt;0,VLOOKUP(E259,Направление!A$1:B$4812,2))))))</f>
        <v>Жилищное хозяйство</v>
      </c>
      <c r="B259" s="114"/>
      <c r="C259" s="109">
        <v>501</v>
      </c>
      <c r="D259" s="110"/>
      <c r="E259" s="109"/>
      <c r="F259" s="111"/>
      <c r="G259" s="369">
        <v>430000</v>
      </c>
      <c r="H259" s="369">
        <f t="shared" ref="H259:I259" si="179">H260</f>
        <v>0</v>
      </c>
      <c r="I259" s="369">
        <f t="shared" si="179"/>
        <v>430000</v>
      </c>
      <c r="J259" s="369">
        <v>430000</v>
      </c>
      <c r="K259" s="286">
        <f>K260</f>
        <v>0</v>
      </c>
      <c r="L259" s="286">
        <f t="shared" si="11"/>
        <v>430000</v>
      </c>
    </row>
    <row r="260" spans="1:12" ht="15.75" x14ac:dyDescent="0.2">
      <c r="A260" s="113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IF(B260&gt;0,VLOOKUP(B260,КВСР!A64:B1229,2),IF(C260&gt;0,VLOOKUP(C260,КФСР!A64:B1576,2),IF(D260&gt;0,VLOOKUP(D260,Программа!A$1:B$5124,2),IF(F260&gt;0,VLOOKUP(F260,КВР!A$1:B$5001,2),IF(E260&gt;0,VLOOKUP(E260,Направление!A$1:B$4812,2))))))</f>
        <v>Непрограммные расходы бюджета</v>
      </c>
      <c r="B260" s="114"/>
      <c r="C260" s="109"/>
      <c r="D260" s="110" t="s">
        <v>311</v>
      </c>
      <c r="E260" s="109"/>
      <c r="F260" s="111"/>
      <c r="G260" s="369">
        <v>430000</v>
      </c>
      <c r="H260" s="369">
        <f t="shared" ref="H260:I260" si="180">H261+H263+H265</f>
        <v>0</v>
      </c>
      <c r="I260" s="369">
        <f t="shared" si="180"/>
        <v>430000</v>
      </c>
      <c r="J260" s="369">
        <v>430000</v>
      </c>
      <c r="K260" s="286">
        <f>K263+K265</f>
        <v>0</v>
      </c>
      <c r="L260" s="286">
        <f t="shared" si="11"/>
        <v>430000</v>
      </c>
    </row>
    <row r="261" spans="1:12" ht="47.25" hidden="1" x14ac:dyDescent="0.2">
      <c r="A261" s="113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IF(B261&gt;0,VLOOKUP(B261,КВСР!A65:B1230,2),IF(C261&gt;0,VLOOKUP(C261,КФСР!A65:B1577,2),IF(D261&gt;0,VLOOKUP(D261,Программа!A$1:B$5124,2),IF(F261&gt;0,VLOOKUP(F261,КВР!A$1:B$5001,2),IF(E261&gt;0,VLOOKUP(E261,Направление!A$1:B$4812,2))))))</f>
        <v>Взносы на  капитальный ремонт  жилых помещений муниципального жилищного фонда</v>
      </c>
      <c r="B261" s="114"/>
      <c r="C261" s="109"/>
      <c r="D261" s="110"/>
      <c r="E261" s="109">
        <v>10370</v>
      </c>
      <c r="F261" s="111"/>
      <c r="G261" s="369">
        <v>0</v>
      </c>
      <c r="H261" s="369">
        <f t="shared" ref="H261:I261" si="181">H262</f>
        <v>0</v>
      </c>
      <c r="I261" s="369">
        <f t="shared" si="181"/>
        <v>0</v>
      </c>
      <c r="J261" s="369">
        <v>0</v>
      </c>
      <c r="K261" s="286">
        <v>0</v>
      </c>
      <c r="L261" s="286">
        <f t="shared" si="11"/>
        <v>0</v>
      </c>
    </row>
    <row r="262" spans="1:12" ht="63" hidden="1" x14ac:dyDescent="0.2">
      <c r="A262" s="113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IF(B262&gt;0,VLOOKUP(B262,КВСР!A66:B1231,2),IF(C262&gt;0,VLOOKUP(C262,КФСР!A66:B1578,2),IF(D262&gt;0,VLOOKUP(D262,Программа!A$1:B$5124,2),IF(F262&gt;0,VLOOKUP(F262,КВР!A$1:B$5001,2),IF(E262&gt;0,VLOOKUP(E262,Направление!A$1:B$4812,2))))))</f>
        <v xml:space="preserve">Закупка товаров, работ и услуг для обеспечения государственных (муниципальных) нужд
</v>
      </c>
      <c r="B262" s="114"/>
      <c r="C262" s="109"/>
      <c r="D262" s="110"/>
      <c r="E262" s="109"/>
      <c r="F262" s="111">
        <v>200</v>
      </c>
      <c r="G262" s="369">
        <v>0</v>
      </c>
      <c r="H262" s="369"/>
      <c r="I262" s="369">
        <f>G262+H262</f>
        <v>0</v>
      </c>
      <c r="J262" s="369">
        <v>0</v>
      </c>
      <c r="K262" s="286"/>
      <c r="L262" s="286">
        <f t="shared" si="11"/>
        <v>0</v>
      </c>
    </row>
    <row r="263" spans="1:12" ht="47.25" x14ac:dyDescent="0.2">
      <c r="A263" s="113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IF(B263&gt;0,VLOOKUP(B263,КВСР!A67:B1232,2),IF(C263&gt;0,VLOOKUP(C263,КФСР!A67:B1579,2),IF(D263&gt;0,VLOOKUP(D263,Программа!A$1:B$5124,2),IF(F263&gt;0,VLOOKUP(F263,КВР!A$1:B$5001,2),IF(E263&gt;0,VLOOKUP(E263,Направление!A$1:B$4812,2))))))</f>
        <v xml:space="preserve">Обеспечение мероприятий по начислению и сбору платы за найм муниципального жилищного фонда </v>
      </c>
      <c r="B263" s="114"/>
      <c r="C263" s="109"/>
      <c r="D263" s="110"/>
      <c r="E263" s="109">
        <v>29436</v>
      </c>
      <c r="F263" s="111"/>
      <c r="G263" s="369">
        <v>350000</v>
      </c>
      <c r="H263" s="374">
        <f t="shared" ref="H263:L263" si="182">H264</f>
        <v>0</v>
      </c>
      <c r="I263" s="369">
        <f t="shared" si="182"/>
        <v>350000</v>
      </c>
      <c r="J263" s="369">
        <v>350000</v>
      </c>
      <c r="K263" s="374">
        <f t="shared" si="182"/>
        <v>0</v>
      </c>
      <c r="L263" s="369">
        <f t="shared" si="182"/>
        <v>350000</v>
      </c>
    </row>
    <row r="264" spans="1:12" ht="63" x14ac:dyDescent="0.2">
      <c r="A264" s="113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IF(B264&gt;0,VLOOKUP(B264,КВСР!A68:B1233,2),IF(C264&gt;0,VLOOKUP(C264,КФСР!A68:B1580,2),IF(D264&gt;0,VLOOKUP(D264,Программа!A$1:B$5124,2),IF(F264&gt;0,VLOOKUP(F264,КВР!A$1:B$5001,2),IF(E264&gt;0,VLOOKUP(E264,Направление!A$1:B$4812,2))))))</f>
        <v xml:space="preserve">Закупка товаров, работ и услуг для обеспечения государственных (муниципальных) нужд
</v>
      </c>
      <c r="B264" s="114"/>
      <c r="C264" s="109"/>
      <c r="D264" s="110"/>
      <c r="E264" s="109"/>
      <c r="F264" s="111">
        <v>200</v>
      </c>
      <c r="G264" s="369">
        <v>350000</v>
      </c>
      <c r="H264" s="374"/>
      <c r="I264" s="369">
        <f>G264+H264</f>
        <v>350000</v>
      </c>
      <c r="J264" s="369">
        <v>350000</v>
      </c>
      <c r="K264" s="275"/>
      <c r="L264" s="286">
        <f>J264+K264</f>
        <v>350000</v>
      </c>
    </row>
    <row r="265" spans="1:12" ht="63" x14ac:dyDescent="0.2">
      <c r="A265" s="113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IF(B265&gt;0,VLOOKUP(B265,КВСР!A69:B1234,2),IF(C265&gt;0,VLOOKUP(C265,КФСР!A69:B1581,2),IF(D265&gt;0,VLOOKUP(D265,Программа!A$1:B$5124,2),IF(F265&gt;0,VLOOKUP(F265,КВР!A$1:B$5001,2),IF(E265&gt;0,VLOOKUP(E265,Направление!A$1:B$4812,2))))))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14"/>
      <c r="C265" s="109"/>
      <c r="D265" s="110"/>
      <c r="E265" s="109">
        <v>29446</v>
      </c>
      <c r="F265" s="111"/>
      <c r="G265" s="369">
        <v>80000</v>
      </c>
      <c r="H265" s="374">
        <f t="shared" ref="H265:L265" si="183">H266</f>
        <v>0</v>
      </c>
      <c r="I265" s="369">
        <f t="shared" si="183"/>
        <v>80000</v>
      </c>
      <c r="J265" s="369">
        <v>80000</v>
      </c>
      <c r="K265" s="374">
        <f t="shared" si="183"/>
        <v>0</v>
      </c>
      <c r="L265" s="369">
        <f t="shared" si="183"/>
        <v>80000</v>
      </c>
    </row>
    <row r="266" spans="1:12" ht="63" x14ac:dyDescent="0.2">
      <c r="A266" s="113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IF(B266&gt;0,VLOOKUP(B266,КВСР!A70:B1235,2),IF(C266&gt;0,VLOOKUP(C266,КФСР!A70:B1582,2),IF(D266&gt;0,VLOOKUP(D266,Программа!A$1:B$5124,2),IF(F266&gt;0,VLOOKUP(F266,КВР!A$1:B$5001,2),IF(E266&gt;0,VLOOKUP(E266,Направление!A$1:B$4812,2))))))</f>
        <v xml:space="preserve">Закупка товаров, работ и услуг для обеспечения государственных (муниципальных) нужд
</v>
      </c>
      <c r="B266" s="114"/>
      <c r="C266" s="109"/>
      <c r="D266" s="110"/>
      <c r="E266" s="109"/>
      <c r="F266" s="111">
        <v>200</v>
      </c>
      <c r="G266" s="369">
        <v>80000</v>
      </c>
      <c r="H266" s="374"/>
      <c r="I266" s="369">
        <f>G266+H266</f>
        <v>80000</v>
      </c>
      <c r="J266" s="369">
        <v>80000</v>
      </c>
      <c r="K266" s="275"/>
      <c r="L266" s="286">
        <f>J266+K266</f>
        <v>80000</v>
      </c>
    </row>
    <row r="267" spans="1:12" s="139" customFormat="1" ht="31.5" x14ac:dyDescent="0.2">
      <c r="A267" s="107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IF(B267&gt;0,VLOOKUP(B267,КВСР!A76:B1241,2),IF(C267&gt;0,VLOOKUP(C267,КФСР!A76:B1588,2),IF(D267&gt;0,VLOOKUP(D267,Программа!A$1:B$5124,2),IF(F267&gt;0,VLOOKUP(F267,КВР!A$1:B$5001,2),IF(E267&gt;0,VLOOKUP(E267,Направление!A$1:B$4812,2))))))</f>
        <v>Департамент образования Администрации ТМР</v>
      </c>
      <c r="B267" s="108">
        <v>953</v>
      </c>
      <c r="C267" s="133"/>
      <c r="D267" s="134"/>
      <c r="E267" s="133"/>
      <c r="F267" s="135"/>
      <c r="G267" s="372">
        <v>1058428262</v>
      </c>
      <c r="H267" s="372">
        <f>H268+H287+H304+H327+H346+H388+H411+H382+H321</f>
        <v>0</v>
      </c>
      <c r="I267" s="372">
        <f>I268+I287+I304+I327+I346+I388+I411+I382+I321</f>
        <v>1058428262</v>
      </c>
      <c r="J267" s="372">
        <v>975311257</v>
      </c>
      <c r="K267" s="372">
        <f>K268+K287+K304+K327+K346+K388+K411+K382+K321</f>
        <v>0</v>
      </c>
      <c r="L267" s="372">
        <f>L268+L287+L304+L327+L346+L388+L411+L382+L321</f>
        <v>975311257</v>
      </c>
    </row>
    <row r="268" spans="1:12" ht="15.75" x14ac:dyDescent="0.2">
      <c r="A268" s="113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IF(B268&gt;0,VLOOKUP(B268,КВСР!A81:B1246,2),IF(C268&gt;0,VLOOKUP(C268,КФСР!A81:B1593,2),IF(D268&gt;0,VLOOKUP(D268,Программа!A$1:B$5124,2),IF(F268&gt;0,VLOOKUP(F268,КВР!A$1:B$5001,2),IF(E268&gt;0,VLOOKUP(E268,Направление!A$1:B$4812,2))))))</f>
        <v>Дошкольное образование</v>
      </c>
      <c r="B268" s="114"/>
      <c r="C268" s="109">
        <v>701</v>
      </c>
      <c r="D268" s="110"/>
      <c r="E268" s="109"/>
      <c r="F268" s="111"/>
      <c r="G268" s="369">
        <v>398328457</v>
      </c>
      <c r="H268" s="369">
        <f t="shared" ref="H268:L270" si="184">H269</f>
        <v>0</v>
      </c>
      <c r="I268" s="369">
        <f t="shared" si="184"/>
        <v>398328457</v>
      </c>
      <c r="J268" s="369">
        <v>349920457</v>
      </c>
      <c r="K268" s="369">
        <f t="shared" si="184"/>
        <v>0</v>
      </c>
      <c r="L268" s="369">
        <f t="shared" si="184"/>
        <v>349920457</v>
      </c>
    </row>
    <row r="269" spans="1:12" ht="63" x14ac:dyDescent="0.2">
      <c r="A269" s="113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69" s="114"/>
      <c r="C269" s="109"/>
      <c r="D269" s="110" t="s">
        <v>367</v>
      </c>
      <c r="E269" s="109"/>
      <c r="F269" s="111"/>
      <c r="G269" s="369">
        <v>398328457</v>
      </c>
      <c r="H269" s="369">
        <f t="shared" si="184"/>
        <v>0</v>
      </c>
      <c r="I269" s="369">
        <f t="shared" si="184"/>
        <v>398328457</v>
      </c>
      <c r="J269" s="369">
        <v>349920457</v>
      </c>
      <c r="K269" s="369">
        <f t="shared" si="184"/>
        <v>0</v>
      </c>
      <c r="L269" s="369">
        <f t="shared" si="184"/>
        <v>349920457</v>
      </c>
    </row>
    <row r="270" spans="1:12" ht="63" x14ac:dyDescent="0.2">
      <c r="A270" s="113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14"/>
      <c r="C270" s="109"/>
      <c r="D270" s="110" t="s">
        <v>369</v>
      </c>
      <c r="E270" s="109"/>
      <c r="F270" s="111"/>
      <c r="G270" s="369">
        <v>398328457</v>
      </c>
      <c r="H270" s="369">
        <f t="shared" si="184"/>
        <v>0</v>
      </c>
      <c r="I270" s="369">
        <f t="shared" si="184"/>
        <v>398328457</v>
      </c>
      <c r="J270" s="369">
        <v>349920457</v>
      </c>
      <c r="K270" s="369">
        <f t="shared" si="184"/>
        <v>0</v>
      </c>
      <c r="L270" s="369">
        <f t="shared" si="184"/>
        <v>349920457</v>
      </c>
    </row>
    <row r="271" spans="1:12" ht="47.25" x14ac:dyDescent="0.2">
      <c r="A271" s="113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IF(B271&gt;0,VLOOKUP(B271,КВСР!A83:B1248,2),IF(C271&gt;0,VLOOKUP(C271,КФСР!A83:B1595,2),IF(D271&gt;0,VLOOKUP(D271,Программа!A$1:B$5124,2),IF(F271&gt;0,VLOOKUP(F271,КВР!A$1:B$5001,2),IF(E271&gt;0,VLOOKUP(E271,Направление!A$1:B$4812,2))))))</f>
        <v>Обеспечение качества и доступности образовательных услуг в сфере дошкольного образования</v>
      </c>
      <c r="B271" s="114"/>
      <c r="C271" s="109"/>
      <c r="D271" s="110" t="s">
        <v>370</v>
      </c>
      <c r="E271" s="109"/>
      <c r="F271" s="111"/>
      <c r="G271" s="369">
        <v>398328457</v>
      </c>
      <c r="H271" s="369">
        <f>H272+H278+H282+H280+H285+H276</f>
        <v>0</v>
      </c>
      <c r="I271" s="369">
        <f t="shared" ref="I271:L271" si="185">I272+I278+I282+I280+I285+I276</f>
        <v>398328457</v>
      </c>
      <c r="J271" s="369">
        <v>349920457</v>
      </c>
      <c r="K271" s="369">
        <f t="shared" si="185"/>
        <v>0</v>
      </c>
      <c r="L271" s="369">
        <f t="shared" si="185"/>
        <v>349920457</v>
      </c>
    </row>
    <row r="272" spans="1:12" ht="31.5" x14ac:dyDescent="0.2">
      <c r="A272" s="113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IF(B272&gt;0,VLOOKUP(B272,КВСР!A84:B1249,2),IF(C272&gt;0,VLOOKUP(C272,КФСР!A84:B1596,2),IF(D272&gt;0,VLOOKUP(D272,Программа!A$1:B$5124,2),IF(F272&gt;0,VLOOKUP(F272,КВР!A$1:B$5001,2),IF(E272&gt;0,VLOOKUP(E272,Направление!A$1:B$4812,2))))))</f>
        <v>Обеспечение деятельности дошкольных учреждений</v>
      </c>
      <c r="B272" s="114"/>
      <c r="C272" s="109"/>
      <c r="D272" s="110"/>
      <c r="E272" s="109">
        <v>13010</v>
      </c>
      <c r="F272" s="111"/>
      <c r="G272" s="369">
        <v>126329125</v>
      </c>
      <c r="H272" s="369">
        <f t="shared" ref="H272:I272" si="186">H273+H274+H275</f>
        <v>0</v>
      </c>
      <c r="I272" s="369">
        <f t="shared" si="186"/>
        <v>126329125</v>
      </c>
      <c r="J272" s="369">
        <v>81296125</v>
      </c>
      <c r="K272" s="286">
        <f t="shared" ref="K272:L272" si="187">K273+K274</f>
        <v>0</v>
      </c>
      <c r="L272" s="286">
        <f t="shared" si="187"/>
        <v>81296125</v>
      </c>
    </row>
    <row r="273" spans="1:12" ht="110.25" x14ac:dyDescent="0.2">
      <c r="A273" s="113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14"/>
      <c r="C273" s="109"/>
      <c r="D273" s="110"/>
      <c r="E273" s="109"/>
      <c r="F273" s="111">
        <v>100</v>
      </c>
      <c r="G273" s="369">
        <v>54659125</v>
      </c>
      <c r="H273" s="369"/>
      <c r="I273" s="369">
        <f t="shared" si="10"/>
        <v>54659125</v>
      </c>
      <c r="J273" s="369">
        <v>21626125</v>
      </c>
      <c r="K273" s="286"/>
      <c r="L273" s="286">
        <f t="shared" si="11"/>
        <v>21626125</v>
      </c>
    </row>
    <row r="274" spans="1:12" ht="63" x14ac:dyDescent="0.2">
      <c r="A274" s="113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IF(B274&gt;0,VLOOKUP(B274,КВСР!A86:B1251,2),IF(C274&gt;0,VLOOKUP(C274,КФСР!A86:B1598,2),IF(D274&gt;0,VLOOKUP(D274,Программа!A$1:B$5124,2),IF(F274&gt;0,VLOOKUP(F274,КВР!A$1:B$5001,2),IF(E274&gt;0,VLOOKUP(E274,Направление!A$1:B$4812,2))))))</f>
        <v xml:space="preserve">Закупка товаров, работ и услуг для обеспечения государственных (муниципальных) нужд
</v>
      </c>
      <c r="B274" s="114"/>
      <c r="C274" s="109"/>
      <c r="D274" s="110"/>
      <c r="E274" s="109"/>
      <c r="F274" s="111">
        <v>200</v>
      </c>
      <c r="G274" s="369">
        <v>71670000</v>
      </c>
      <c r="H274" s="369"/>
      <c r="I274" s="369">
        <f t="shared" si="10"/>
        <v>71670000</v>
      </c>
      <c r="J274" s="369">
        <v>59670000</v>
      </c>
      <c r="K274" s="286"/>
      <c r="L274" s="286">
        <f t="shared" si="11"/>
        <v>59670000</v>
      </c>
    </row>
    <row r="275" spans="1:12" ht="15.75" x14ac:dyDescent="0.2">
      <c r="A275" s="113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IF(B275&gt;0,VLOOKUP(B275,КВСР!A87:B1252,2),IF(C275&gt;0,VLOOKUP(C275,КФСР!A87:B1599,2),IF(D275&gt;0,VLOOKUP(D275,Программа!A$1:B$5124,2),IF(F275&gt;0,VLOOKUP(F275,КВР!A$1:B$5001,2),IF(E275&gt;0,VLOOKUP(E275,Направление!A$1:B$4812,2))))))</f>
        <v>Иные бюджетные ассигнования</v>
      </c>
      <c r="B275" s="114"/>
      <c r="C275" s="109"/>
      <c r="D275" s="110"/>
      <c r="E275" s="109"/>
      <c r="F275" s="111">
        <v>800</v>
      </c>
      <c r="G275" s="369">
        <v>0</v>
      </c>
      <c r="H275" s="369"/>
      <c r="I275" s="369">
        <f t="shared" si="10"/>
        <v>0</v>
      </c>
      <c r="J275" s="369">
        <v>0</v>
      </c>
      <c r="K275" s="286"/>
      <c r="L275" s="286">
        <f t="shared" si="11"/>
        <v>0</v>
      </c>
    </row>
    <row r="276" spans="1:12" ht="31.5" x14ac:dyDescent="0.2">
      <c r="A276" s="113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IF(B276&gt;0,VLOOKUP(B276,КВСР!A88:B1253,2),IF(C276&gt;0,VLOOKUP(C276,КФСР!A88:B1600,2),IF(D276&gt;0,VLOOKUP(D276,Программа!A$1:B$5124,2),IF(F276&gt;0,VLOOKUP(F276,КВР!A$1:B$5001,2),IF(E276&gt;0,VLOOKUP(E276,Направление!A$1:B$4812,2))))))</f>
        <v>Обеспечение деятельности общеобразовательных учреждений</v>
      </c>
      <c r="B276" s="114"/>
      <c r="C276" s="109"/>
      <c r="D276" s="110"/>
      <c r="E276" s="109">
        <v>13110</v>
      </c>
      <c r="F276" s="111"/>
      <c r="G276" s="369">
        <v>12710000</v>
      </c>
      <c r="H276" s="369">
        <f>H277</f>
        <v>0</v>
      </c>
      <c r="I276" s="369">
        <f t="shared" ref="I276:L276" si="188">I277</f>
        <v>12710000</v>
      </c>
      <c r="J276" s="369">
        <v>9335000</v>
      </c>
      <c r="K276" s="369">
        <f t="shared" si="188"/>
        <v>0</v>
      </c>
      <c r="L276" s="369">
        <f t="shared" si="188"/>
        <v>9335000</v>
      </c>
    </row>
    <row r="277" spans="1:12" ht="47.25" x14ac:dyDescent="0.2">
      <c r="A277" s="113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IF(B277&gt;0,VLOOKUP(B277,КВСР!A89:B1254,2),IF(C277&gt;0,VLOOKUP(C277,КФСР!A89:B1601,2),IF(D277&gt;0,VLOOKUP(D277,Программа!A$1:B$5124,2),IF(F277&gt;0,VLOOKUP(F277,КВР!A$1:B$5001,2),IF(E277&gt;0,VLOOKUP(E277,Направление!A$1:B$4812,2))))))</f>
        <v>Предоставление субсидий бюджетным, автономным учреждениям и иным некоммерческим организациям</v>
      </c>
      <c r="B277" s="114"/>
      <c r="C277" s="109"/>
      <c r="D277" s="110"/>
      <c r="E277" s="109"/>
      <c r="F277" s="111">
        <v>600</v>
      </c>
      <c r="G277" s="369">
        <v>12710000</v>
      </c>
      <c r="H277" s="369"/>
      <c r="I277" s="369">
        <f t="shared" si="10"/>
        <v>12710000</v>
      </c>
      <c r="J277" s="369">
        <v>9335000</v>
      </c>
      <c r="K277" s="286"/>
      <c r="L277" s="286">
        <f t="shared" si="11"/>
        <v>9335000</v>
      </c>
    </row>
    <row r="278" spans="1:12" ht="63" x14ac:dyDescent="0.2">
      <c r="A278" s="113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278" s="114"/>
      <c r="C278" s="109"/>
      <c r="D278" s="110"/>
      <c r="E278" s="109">
        <v>15890</v>
      </c>
      <c r="F278" s="111"/>
      <c r="G278" s="369">
        <v>1323875</v>
      </c>
      <c r="H278" s="369">
        <f t="shared" ref="H278:I278" si="189">H279</f>
        <v>0</v>
      </c>
      <c r="I278" s="369">
        <f t="shared" si="189"/>
        <v>1323875</v>
      </c>
      <c r="J278" s="369">
        <v>1323875</v>
      </c>
      <c r="K278" s="286">
        <f t="shared" ref="K278:L278" si="190">K279</f>
        <v>0</v>
      </c>
      <c r="L278" s="286">
        <f t="shared" si="190"/>
        <v>1323875</v>
      </c>
    </row>
    <row r="279" spans="1:12" ht="110.25" x14ac:dyDescent="0.2">
      <c r="A279" s="113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14"/>
      <c r="C279" s="109"/>
      <c r="D279" s="110"/>
      <c r="E279" s="109"/>
      <c r="F279" s="111">
        <v>100</v>
      </c>
      <c r="G279" s="369">
        <v>1323875</v>
      </c>
      <c r="H279" s="369"/>
      <c r="I279" s="369">
        <f t="shared" si="10"/>
        <v>1323875</v>
      </c>
      <c r="J279" s="369">
        <v>1323875</v>
      </c>
      <c r="K279" s="286"/>
      <c r="L279" s="286">
        <f t="shared" si="11"/>
        <v>1323875</v>
      </c>
    </row>
    <row r="280" spans="1:12" ht="47.25" x14ac:dyDescent="0.2">
      <c r="A280" s="113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280" s="114"/>
      <c r="C280" s="109"/>
      <c r="D280" s="110"/>
      <c r="E280" s="109">
        <v>70520</v>
      </c>
      <c r="F280" s="111"/>
      <c r="G280" s="369">
        <v>21024922</v>
      </c>
      <c r="H280" s="369">
        <f t="shared" ref="H280:L280" si="191">H281</f>
        <v>0</v>
      </c>
      <c r="I280" s="369">
        <f t="shared" si="191"/>
        <v>21024922</v>
      </c>
      <c r="J280" s="369">
        <v>21024922</v>
      </c>
      <c r="K280" s="286">
        <f t="shared" si="191"/>
        <v>0</v>
      </c>
      <c r="L280" s="286">
        <f t="shared" si="191"/>
        <v>21024922</v>
      </c>
    </row>
    <row r="281" spans="1:12" ht="47.25" x14ac:dyDescent="0.2">
      <c r="A281" s="113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IF(B281&gt;0,VLOOKUP(B281,КВСР!A92:B1257,2),IF(C281&gt;0,VLOOKUP(C281,КФСР!A92:B1604,2),IF(D281&gt;0,VLOOKUP(D281,Программа!A$1:B$5124,2),IF(F281&gt;0,VLOOKUP(F281,КВР!A$1:B$5001,2),IF(E281&gt;0,VLOOKUP(E281,Направление!A$1:B$4812,2))))))</f>
        <v>Предоставление субсидий бюджетным, автономным учреждениям и иным некоммерческим организациям</v>
      </c>
      <c r="B281" s="114"/>
      <c r="C281" s="109"/>
      <c r="D281" s="110"/>
      <c r="E281" s="109"/>
      <c r="F281" s="111">
        <v>600</v>
      </c>
      <c r="G281" s="369">
        <v>21024922</v>
      </c>
      <c r="H281" s="369"/>
      <c r="I281" s="369">
        <f t="shared" si="10"/>
        <v>21024922</v>
      </c>
      <c r="J281" s="369">
        <v>21024922</v>
      </c>
      <c r="K281" s="286"/>
      <c r="L281" s="286">
        <f t="shared" si="11"/>
        <v>21024922</v>
      </c>
    </row>
    <row r="282" spans="1:12" ht="63" x14ac:dyDescent="0.2">
      <c r="A282" s="113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14"/>
      <c r="C282" s="109"/>
      <c r="D282" s="110"/>
      <c r="E282" s="109">
        <v>73110</v>
      </c>
      <c r="F282" s="111"/>
      <c r="G282" s="369">
        <v>236317535</v>
      </c>
      <c r="H282" s="369">
        <f t="shared" ref="H282:L282" si="192">H283+H284</f>
        <v>0</v>
      </c>
      <c r="I282" s="369">
        <f t="shared" si="192"/>
        <v>236317535</v>
      </c>
      <c r="J282" s="369">
        <v>236317535</v>
      </c>
      <c r="K282" s="286">
        <f t="shared" si="192"/>
        <v>0</v>
      </c>
      <c r="L282" s="286">
        <f t="shared" si="192"/>
        <v>236317535</v>
      </c>
    </row>
    <row r="283" spans="1:12" ht="110.25" x14ac:dyDescent="0.2">
      <c r="A283" s="113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14"/>
      <c r="C283" s="109"/>
      <c r="D283" s="110"/>
      <c r="E283" s="109"/>
      <c r="F283" s="111">
        <v>100</v>
      </c>
      <c r="G283" s="369">
        <v>228152620</v>
      </c>
      <c r="H283" s="369"/>
      <c r="I283" s="369">
        <f t="shared" si="10"/>
        <v>228152620</v>
      </c>
      <c r="J283" s="369">
        <v>228152620</v>
      </c>
      <c r="K283" s="286"/>
      <c r="L283" s="286">
        <f t="shared" si="11"/>
        <v>228152620</v>
      </c>
    </row>
    <row r="284" spans="1:12" ht="63" x14ac:dyDescent="0.2">
      <c r="A284" s="113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IF(B284&gt;0,VLOOKUP(B284,КВСР!A93:B1258,2),IF(C284&gt;0,VLOOKUP(C284,КФСР!A93:B1605,2),IF(D284&gt;0,VLOOKUP(D284,Программа!A$1:B$5124,2),IF(F284&gt;0,VLOOKUP(F284,КВР!A$1:B$5001,2),IF(E284&gt;0,VLOOKUP(E284,Направление!A$1:B$4812,2))))))</f>
        <v xml:space="preserve">Закупка товаров, работ и услуг для обеспечения государственных (муниципальных) нужд
</v>
      </c>
      <c r="B284" s="114"/>
      <c r="C284" s="109"/>
      <c r="D284" s="110"/>
      <c r="E284" s="109"/>
      <c r="F284" s="111">
        <v>200</v>
      </c>
      <c r="G284" s="369">
        <v>8164915</v>
      </c>
      <c r="H284" s="369"/>
      <c r="I284" s="369">
        <f t="shared" si="10"/>
        <v>8164915</v>
      </c>
      <c r="J284" s="369">
        <v>8164915</v>
      </c>
      <c r="K284" s="286"/>
      <c r="L284" s="286">
        <f t="shared" si="11"/>
        <v>8164915</v>
      </c>
    </row>
    <row r="285" spans="1:12" ht="63" x14ac:dyDescent="0.2">
      <c r="A285" s="113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285" s="114"/>
      <c r="C285" s="109"/>
      <c r="D285" s="110"/>
      <c r="E285" s="109">
        <v>75890</v>
      </c>
      <c r="F285" s="111"/>
      <c r="G285" s="369">
        <v>623000</v>
      </c>
      <c r="H285" s="369">
        <f>H286</f>
        <v>0</v>
      </c>
      <c r="I285" s="369">
        <f t="shared" ref="I285:L285" si="193">I286</f>
        <v>623000</v>
      </c>
      <c r="J285" s="369">
        <v>623000</v>
      </c>
      <c r="K285" s="369">
        <f t="shared" si="193"/>
        <v>0</v>
      </c>
      <c r="L285" s="369">
        <f t="shared" si="193"/>
        <v>623000</v>
      </c>
    </row>
    <row r="286" spans="1:12" ht="110.25" x14ac:dyDescent="0.2">
      <c r="A286" s="113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14"/>
      <c r="C286" s="109"/>
      <c r="D286" s="110"/>
      <c r="E286" s="109"/>
      <c r="F286" s="111">
        <v>100</v>
      </c>
      <c r="G286" s="369">
        <v>623000</v>
      </c>
      <c r="H286" s="369"/>
      <c r="I286" s="369">
        <f t="shared" si="10"/>
        <v>623000</v>
      </c>
      <c r="J286" s="369">
        <v>623000</v>
      </c>
      <c r="K286" s="286"/>
      <c r="L286" s="286">
        <f t="shared" si="11"/>
        <v>623000</v>
      </c>
    </row>
    <row r="287" spans="1:12" ht="15.75" x14ac:dyDescent="0.2">
      <c r="A287" s="113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IF(B287&gt;0,VLOOKUP(B287,КВСР!A90:B1255,2),IF(C287&gt;0,VLOOKUP(C287,КФСР!A90:B1602,2),IF(D287&gt;0,VLOOKUP(D287,Программа!A$1:B$5124,2),IF(F287&gt;0,VLOOKUP(F287,КВР!A$1:B$5001,2),IF(E287&gt;0,VLOOKUP(E287,Направление!A$1:B$4812,2))))))</f>
        <v>Общее образование</v>
      </c>
      <c r="B287" s="114"/>
      <c r="C287" s="109">
        <v>702</v>
      </c>
      <c r="D287" s="110"/>
      <c r="E287" s="109"/>
      <c r="F287" s="111"/>
      <c r="G287" s="369">
        <v>501696553</v>
      </c>
      <c r="H287" s="369">
        <f t="shared" ref="H287:I287" si="194">H288</f>
        <v>0</v>
      </c>
      <c r="I287" s="369">
        <f t="shared" si="194"/>
        <v>501696553</v>
      </c>
      <c r="J287" s="369">
        <v>476872900</v>
      </c>
      <c r="K287" s="286">
        <f t="shared" ref="K287:L288" si="195">K288</f>
        <v>0</v>
      </c>
      <c r="L287" s="286">
        <f t="shared" si="195"/>
        <v>476872900</v>
      </c>
    </row>
    <row r="288" spans="1:12" ht="63" x14ac:dyDescent="0.2">
      <c r="A288" s="113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288" s="114"/>
      <c r="C288" s="109"/>
      <c r="D288" s="110" t="s">
        <v>367</v>
      </c>
      <c r="E288" s="109"/>
      <c r="F288" s="111"/>
      <c r="G288" s="369">
        <v>501696553</v>
      </c>
      <c r="H288" s="369">
        <f>H289</f>
        <v>0</v>
      </c>
      <c r="I288" s="369">
        <f>I289</f>
        <v>501696553</v>
      </c>
      <c r="J288" s="369">
        <v>476872900</v>
      </c>
      <c r="K288" s="369">
        <f t="shared" si="195"/>
        <v>0</v>
      </c>
      <c r="L288" s="369">
        <f t="shared" si="195"/>
        <v>476872900</v>
      </c>
    </row>
    <row r="289" spans="1:12" ht="63" x14ac:dyDescent="0.2">
      <c r="A289" s="113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14"/>
      <c r="C289" s="109"/>
      <c r="D289" s="110" t="s">
        <v>369</v>
      </c>
      <c r="E289" s="109"/>
      <c r="F289" s="111"/>
      <c r="G289" s="369">
        <v>501696553</v>
      </c>
      <c r="H289" s="369">
        <f>H290+H301</f>
        <v>0</v>
      </c>
      <c r="I289" s="369">
        <f>I290+I301</f>
        <v>501696553</v>
      </c>
      <c r="J289" s="369">
        <v>476872900</v>
      </c>
      <c r="K289" s="369">
        <f t="shared" ref="K289" si="196">K290+K301</f>
        <v>0</v>
      </c>
      <c r="L289" s="369">
        <f t="shared" ref="L289" si="197">L290+L301</f>
        <v>476872900</v>
      </c>
    </row>
    <row r="290" spans="1:12" ht="47.25" x14ac:dyDescent="0.2">
      <c r="A290" s="113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IF(B290&gt;0,VLOOKUP(B290,КВСР!A93:B1258,2),IF(C290&gt;0,VLOOKUP(C290,КФСР!A93:B1605,2),IF(D290&gt;0,VLOOKUP(D290,Программа!A$1:B$5124,2),IF(F290&gt;0,VLOOKUP(F290,КВР!A$1:B$5001,2),IF(E290&gt;0,VLOOKUP(E290,Направление!A$1:B$4812,2))))))</f>
        <v>Обеспечение качества и доступности образовательных услуг в сфере общего образования</v>
      </c>
      <c r="B290" s="114"/>
      <c r="C290" s="109"/>
      <c r="D290" s="110" t="s">
        <v>409</v>
      </c>
      <c r="E290" s="109"/>
      <c r="F290" s="111"/>
      <c r="G290" s="369">
        <v>499852113</v>
      </c>
      <c r="H290" s="369">
        <f>H291+H293+H295+H297+H299</f>
        <v>0</v>
      </c>
      <c r="I290" s="369">
        <f>I291+I293+I295+I297+I299</f>
        <v>499852113</v>
      </c>
      <c r="J290" s="369">
        <v>474789040</v>
      </c>
      <c r="K290" s="369">
        <f t="shared" ref="K290" si="198">K291+K293+K295+K297+K299</f>
        <v>0</v>
      </c>
      <c r="L290" s="369">
        <f t="shared" ref="L290" si="199">L291+L293+L295+L297+L299</f>
        <v>474789040</v>
      </c>
    </row>
    <row r="291" spans="1:12" ht="31.5" x14ac:dyDescent="0.2">
      <c r="A291" s="113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IF(B291&gt;0,VLOOKUP(B291,КВСР!A94:B1259,2),IF(C291&gt;0,VLOOKUP(C291,КФСР!A94:B1606,2),IF(D291&gt;0,VLOOKUP(D291,Программа!A$1:B$5124,2),IF(F291&gt;0,VLOOKUP(F291,КВР!A$1:B$5001,2),IF(E291&gt;0,VLOOKUP(E291,Направление!A$1:B$4812,2))))))</f>
        <v>Обеспечение деятельности общеобразовательных учреждений</v>
      </c>
      <c r="B291" s="114"/>
      <c r="C291" s="109"/>
      <c r="D291" s="110"/>
      <c r="E291" s="109">
        <v>13110</v>
      </c>
      <c r="F291" s="111"/>
      <c r="G291" s="369">
        <v>39225892</v>
      </c>
      <c r="H291" s="369">
        <f t="shared" ref="H291:I291" si="200">H292</f>
        <v>0</v>
      </c>
      <c r="I291" s="369">
        <f t="shared" si="200"/>
        <v>39225892</v>
      </c>
      <c r="J291" s="369">
        <v>11786805</v>
      </c>
      <c r="K291" s="286">
        <f t="shared" ref="K291:L291" si="201">K292</f>
        <v>0</v>
      </c>
      <c r="L291" s="286">
        <f t="shared" si="201"/>
        <v>11786805</v>
      </c>
    </row>
    <row r="292" spans="1:12" ht="47.25" x14ac:dyDescent="0.2">
      <c r="A292" s="113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IF(B292&gt;0,VLOOKUP(B292,КВСР!A96:B1261,2),IF(C292&gt;0,VLOOKUP(C292,КФСР!A96:B1608,2),IF(D292&gt;0,VLOOKUP(D292,Программа!A$1:B$5124,2),IF(F292&gt;0,VLOOKUP(F292,КВР!A$1:B$5001,2),IF(E292&gt;0,VLOOKUP(E292,Направление!A$1:B$4812,2))))))</f>
        <v>Предоставление субсидий бюджетным, автономным учреждениям и иным некоммерческим организациям</v>
      </c>
      <c r="B292" s="120"/>
      <c r="C292" s="121"/>
      <c r="D292" s="123"/>
      <c r="E292" s="121"/>
      <c r="F292" s="122">
        <v>600</v>
      </c>
      <c r="G292" s="369">
        <v>39225892</v>
      </c>
      <c r="H292" s="369"/>
      <c r="I292" s="369">
        <f t="shared" si="10"/>
        <v>39225892</v>
      </c>
      <c r="J292" s="369">
        <v>11786805</v>
      </c>
      <c r="K292" s="286"/>
      <c r="L292" s="286">
        <f t="shared" si="11"/>
        <v>11786805</v>
      </c>
    </row>
    <row r="293" spans="1:12" ht="78.75" x14ac:dyDescent="0.2">
      <c r="A293" s="113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IF(B293&gt;0,VLOOKUP(B293,КВСР!A100:B1265,2),IF(C293&gt;0,VLOOKUP(C293,КФСР!A100:B1612,2),IF(D293&gt;0,VLOOKUP(D293,Программа!A$1:B$5124,2),IF(F293&gt;0,VLOOKUP(F293,КВР!A$1:B$5001,2),IF(E293&gt;0,VLOOKUP(E293,Направление!A$1:B$4812,2))))))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20"/>
      <c r="C293" s="121"/>
      <c r="D293" s="110"/>
      <c r="E293" s="109">
        <v>53031</v>
      </c>
      <c r="F293" s="122"/>
      <c r="G293" s="369">
        <v>23201640</v>
      </c>
      <c r="H293" s="369">
        <f t="shared" ref="H293" si="202">H294</f>
        <v>0</v>
      </c>
      <c r="I293" s="369">
        <f t="shared" si="10"/>
        <v>23201640</v>
      </c>
      <c r="J293" s="369">
        <v>24764040</v>
      </c>
      <c r="K293" s="286">
        <f t="shared" ref="K293" si="203">K294</f>
        <v>0</v>
      </c>
      <c r="L293" s="286">
        <f t="shared" si="11"/>
        <v>24764040</v>
      </c>
    </row>
    <row r="294" spans="1:12" ht="47.25" x14ac:dyDescent="0.2">
      <c r="A294" s="113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IF(B294&gt;0,VLOOKUP(B294,КВСР!A101:B1266,2),IF(C294&gt;0,VLOOKUP(C294,КФСР!A101:B1613,2),IF(D294&gt;0,VLOOKUP(D294,Программа!A$1:B$5124,2),IF(F294&gt;0,VLOOKUP(F294,КВР!A$1:B$5001,2),IF(E294&gt;0,VLOOKUP(E294,Направление!A$1:B$4812,2))))))</f>
        <v>Предоставление субсидий бюджетным, автономным учреждениям и иным некоммерческим организациям</v>
      </c>
      <c r="B294" s="120"/>
      <c r="C294" s="121"/>
      <c r="D294" s="123"/>
      <c r="E294" s="121"/>
      <c r="F294" s="122">
        <v>600</v>
      </c>
      <c r="G294" s="369">
        <v>23201640</v>
      </c>
      <c r="H294" s="369"/>
      <c r="I294" s="369">
        <f t="shared" si="10"/>
        <v>23201640</v>
      </c>
      <c r="J294" s="369">
        <v>24764040</v>
      </c>
      <c r="K294" s="286"/>
      <c r="L294" s="286">
        <f t="shared" si="11"/>
        <v>24764040</v>
      </c>
    </row>
    <row r="295" spans="1:12" ht="47.25" x14ac:dyDescent="0.2">
      <c r="A295" s="113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IF(B295&gt;0,VLOOKUP(B295,КВСР!A102:B1267,2),IF(C295&gt;0,VLOOKUP(C295,КФСР!A102:B1614,2),IF(D295&gt;0,VLOOKUP(D295,Программа!A$1:B$5124,2),IF(F295&gt;0,VLOOKUP(F295,КВР!A$1:B$5001,2),IF(E295&gt;0,VLOOKUP(E295,Направление!A$1:B$4812,2))))))</f>
        <v>Организация образовательного процесса в образовательных учреждениях за счет средств областного бюджета</v>
      </c>
      <c r="B295" s="120"/>
      <c r="C295" s="121"/>
      <c r="D295" s="123"/>
      <c r="E295" s="121">
        <v>70520</v>
      </c>
      <c r="F295" s="122"/>
      <c r="G295" s="369">
        <v>387258478</v>
      </c>
      <c r="H295" s="369">
        <f t="shared" ref="H295:I295" si="204">H296</f>
        <v>0</v>
      </c>
      <c r="I295" s="369">
        <f t="shared" si="204"/>
        <v>387258478</v>
      </c>
      <c r="J295" s="369">
        <v>387258478</v>
      </c>
      <c r="K295" s="286">
        <f t="shared" ref="K295:L295" si="205">K296</f>
        <v>0</v>
      </c>
      <c r="L295" s="286">
        <f t="shared" si="205"/>
        <v>387258478</v>
      </c>
    </row>
    <row r="296" spans="1:12" ht="47.25" x14ac:dyDescent="0.2">
      <c r="A296" s="113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IF(B296&gt;0,VLOOKUP(B296,КВСР!A103:B1268,2),IF(C296&gt;0,VLOOKUP(C296,КФСР!A103:B1615,2),IF(D296&gt;0,VLOOKUP(D296,Программа!A$1:B$5124,2),IF(F296&gt;0,VLOOKUP(F296,КВР!A$1:B$5001,2),IF(E296&gt;0,VLOOKUP(E296,Направление!A$1:B$4812,2))))))</f>
        <v>Предоставление субсидий бюджетным, автономным учреждениям и иным некоммерческим организациям</v>
      </c>
      <c r="B296" s="120"/>
      <c r="C296" s="121"/>
      <c r="D296" s="123"/>
      <c r="E296" s="121"/>
      <c r="F296" s="122">
        <v>600</v>
      </c>
      <c r="G296" s="369">
        <v>387258478</v>
      </c>
      <c r="H296" s="369"/>
      <c r="I296" s="369">
        <f t="shared" si="10"/>
        <v>387258478</v>
      </c>
      <c r="J296" s="369">
        <v>387258478</v>
      </c>
      <c r="K296" s="286"/>
      <c r="L296" s="286">
        <f t="shared" si="11"/>
        <v>387258478</v>
      </c>
    </row>
    <row r="297" spans="1:12" ht="63" x14ac:dyDescent="0.2">
      <c r="A297" s="113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IF(B297&gt;0,VLOOKUP(B297,КВСР!A109:B1274,2),IF(C297&gt;0,VLOOKUP(C297,КФСР!A109:B1621,2),IF(D297&gt;0,VLOOKUP(D297,Программа!A$1:B$5124,2),IF(F297&gt;0,VLOOKUP(F297,КВР!A$1:B$5001,2),IF(E297&gt;0,VLOOKUP(E297,Направление!A$1:B$4812,2))))))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20"/>
      <c r="C297" s="121"/>
      <c r="D297" s="123"/>
      <c r="E297" s="121">
        <v>70530</v>
      </c>
      <c r="F297" s="122"/>
      <c r="G297" s="369">
        <v>21231600</v>
      </c>
      <c r="H297" s="369">
        <f t="shared" ref="H297:I297" si="206">H298</f>
        <v>0</v>
      </c>
      <c r="I297" s="369">
        <f t="shared" si="206"/>
        <v>21231600</v>
      </c>
      <c r="J297" s="369">
        <v>21231600</v>
      </c>
      <c r="K297" s="286">
        <f t="shared" ref="K297:L297" si="207">K298</f>
        <v>0</v>
      </c>
      <c r="L297" s="286">
        <f t="shared" si="207"/>
        <v>21231600</v>
      </c>
    </row>
    <row r="298" spans="1:12" ht="47.25" x14ac:dyDescent="0.2">
      <c r="A298" s="113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IF(B298&gt;0,VLOOKUP(B298,КВСР!A110:B1275,2),IF(C298&gt;0,VLOOKUP(C298,КФСР!A110:B1622,2),IF(D298&gt;0,VLOOKUP(D298,Программа!A$1:B$5124,2),IF(F298&gt;0,VLOOKUP(F298,КВР!A$1:B$5001,2),IF(E298&gt;0,VLOOKUP(E298,Направление!A$1:B$4812,2))))))</f>
        <v>Предоставление субсидий бюджетным, автономным учреждениям и иным некоммерческим организациям</v>
      </c>
      <c r="B298" s="120"/>
      <c r="C298" s="121"/>
      <c r="D298" s="123"/>
      <c r="E298" s="121"/>
      <c r="F298" s="122">
        <v>600</v>
      </c>
      <c r="G298" s="369">
        <v>21231600</v>
      </c>
      <c r="H298" s="369"/>
      <c r="I298" s="369">
        <f t="shared" si="10"/>
        <v>21231600</v>
      </c>
      <c r="J298" s="369">
        <v>21231600</v>
      </c>
      <c r="K298" s="286"/>
      <c r="L298" s="286">
        <f t="shared" si="11"/>
        <v>21231600</v>
      </c>
    </row>
    <row r="299" spans="1:12" ht="78.75" x14ac:dyDescent="0.2">
      <c r="A299" s="113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IF(B299&gt;0,VLOOKUP(B299,КВСР!A111:B1276,2),IF(C299&gt;0,VLOOKUP(C299,КФСР!A111:B1623,2),IF(D299&gt;0,VLOOKUP(D299,Программа!A$1:B$5124,2),IF(F299&gt;0,VLOOKUP(F299,КВР!A$1:B$5001,2),IF(E299&gt;0,VLOOKUP(E299,Направление!A$1:B$4812,2))))))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20"/>
      <c r="C299" s="121"/>
      <c r="D299" s="123"/>
      <c r="E299" s="121" t="s">
        <v>1514</v>
      </c>
      <c r="F299" s="122"/>
      <c r="G299" s="369">
        <v>28934503</v>
      </c>
      <c r="H299" s="369">
        <f t="shared" ref="H299:L299" si="208">H300</f>
        <v>0</v>
      </c>
      <c r="I299" s="369">
        <f t="shared" si="208"/>
        <v>28934503</v>
      </c>
      <c r="J299" s="369">
        <v>29748117</v>
      </c>
      <c r="K299" s="369">
        <f t="shared" si="208"/>
        <v>0</v>
      </c>
      <c r="L299" s="369">
        <f t="shared" si="208"/>
        <v>29748117</v>
      </c>
    </row>
    <row r="300" spans="1:12" ht="47.25" x14ac:dyDescent="0.2">
      <c r="A300" s="113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IF(B300&gt;0,VLOOKUP(B300,КВСР!A112:B1277,2),IF(C300&gt;0,VLOOKUP(C300,КФСР!A112:B1624,2),IF(D300&gt;0,VLOOKUP(D300,Программа!A$1:B$5124,2),IF(F300&gt;0,VLOOKUP(F300,КВР!A$1:B$5001,2),IF(E300&gt;0,VLOOKUP(E300,Направление!A$1:B$4812,2))))))</f>
        <v>Предоставление субсидий бюджетным, автономным учреждениям и иным некоммерческим организациям</v>
      </c>
      <c r="B300" s="120"/>
      <c r="C300" s="121"/>
      <c r="D300" s="123"/>
      <c r="E300" s="121"/>
      <c r="F300" s="122">
        <v>600</v>
      </c>
      <c r="G300" s="369">
        <v>28934503</v>
      </c>
      <c r="H300" s="369"/>
      <c r="I300" s="369">
        <f t="shared" si="10"/>
        <v>28934503</v>
      </c>
      <c r="J300" s="369">
        <v>29748117</v>
      </c>
      <c r="K300" s="286"/>
      <c r="L300" s="286">
        <f t="shared" si="11"/>
        <v>29748117</v>
      </c>
    </row>
    <row r="301" spans="1:12" ht="31.5" x14ac:dyDescent="0.2">
      <c r="A301" s="113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IF(B301&gt;0,VLOOKUP(B301,КВСР!A113:B1278,2),IF(C301&gt;0,VLOOKUP(C301,КФСР!A113:B1625,2),IF(D301&gt;0,VLOOKUP(D301,Программа!A$1:B$5124,2),IF(F301&gt;0,VLOOKUP(F301,КВР!A$1:B$5001,2),IF(E301&gt;0,VLOOKUP(E301,Направление!A$1:B$4812,2))))))</f>
        <v>Региональный проект "Успех каждого ребенка"</v>
      </c>
      <c r="B301" s="120"/>
      <c r="C301" s="121"/>
      <c r="D301" s="123" t="s">
        <v>1429</v>
      </c>
      <c r="E301" s="121"/>
      <c r="F301" s="122"/>
      <c r="G301" s="369">
        <v>1844440</v>
      </c>
      <c r="H301" s="369">
        <f>H302</f>
        <v>0</v>
      </c>
      <c r="I301" s="369">
        <f t="shared" ref="I301:L302" si="209">I302</f>
        <v>1844440</v>
      </c>
      <c r="J301" s="369">
        <v>2083860</v>
      </c>
      <c r="K301" s="369">
        <f t="shared" si="209"/>
        <v>0</v>
      </c>
      <c r="L301" s="369">
        <f t="shared" si="209"/>
        <v>2083860</v>
      </c>
    </row>
    <row r="302" spans="1:12" ht="78.75" x14ac:dyDescent="0.2">
      <c r="A302" s="113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IF(B302&gt;0,VLOOKUP(B302,КВСР!A114:B1279,2),IF(C302&gt;0,VLOOKUP(C302,КФСР!A114:B1626,2),IF(D302&gt;0,VLOOKUP(D302,Программа!A$1:B$5124,2),IF(F302&gt;0,VLOOKUP(F302,КВР!A$1:B$5001,2),IF(E302&gt;0,VLOOKUP(E302,Направление!A$1:B$4812,2))))))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20"/>
      <c r="C302" s="121"/>
      <c r="D302" s="123"/>
      <c r="E302" s="121">
        <v>50970</v>
      </c>
      <c r="F302" s="122"/>
      <c r="G302" s="369">
        <v>1844440</v>
      </c>
      <c r="H302" s="369">
        <f>H303</f>
        <v>0</v>
      </c>
      <c r="I302" s="369">
        <f t="shared" si="209"/>
        <v>1844440</v>
      </c>
      <c r="J302" s="369">
        <v>2083860</v>
      </c>
      <c r="K302" s="369">
        <f t="shared" si="209"/>
        <v>0</v>
      </c>
      <c r="L302" s="369">
        <f t="shared" si="209"/>
        <v>2083860</v>
      </c>
    </row>
    <row r="303" spans="1:12" ht="47.25" x14ac:dyDescent="0.2">
      <c r="A303" s="113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IF(B303&gt;0,VLOOKUP(B303,КВСР!A115:B1280,2),IF(C303&gt;0,VLOOKUP(C303,КФСР!A115:B1627,2),IF(D303&gt;0,VLOOKUP(D303,Программа!A$1:B$5124,2),IF(F303&gt;0,VLOOKUP(F303,КВР!A$1:B$5001,2),IF(E303&gt;0,VLOOKUP(E303,Направление!A$1:B$4812,2))))))</f>
        <v>Предоставление субсидий бюджетным, автономным учреждениям и иным некоммерческим организациям</v>
      </c>
      <c r="B303" s="120"/>
      <c r="C303" s="121"/>
      <c r="D303" s="123"/>
      <c r="E303" s="121"/>
      <c r="F303" s="122">
        <v>600</v>
      </c>
      <c r="G303" s="369">
        <v>1844440</v>
      </c>
      <c r="H303" s="369"/>
      <c r="I303" s="369">
        <f>G303+H303</f>
        <v>1844440</v>
      </c>
      <c r="J303" s="369">
        <v>2083860</v>
      </c>
      <c r="K303" s="286"/>
      <c r="L303" s="286">
        <f>J303+K303</f>
        <v>2083860</v>
      </c>
    </row>
    <row r="304" spans="1:12" ht="15.75" x14ac:dyDescent="0.2">
      <c r="A304" s="113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IF(B304&gt;0,VLOOKUP(B304,КВСР!A111:B1276,2),IF(C304&gt;0,VLOOKUP(C304,КФСР!A111:B1623,2),IF(D304&gt;0,VLOOKUP(D304,Программа!A$1:B$5124,2),IF(F304&gt;0,VLOOKUP(F304,КВР!A$1:B$5001,2),IF(E304&gt;0,VLOOKUP(E304,Направление!A$1:B$4812,2))))))</f>
        <v>Дополнительное образование детей</v>
      </c>
      <c r="B304" s="120"/>
      <c r="C304" s="121">
        <v>703</v>
      </c>
      <c r="D304" s="122"/>
      <c r="E304" s="121"/>
      <c r="F304" s="122"/>
      <c r="G304" s="369">
        <v>46919472</v>
      </c>
      <c r="H304" s="369">
        <f t="shared" ref="H304:I306" si="210">H305</f>
        <v>0</v>
      </c>
      <c r="I304" s="369">
        <f t="shared" si="210"/>
        <v>46919472</v>
      </c>
      <c r="J304" s="369">
        <v>45219472</v>
      </c>
      <c r="K304" s="286">
        <f t="shared" ref="K304:L306" si="211">K305</f>
        <v>0</v>
      </c>
      <c r="L304" s="286">
        <f t="shared" si="211"/>
        <v>45219472</v>
      </c>
    </row>
    <row r="305" spans="1:12" ht="63" x14ac:dyDescent="0.2">
      <c r="A305" s="113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05" s="120"/>
      <c r="C305" s="121"/>
      <c r="D305" s="110" t="s">
        <v>367</v>
      </c>
      <c r="E305" s="121"/>
      <c r="F305" s="122"/>
      <c r="G305" s="369">
        <v>46919472</v>
      </c>
      <c r="H305" s="369">
        <f t="shared" si="210"/>
        <v>0</v>
      </c>
      <c r="I305" s="369">
        <f t="shared" si="210"/>
        <v>46919472</v>
      </c>
      <c r="J305" s="369">
        <v>45219472</v>
      </c>
      <c r="K305" s="286">
        <f t="shared" si="211"/>
        <v>0</v>
      </c>
      <c r="L305" s="286">
        <f t="shared" si="211"/>
        <v>45219472</v>
      </c>
    </row>
    <row r="306" spans="1:12" ht="63" x14ac:dyDescent="0.2">
      <c r="A306" s="113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20"/>
      <c r="C306" s="121"/>
      <c r="D306" s="110" t="s">
        <v>369</v>
      </c>
      <c r="E306" s="121"/>
      <c r="F306" s="122"/>
      <c r="G306" s="369">
        <v>46919472</v>
      </c>
      <c r="H306" s="369">
        <f t="shared" si="210"/>
        <v>0</v>
      </c>
      <c r="I306" s="369">
        <f t="shared" si="210"/>
        <v>46919472</v>
      </c>
      <c r="J306" s="369">
        <v>45219472</v>
      </c>
      <c r="K306" s="286">
        <f t="shared" si="211"/>
        <v>0</v>
      </c>
      <c r="L306" s="286">
        <f t="shared" si="211"/>
        <v>45219472</v>
      </c>
    </row>
    <row r="307" spans="1:12" ht="47.25" x14ac:dyDescent="0.2">
      <c r="A307" s="113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IF(B307&gt;0,VLOOKUP(B307,КВСР!A114:B1279,2),IF(C307&gt;0,VLOOKUP(C307,КФСР!A114:B1626,2),IF(D307&gt;0,VLOOKUP(D307,Программа!A$1:B$5124,2),IF(F307&gt;0,VLOOKUP(F307,КВР!A$1:B$5001,2),IF(E307&gt;0,VLOOKUP(E307,Направление!A$1:B$4812,2))))))</f>
        <v>Обеспечение качества и доступности образовательных услуг в сфере дополнительного образования</v>
      </c>
      <c r="B307" s="120"/>
      <c r="C307" s="121"/>
      <c r="D307" s="123" t="s">
        <v>431</v>
      </c>
      <c r="E307" s="121"/>
      <c r="F307" s="122"/>
      <c r="G307" s="369">
        <v>46919472</v>
      </c>
      <c r="H307" s="369">
        <f>H311+H308+H315+H317+H319</f>
        <v>0</v>
      </c>
      <c r="I307" s="369">
        <f t="shared" ref="I307:L307" si="212">I311+I308+I315+I317+I319</f>
        <v>46919472</v>
      </c>
      <c r="J307" s="369">
        <v>45219472</v>
      </c>
      <c r="K307" s="369">
        <f t="shared" si="212"/>
        <v>0</v>
      </c>
      <c r="L307" s="369">
        <f t="shared" si="212"/>
        <v>45219472</v>
      </c>
    </row>
    <row r="308" spans="1:12" ht="31.5" x14ac:dyDescent="0.2">
      <c r="A308" s="113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IF(B308&gt;0,VLOOKUP(B308,КВСР!A115:B1280,2),IF(C308&gt;0,VLOOKUP(C308,КФСР!A115:B1627,2),IF(D308&gt;0,VLOOKUP(D308,Программа!A$1:B$5124,2),IF(F308&gt;0,VLOOKUP(F308,КВР!A$1:B$5001,2),IF(E308&gt;0,VLOOKUP(E308,Направление!A$1:B$4812,2))))))</f>
        <v>Обеспечение деятельности дошкольных учреждений</v>
      </c>
      <c r="B308" s="120"/>
      <c r="C308" s="121"/>
      <c r="D308" s="123"/>
      <c r="E308" s="121">
        <v>13010</v>
      </c>
      <c r="F308" s="122"/>
      <c r="G308" s="369">
        <v>2450000</v>
      </c>
      <c r="H308" s="369">
        <f>H309+H310</f>
        <v>0</v>
      </c>
      <c r="I308" s="369">
        <f>I309+I310</f>
        <v>2450000</v>
      </c>
      <c r="J308" s="369">
        <v>2450000</v>
      </c>
      <c r="K308" s="369">
        <f t="shared" ref="K308" si="213">K309+K310</f>
        <v>0</v>
      </c>
      <c r="L308" s="369">
        <f t="shared" ref="L308" si="214">L309+L310</f>
        <v>2450000</v>
      </c>
    </row>
    <row r="309" spans="1:12" ht="110.25" x14ac:dyDescent="0.2">
      <c r="A309" s="113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20"/>
      <c r="C309" s="121"/>
      <c r="D309" s="123"/>
      <c r="E309" s="121"/>
      <c r="F309" s="122">
        <v>100</v>
      </c>
      <c r="G309" s="369">
        <v>94760</v>
      </c>
      <c r="H309" s="369"/>
      <c r="I309" s="369">
        <f>H309+G309</f>
        <v>94760</v>
      </c>
      <c r="J309" s="369">
        <v>94760</v>
      </c>
      <c r="K309" s="286"/>
      <c r="L309" s="369">
        <f>K309+J309</f>
        <v>94760</v>
      </c>
    </row>
    <row r="310" spans="1:12" ht="63" x14ac:dyDescent="0.2">
      <c r="A310" s="113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IF(B310&gt;0,VLOOKUP(B310,КВСР!A117:B1282,2),IF(C310&gt;0,VLOOKUP(C310,КФСР!A117:B1629,2),IF(D310&gt;0,VLOOKUP(D310,Программа!A$1:B$5124,2),IF(F310&gt;0,VLOOKUP(F310,КВР!A$1:B$5001,2),IF(E310&gt;0,VLOOKUP(E310,Направление!A$1:B$4812,2))))))</f>
        <v xml:space="preserve">Закупка товаров, работ и услуг для обеспечения государственных (муниципальных) нужд
</v>
      </c>
      <c r="B310" s="120"/>
      <c r="C310" s="121"/>
      <c r="D310" s="123"/>
      <c r="E310" s="121"/>
      <c r="F310" s="122">
        <v>200</v>
      </c>
      <c r="G310" s="369">
        <v>2355240</v>
      </c>
      <c r="H310" s="369"/>
      <c r="I310" s="369">
        <f>H310+G310</f>
        <v>2355240</v>
      </c>
      <c r="J310" s="369">
        <v>2355240</v>
      </c>
      <c r="K310" s="286"/>
      <c r="L310" s="369">
        <f>K310+J310</f>
        <v>2355240</v>
      </c>
    </row>
    <row r="311" spans="1:12" ht="31.5" x14ac:dyDescent="0.2">
      <c r="A311" s="113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IF(B311&gt;0,VLOOKUP(B311,КВСР!A115:B1280,2),IF(C311&gt;0,VLOOKUP(C311,КФСР!A115:B1627,2),IF(D311&gt;0,VLOOKUP(D311,Программа!A$1:B$5124,2),IF(F311&gt;0,VLOOKUP(F311,КВР!A$1:B$5001,2),IF(E311&gt;0,VLOOKUP(E311,Направление!A$1:B$4812,2))))))</f>
        <v>Обеспечение деятельности учреждений дополнительного образования</v>
      </c>
      <c r="B311" s="120"/>
      <c r="C311" s="121"/>
      <c r="D311" s="122"/>
      <c r="E311" s="121">
        <v>13210</v>
      </c>
      <c r="F311" s="122"/>
      <c r="G311" s="369">
        <v>17265714</v>
      </c>
      <c r="H311" s="369">
        <f>H314+H312+H313</f>
        <v>0</v>
      </c>
      <c r="I311" s="369">
        <f t="shared" ref="I311:L311" si="215">I314+I312+I313</f>
        <v>17265714</v>
      </c>
      <c r="J311" s="369">
        <v>15665714</v>
      </c>
      <c r="K311" s="369">
        <f t="shared" si="215"/>
        <v>0</v>
      </c>
      <c r="L311" s="369">
        <f t="shared" si="215"/>
        <v>15665714</v>
      </c>
    </row>
    <row r="312" spans="1:12" ht="110.25" hidden="1" x14ac:dyDescent="0.2">
      <c r="A312" s="113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20"/>
      <c r="C312" s="121"/>
      <c r="D312" s="122"/>
      <c r="E312" s="121"/>
      <c r="F312" s="122">
        <v>100</v>
      </c>
      <c r="G312" s="369">
        <v>0</v>
      </c>
      <c r="H312" s="369"/>
      <c r="I312" s="369">
        <f>G312+H312</f>
        <v>0</v>
      </c>
      <c r="J312" s="369">
        <v>0</v>
      </c>
      <c r="K312" s="286"/>
      <c r="L312" s="286">
        <f t="shared" ref="L312:L409" si="216">SUM(J312:K312)</f>
        <v>0</v>
      </c>
    </row>
    <row r="313" spans="1:12" ht="63" hidden="1" x14ac:dyDescent="0.2">
      <c r="A313" s="113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IF(B313&gt;0,VLOOKUP(B313,КВСР!A117:B1282,2),IF(C313&gt;0,VLOOKUP(C313,КФСР!A117:B1629,2),IF(D313&gt;0,VLOOKUP(D313,Программа!A$1:B$5124,2),IF(F313&gt;0,VLOOKUP(F313,КВР!A$1:B$5001,2),IF(E313&gt;0,VLOOKUP(E313,Направление!A$1:B$4812,2))))))</f>
        <v xml:space="preserve">Закупка товаров, работ и услуг для обеспечения государственных (муниципальных) нужд
</v>
      </c>
      <c r="B313" s="120"/>
      <c r="C313" s="121"/>
      <c r="D313" s="122"/>
      <c r="E313" s="121"/>
      <c r="F313" s="122">
        <v>200</v>
      </c>
      <c r="G313" s="369">
        <v>0</v>
      </c>
      <c r="H313" s="369"/>
      <c r="I313" s="369">
        <f>G313+H313</f>
        <v>0</v>
      </c>
      <c r="J313" s="369">
        <v>0</v>
      </c>
      <c r="K313" s="286"/>
      <c r="L313" s="286">
        <f t="shared" si="216"/>
        <v>0</v>
      </c>
    </row>
    <row r="314" spans="1:12" ht="47.25" x14ac:dyDescent="0.2">
      <c r="A314" s="113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IF(B314&gt;0,VLOOKUP(B314,КВСР!A116:B1281,2),IF(C314&gt;0,VLOOKUP(C314,КФСР!A116:B1628,2),IF(D314&gt;0,VLOOKUP(D314,Программа!A$1:B$5124,2),IF(F314&gt;0,VLOOKUP(F314,КВР!A$1:B$5001,2),IF(E314&gt;0,VLOOKUP(E314,Направление!A$1:B$4812,2))))))</f>
        <v>Предоставление субсидий бюджетным, автономным учреждениям и иным некоммерческим организациям</v>
      </c>
      <c r="B314" s="120"/>
      <c r="C314" s="121"/>
      <c r="D314" s="122"/>
      <c r="E314" s="121"/>
      <c r="F314" s="122">
        <v>600</v>
      </c>
      <c r="G314" s="369">
        <v>17265714</v>
      </c>
      <c r="H314" s="369"/>
      <c r="I314" s="369">
        <f t="shared" ref="I314:I409" si="217">SUM(G314:H314)</f>
        <v>17265714</v>
      </c>
      <c r="J314" s="369">
        <v>15665714</v>
      </c>
      <c r="K314" s="286"/>
      <c r="L314" s="286">
        <f t="shared" si="216"/>
        <v>15665714</v>
      </c>
    </row>
    <row r="315" spans="1:12" ht="31.5" x14ac:dyDescent="0.2">
      <c r="A315" s="113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IF(B315&gt;0,VLOOKUP(B315,КВСР!A117:B1282,2),IF(C315&gt;0,VLOOKUP(C315,КФСР!A117:B1629,2),IF(D315&gt;0,VLOOKUP(D315,Программа!A$1:B$5124,2),IF(F315&gt;0,VLOOKUP(F315,КВР!A$1:B$5001,2),IF(E315&gt;0,VLOOKUP(E315,Направление!A$1:B$4812,2))))))</f>
        <v>Обеспечение деятельности прочих учреждений в сфере образования</v>
      </c>
      <c r="B315" s="120"/>
      <c r="C315" s="121"/>
      <c r="D315" s="122"/>
      <c r="E315" s="121">
        <v>13310</v>
      </c>
      <c r="F315" s="122"/>
      <c r="G315" s="369">
        <v>600000</v>
      </c>
      <c r="H315" s="369">
        <f t="shared" ref="H315:L315" si="218">H316</f>
        <v>0</v>
      </c>
      <c r="I315" s="369">
        <f t="shared" si="218"/>
        <v>600000</v>
      </c>
      <c r="J315" s="369">
        <v>500000</v>
      </c>
      <c r="K315" s="369">
        <f t="shared" si="218"/>
        <v>0</v>
      </c>
      <c r="L315" s="369">
        <f t="shared" si="218"/>
        <v>500000</v>
      </c>
    </row>
    <row r="316" spans="1:12" ht="47.25" x14ac:dyDescent="0.2">
      <c r="A316" s="113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IF(B316&gt;0,VLOOKUP(B316,КВСР!A118:B1283,2),IF(C316&gt;0,VLOOKUP(C316,КФСР!A118:B1630,2),IF(D316&gt;0,VLOOKUP(D316,Программа!A$1:B$5124,2),IF(F316&gt;0,VLOOKUP(F316,КВР!A$1:B$5001,2),IF(E316&gt;0,VLOOKUP(E316,Направление!A$1:B$4812,2))))))</f>
        <v>Предоставление субсидий бюджетным, автономным учреждениям и иным некоммерческим организациям</v>
      </c>
      <c r="B316" s="120"/>
      <c r="C316" s="121"/>
      <c r="D316" s="122"/>
      <c r="E316" s="121"/>
      <c r="F316" s="831">
        <v>600</v>
      </c>
      <c r="G316" s="374">
        <v>600000</v>
      </c>
      <c r="H316" s="374"/>
      <c r="I316" s="374">
        <f>G316+H316</f>
        <v>600000</v>
      </c>
      <c r="J316" s="374">
        <v>500000</v>
      </c>
      <c r="K316" s="275"/>
      <c r="L316" s="275">
        <f>J316+K316</f>
        <v>500000</v>
      </c>
    </row>
    <row r="317" spans="1:12" ht="63" x14ac:dyDescent="0.2">
      <c r="A317" s="113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17" s="120"/>
      <c r="C317" s="121"/>
      <c r="D317" s="122"/>
      <c r="E317" s="121">
        <v>15890</v>
      </c>
      <c r="F317" s="831"/>
      <c r="G317" s="374">
        <v>18237286</v>
      </c>
      <c r="H317" s="374">
        <f>H318</f>
        <v>0</v>
      </c>
      <c r="I317" s="374">
        <f t="shared" ref="I317:L317" si="219">I318</f>
        <v>18237286</v>
      </c>
      <c r="J317" s="374">
        <v>18237286</v>
      </c>
      <c r="K317" s="374">
        <f t="shared" si="219"/>
        <v>0</v>
      </c>
      <c r="L317" s="374">
        <f t="shared" si="219"/>
        <v>18237286</v>
      </c>
    </row>
    <row r="318" spans="1:12" ht="47.25" x14ac:dyDescent="0.2">
      <c r="A318" s="113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IF(B318&gt;0,VLOOKUP(B318,КВСР!A120:B1285,2),IF(C318&gt;0,VLOOKUP(C318,КФСР!A120:B1632,2),IF(D318&gt;0,VLOOKUP(D318,Программа!A$1:B$5124,2),IF(F318&gt;0,VLOOKUP(F318,КВР!A$1:B$5001,2),IF(E318&gt;0,VLOOKUP(E318,Направление!A$1:B$4812,2))))))</f>
        <v>Предоставление субсидий бюджетным, автономным учреждениям и иным некоммерческим организациям</v>
      </c>
      <c r="B318" s="120"/>
      <c r="C318" s="121"/>
      <c r="D318" s="122"/>
      <c r="E318" s="121"/>
      <c r="F318" s="831">
        <v>600</v>
      </c>
      <c r="G318" s="374">
        <v>18237286</v>
      </c>
      <c r="H318" s="374"/>
      <c r="I318" s="374">
        <f t="shared" ref="I318:I320" si="220">G318+H318</f>
        <v>18237286</v>
      </c>
      <c r="J318" s="374">
        <v>18237286</v>
      </c>
      <c r="K318" s="275"/>
      <c r="L318" s="275">
        <f t="shared" ref="L318:L320" si="221">J318+K318</f>
        <v>18237286</v>
      </c>
    </row>
    <row r="319" spans="1:12" ht="63" x14ac:dyDescent="0.2">
      <c r="A319" s="113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19" s="120"/>
      <c r="C319" s="121"/>
      <c r="D319" s="122"/>
      <c r="E319" s="121">
        <v>75890</v>
      </c>
      <c r="F319" s="831"/>
      <c r="G319" s="374">
        <v>8366472</v>
      </c>
      <c r="H319" s="374">
        <f>H320</f>
        <v>0</v>
      </c>
      <c r="I319" s="374">
        <f t="shared" ref="I319:L319" si="222">I320</f>
        <v>8366472</v>
      </c>
      <c r="J319" s="374">
        <v>8366472</v>
      </c>
      <c r="K319" s="374">
        <f t="shared" si="222"/>
        <v>0</v>
      </c>
      <c r="L319" s="374">
        <f t="shared" si="222"/>
        <v>8366472</v>
      </c>
    </row>
    <row r="320" spans="1:12" ht="47.25" x14ac:dyDescent="0.2">
      <c r="A320" s="113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IF(B320&gt;0,VLOOKUP(B320,КВСР!A122:B1287,2),IF(C320&gt;0,VLOOKUP(C320,КФСР!A122:B1634,2),IF(D320&gt;0,VLOOKUP(D320,Программа!A$1:B$5124,2),IF(F320&gt;0,VLOOKUP(F320,КВР!A$1:B$5001,2),IF(E320&gt;0,VLOOKUP(E320,Направление!A$1:B$4812,2))))))</f>
        <v>Предоставление субсидий бюджетным, автономным учреждениям и иным некоммерческим организациям</v>
      </c>
      <c r="B320" s="120"/>
      <c r="C320" s="121"/>
      <c r="D320" s="122"/>
      <c r="E320" s="121"/>
      <c r="F320" s="831">
        <v>600</v>
      </c>
      <c r="G320" s="374">
        <v>8366472</v>
      </c>
      <c r="H320" s="374"/>
      <c r="I320" s="374">
        <f t="shared" si="220"/>
        <v>8366472</v>
      </c>
      <c r="J320" s="374">
        <v>8366472</v>
      </c>
      <c r="K320" s="275"/>
      <c r="L320" s="275">
        <f t="shared" si="221"/>
        <v>8366472</v>
      </c>
    </row>
    <row r="321" spans="1:12" ht="47.25" x14ac:dyDescent="0.2">
      <c r="A321" s="113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IF(B321&gt;0,VLOOKUP(B321,КВСР!A117:B1282,2),IF(C321&gt;0,VLOOKUP(C321,КФСР!A117:B1629,2),IF(D321&gt;0,VLOOKUP(D321,Программа!A$1:B$5124,2),IF(F321&gt;0,VLOOKUP(F321,КВР!A$1:B$5001,2),IF(E321&gt;0,VLOOKUP(E321,Направление!A$1:B$4812,2))))))</f>
        <v>Профессиональная подготовка, переподготовка и повышение квалификации</v>
      </c>
      <c r="B321" s="120"/>
      <c r="C321" s="121">
        <v>705</v>
      </c>
      <c r="D321" s="122"/>
      <c r="E321" s="121"/>
      <c r="F321" s="122"/>
      <c r="G321" s="369">
        <v>1000000</v>
      </c>
      <c r="H321" s="369">
        <f t="shared" ref="H321:L325" si="223">H322</f>
        <v>0</v>
      </c>
      <c r="I321" s="369">
        <f t="shared" si="223"/>
        <v>1000000</v>
      </c>
      <c r="J321" s="369">
        <v>500000</v>
      </c>
      <c r="K321" s="286">
        <f t="shared" si="223"/>
        <v>0</v>
      </c>
      <c r="L321" s="286">
        <f t="shared" si="223"/>
        <v>500000</v>
      </c>
    </row>
    <row r="322" spans="1:12" ht="63" x14ac:dyDescent="0.2">
      <c r="A322" s="113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22" s="120"/>
      <c r="C322" s="121"/>
      <c r="D322" s="123" t="s">
        <v>367</v>
      </c>
      <c r="E322" s="123"/>
      <c r="F322" s="123"/>
      <c r="G322" s="369">
        <v>1000000</v>
      </c>
      <c r="H322" s="369">
        <f t="shared" si="223"/>
        <v>0</v>
      </c>
      <c r="I322" s="369">
        <f t="shared" si="223"/>
        <v>1000000</v>
      </c>
      <c r="J322" s="369">
        <v>500000</v>
      </c>
      <c r="K322" s="286">
        <f t="shared" si="223"/>
        <v>0</v>
      </c>
      <c r="L322" s="286">
        <f t="shared" si="223"/>
        <v>500000</v>
      </c>
    </row>
    <row r="323" spans="1:12" ht="63" x14ac:dyDescent="0.2">
      <c r="A323" s="113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20"/>
      <c r="C323" s="121"/>
      <c r="D323" s="123" t="s">
        <v>369</v>
      </c>
      <c r="E323" s="123"/>
      <c r="F323" s="123"/>
      <c r="G323" s="369">
        <v>1000000</v>
      </c>
      <c r="H323" s="369">
        <f t="shared" si="223"/>
        <v>0</v>
      </c>
      <c r="I323" s="369">
        <f t="shared" si="223"/>
        <v>1000000</v>
      </c>
      <c r="J323" s="369">
        <v>500000</v>
      </c>
      <c r="K323" s="286">
        <f t="shared" si="223"/>
        <v>0</v>
      </c>
      <c r="L323" s="286">
        <f t="shared" si="223"/>
        <v>500000</v>
      </c>
    </row>
    <row r="324" spans="1:12" ht="78.75" x14ac:dyDescent="0.2">
      <c r="A324" s="113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20"/>
      <c r="C324" s="121"/>
      <c r="D324" s="123" t="s">
        <v>388</v>
      </c>
      <c r="E324" s="123"/>
      <c r="F324" s="123"/>
      <c r="G324" s="369">
        <v>1000000</v>
      </c>
      <c r="H324" s="369">
        <f t="shared" si="223"/>
        <v>0</v>
      </c>
      <c r="I324" s="369">
        <f t="shared" si="223"/>
        <v>1000000</v>
      </c>
      <c r="J324" s="369">
        <v>500000</v>
      </c>
      <c r="K324" s="286">
        <f t="shared" si="223"/>
        <v>0</v>
      </c>
      <c r="L324" s="286">
        <f t="shared" si="223"/>
        <v>500000</v>
      </c>
    </row>
    <row r="325" spans="1:12" ht="63" x14ac:dyDescent="0.2">
      <c r="A325" s="113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IF(B325&gt;0,VLOOKUP(B325,КВСР!A121:B1286,2),IF(C325&gt;0,VLOOKUP(C325,КФСР!A121:B1633,2),IF(D325&gt;0,VLOOKUP(D325,Программа!A$1:B$5124,2),IF(F325&gt;0,VLOOKUP(F325,КВР!A$1:B$5001,2),IF(E325&gt;0,VLOOKUP(E325,Направление!A$1:B$4812,2))))))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20"/>
      <c r="C325" s="121"/>
      <c r="D325" s="123"/>
      <c r="E325" s="123" t="s">
        <v>1169</v>
      </c>
      <c r="F325" s="123"/>
      <c r="G325" s="369">
        <v>1000000</v>
      </c>
      <c r="H325" s="369">
        <f t="shared" si="223"/>
        <v>0</v>
      </c>
      <c r="I325" s="369">
        <f t="shared" si="223"/>
        <v>1000000</v>
      </c>
      <c r="J325" s="369">
        <v>500000</v>
      </c>
      <c r="K325" s="286">
        <f t="shared" si="223"/>
        <v>0</v>
      </c>
      <c r="L325" s="286">
        <f t="shared" si="223"/>
        <v>500000</v>
      </c>
    </row>
    <row r="326" spans="1:12" ht="47.25" x14ac:dyDescent="0.2">
      <c r="A326" s="113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IF(B326&gt;0,VLOOKUP(B326,КВСР!A122:B1287,2),IF(C326&gt;0,VLOOKUP(C326,КФСР!A122:B1634,2),IF(D326&gt;0,VLOOKUP(D326,Программа!A$1:B$5124,2),IF(F326&gt;0,VLOOKUP(F326,КВР!A$1:B$5001,2),IF(E326&gt;0,VLOOKUP(E326,Направление!A$1:B$4812,2))))))</f>
        <v>Предоставление субсидий бюджетным, автономным учреждениям и иным некоммерческим организациям</v>
      </c>
      <c r="B326" s="120"/>
      <c r="C326" s="121"/>
      <c r="D326" s="123"/>
      <c r="E326" s="123"/>
      <c r="F326" s="122">
        <v>600</v>
      </c>
      <c r="G326" s="369">
        <v>1000000</v>
      </c>
      <c r="H326" s="369"/>
      <c r="I326" s="369">
        <f>G326+H326</f>
        <v>1000000</v>
      </c>
      <c r="J326" s="369">
        <v>500000</v>
      </c>
      <c r="K326" s="286"/>
      <c r="L326" s="286">
        <f>J326+K326</f>
        <v>500000</v>
      </c>
    </row>
    <row r="327" spans="1:12" ht="15.75" x14ac:dyDescent="0.2">
      <c r="A327" s="113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IF(B327&gt;0,VLOOKUP(B327,КВСР!A109:B1274,2),IF(C327&gt;0,VLOOKUP(C327,КФСР!A109:B1621,2),IF(D327&gt;0,VLOOKUP(D327,Программа!A$1:B$5124,2),IF(F327&gt;0,VLOOKUP(F327,КВР!A$1:B$5001,2),IF(E327&gt;0,VLOOKUP(E327,Направление!A$1:B$4812,2))))))</f>
        <v>Молодежная политика</v>
      </c>
      <c r="B327" s="120"/>
      <c r="C327" s="121">
        <v>707</v>
      </c>
      <c r="D327" s="123"/>
      <c r="E327" s="121"/>
      <c r="F327" s="122"/>
      <c r="G327" s="369">
        <v>6296198</v>
      </c>
      <c r="H327" s="369">
        <f t="shared" ref="H327:I328" si="224">H328</f>
        <v>0</v>
      </c>
      <c r="I327" s="369">
        <f t="shared" si="224"/>
        <v>6296198</v>
      </c>
      <c r="J327" s="369">
        <v>6296198</v>
      </c>
      <c r="K327" s="286">
        <f t="shared" ref="K327:L328" si="225">K328</f>
        <v>0</v>
      </c>
      <c r="L327" s="286">
        <f t="shared" si="225"/>
        <v>6296198</v>
      </c>
    </row>
    <row r="328" spans="1:12" ht="63" x14ac:dyDescent="0.2">
      <c r="A328" s="113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28" s="120"/>
      <c r="C328" s="121"/>
      <c r="D328" s="123" t="s">
        <v>367</v>
      </c>
      <c r="E328" s="121"/>
      <c r="F328" s="122"/>
      <c r="G328" s="369">
        <v>6296198</v>
      </c>
      <c r="H328" s="369">
        <f t="shared" si="224"/>
        <v>0</v>
      </c>
      <c r="I328" s="369">
        <f t="shared" si="224"/>
        <v>6296198</v>
      </c>
      <c r="J328" s="369">
        <v>6296198</v>
      </c>
      <c r="K328" s="286">
        <f t="shared" si="225"/>
        <v>0</v>
      </c>
      <c r="L328" s="286">
        <f t="shared" si="225"/>
        <v>6296198</v>
      </c>
    </row>
    <row r="329" spans="1:12" ht="63" x14ac:dyDescent="0.2">
      <c r="A329" s="113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20"/>
      <c r="C329" s="121"/>
      <c r="D329" s="123" t="s">
        <v>369</v>
      </c>
      <c r="E329" s="121"/>
      <c r="F329" s="122"/>
      <c r="G329" s="369">
        <v>6296198</v>
      </c>
      <c r="H329" s="369">
        <f t="shared" ref="H329:I329" si="226">H330+H343</f>
        <v>0</v>
      </c>
      <c r="I329" s="369">
        <f t="shared" si="226"/>
        <v>6296198</v>
      </c>
      <c r="J329" s="369">
        <v>6296198</v>
      </c>
      <c r="K329" s="286">
        <f t="shared" ref="K329:L329" si="227">K330+K343</f>
        <v>0</v>
      </c>
      <c r="L329" s="286">
        <f t="shared" si="227"/>
        <v>6296198</v>
      </c>
    </row>
    <row r="330" spans="1:12" ht="31.5" x14ac:dyDescent="0.2">
      <c r="A330" s="113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IF(B330&gt;0,VLOOKUP(B330,КВСР!A112:B1277,2),IF(C330&gt;0,VLOOKUP(C330,КФСР!A112:B1624,2),IF(D330&gt;0,VLOOKUP(D330,Программа!A$1:B$5124,2),IF(F330&gt;0,VLOOKUP(F330,КВР!A$1:B$5001,2),IF(E330&gt;0,VLOOKUP(E330,Направление!A$1:B$4812,2))))))</f>
        <v>Обеспечение детей организованными формами отдыха и оздоровления</v>
      </c>
      <c r="B330" s="120"/>
      <c r="C330" s="121"/>
      <c r="D330" s="123" t="s">
        <v>1055</v>
      </c>
      <c r="E330" s="121"/>
      <c r="F330" s="122"/>
      <c r="G330" s="369">
        <v>6296198</v>
      </c>
      <c r="H330" s="369">
        <f>H336+H338+H341+H331+H333</f>
        <v>0</v>
      </c>
      <c r="I330" s="369">
        <f t="shared" ref="I330:L330" si="228">I336+I338+I341+I331+I333</f>
        <v>6296198</v>
      </c>
      <c r="J330" s="369">
        <v>6296198</v>
      </c>
      <c r="K330" s="369">
        <f t="shared" si="228"/>
        <v>0</v>
      </c>
      <c r="L330" s="369">
        <f t="shared" si="228"/>
        <v>6296198</v>
      </c>
    </row>
    <row r="331" spans="1:12" ht="47.25" x14ac:dyDescent="0.2">
      <c r="A331" s="113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IF(B331&gt;0,VLOOKUP(B331,КВСР!A113:B1278,2),IF(C331&gt;0,VLOOKUP(C331,КФСР!A113:B1625,2),IF(D331&gt;0,VLOOKUP(D331,Программа!A$1:B$5124,2),IF(F331&gt;0,VLOOKUP(F331,КВР!A$1:B$5001,2),IF(E331&gt;0,VLOOKUP(E331,Направление!A$1:B$4812,2))))))</f>
        <v xml:space="preserve">Расходы на оплату стоимости набора продуктов питания в лагерях с дневной формой пребывания детей </v>
      </c>
      <c r="B331" s="120"/>
      <c r="C331" s="121"/>
      <c r="D331" s="123"/>
      <c r="E331" s="121">
        <v>11000</v>
      </c>
      <c r="F331" s="122"/>
      <c r="G331" s="369">
        <v>82188</v>
      </c>
      <c r="H331" s="369">
        <f t="shared" ref="H331:L331" si="229">H332</f>
        <v>0</v>
      </c>
      <c r="I331" s="369">
        <f t="shared" si="229"/>
        <v>82188</v>
      </c>
      <c r="J331" s="369">
        <v>82188</v>
      </c>
      <c r="K331" s="369">
        <f t="shared" si="229"/>
        <v>0</v>
      </c>
      <c r="L331" s="369">
        <f t="shared" si="229"/>
        <v>82188</v>
      </c>
    </row>
    <row r="332" spans="1:12" ht="47.25" x14ac:dyDescent="0.2">
      <c r="A332" s="113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IF(B332&gt;0,VLOOKUP(B332,КВСР!A114:B1279,2),IF(C332&gt;0,VLOOKUP(C332,КФСР!A114:B1626,2),IF(D332&gt;0,VLOOKUP(D332,Программа!A$1:B$5124,2),IF(F332&gt;0,VLOOKUP(F332,КВР!A$1:B$5001,2),IF(E332&gt;0,VLOOKUP(E332,Направление!A$1:B$4812,2))))))</f>
        <v>Предоставление субсидий бюджетным, автономным учреждениям и иным некоммерческим организациям</v>
      </c>
      <c r="B332" s="120"/>
      <c r="C332" s="121"/>
      <c r="D332" s="123"/>
      <c r="E332" s="121"/>
      <c r="F332" s="122">
        <v>600</v>
      </c>
      <c r="G332" s="369">
        <v>82188</v>
      </c>
      <c r="H332" s="369"/>
      <c r="I332" s="369">
        <f>G332+H332</f>
        <v>82188</v>
      </c>
      <c r="J332" s="369">
        <v>82188</v>
      </c>
      <c r="K332" s="286"/>
      <c r="L332" s="286">
        <f>J332+K332</f>
        <v>82188</v>
      </c>
    </row>
    <row r="333" spans="1:12" ht="31.5" x14ac:dyDescent="0.2">
      <c r="A333" s="113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IF(B333&gt;0,VLOOKUP(B333,КВСР!A115:B1280,2),IF(C333&gt;0,VLOOKUP(C333,КФСР!A115:B1627,2),IF(D333&gt;0,VLOOKUP(D333,Программа!A$1:B$5124,2),IF(F333&gt;0,VLOOKUP(F333,КВР!A$1:B$5001,2),IF(E333&gt;0,VLOOKUP(E333,Направление!A$1:B$4812,2))))))</f>
        <v>Расходы на обеспечение оздоровления и отдыха детей</v>
      </c>
      <c r="B333" s="120"/>
      <c r="C333" s="121"/>
      <c r="D333" s="123"/>
      <c r="E333" s="121">
        <v>13330</v>
      </c>
      <c r="F333" s="122"/>
      <c r="G333" s="369">
        <v>100250</v>
      </c>
      <c r="H333" s="369">
        <f>H334+H335</f>
        <v>0</v>
      </c>
      <c r="I333" s="369">
        <f t="shared" ref="I333:L333" si="230">I334+I335</f>
        <v>100250</v>
      </c>
      <c r="J333" s="369">
        <v>100250</v>
      </c>
      <c r="K333" s="369">
        <f t="shared" si="230"/>
        <v>0</v>
      </c>
      <c r="L333" s="369">
        <f t="shared" si="230"/>
        <v>100250</v>
      </c>
    </row>
    <row r="334" spans="1:12" ht="63" x14ac:dyDescent="0.2">
      <c r="A334" s="113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IF(B334&gt;0,VLOOKUP(B334,КВСР!A116:B1281,2),IF(C334&gt;0,VLOOKUP(C334,КФСР!A116:B1628,2),IF(D334&gt;0,VLOOKUP(D334,Программа!A$1:B$5124,2),IF(F334&gt;0,VLOOKUP(F334,КВР!A$1:B$5001,2),IF(E334&gt;0,VLOOKUP(E334,Направление!A$1:B$4812,2))))))</f>
        <v xml:space="preserve">Закупка товаров, работ и услуг для обеспечения государственных (муниципальных) нужд
</v>
      </c>
      <c r="B334" s="120"/>
      <c r="C334" s="121"/>
      <c r="D334" s="123"/>
      <c r="E334" s="121"/>
      <c r="F334" s="122">
        <v>200</v>
      </c>
      <c r="G334" s="369">
        <v>44000</v>
      </c>
      <c r="H334" s="369"/>
      <c r="I334" s="369">
        <f>G334+H334</f>
        <v>44000</v>
      </c>
      <c r="J334" s="369">
        <v>44000</v>
      </c>
      <c r="K334" s="286"/>
      <c r="L334" s="286">
        <f>J334+K334</f>
        <v>44000</v>
      </c>
    </row>
    <row r="335" spans="1:12" ht="47.25" x14ac:dyDescent="0.2">
      <c r="A335" s="113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IF(B335&gt;0,VLOOKUP(B335,КВСР!A117:B1282,2),IF(C335&gt;0,VLOOKUP(C335,КФСР!A117:B1629,2),IF(D335&gt;0,VLOOKUP(D335,Программа!A$1:B$5124,2),IF(F335&gt;0,VLOOKUP(F335,КВР!A$1:B$5001,2),IF(E335&gt;0,VLOOKUP(E335,Направление!A$1:B$4812,2))))))</f>
        <v>Предоставление субсидий бюджетным, автономным учреждениям и иным некоммерческим организациям</v>
      </c>
      <c r="B335" s="120"/>
      <c r="C335" s="121"/>
      <c r="D335" s="123"/>
      <c r="E335" s="121"/>
      <c r="F335" s="122">
        <v>600</v>
      </c>
      <c r="G335" s="369">
        <v>56250</v>
      </c>
      <c r="H335" s="369"/>
      <c r="I335" s="369">
        <f>G335+H335</f>
        <v>56250</v>
      </c>
      <c r="J335" s="369">
        <v>56250</v>
      </c>
      <c r="K335" s="286"/>
      <c r="L335" s="286">
        <f>J335+K335</f>
        <v>56250</v>
      </c>
    </row>
    <row r="336" spans="1:12" ht="94.5" x14ac:dyDescent="0.2">
      <c r="A336" s="113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IF(B336&gt;0,VLOOKUP(B336,КВСР!A112:B1277,2),IF(C336&gt;0,VLOOKUP(C336,КФСР!A112:B1624,2),IF(D336&gt;0,VLOOKUP(D336,Программа!A$1:B$5124,2),IF(F336&gt;0,VLOOKUP(F336,КВР!A$1:B$5001,2),IF(E336&gt;0,VLOOKUP(E336,Направление!A$1:B$4812,2))))))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20"/>
      <c r="C336" s="121"/>
      <c r="D336" s="123"/>
      <c r="E336" s="121">
        <v>71000</v>
      </c>
      <c r="F336" s="122"/>
      <c r="G336" s="369">
        <v>807497</v>
      </c>
      <c r="H336" s="369">
        <f t="shared" ref="H336:I336" si="231">H337</f>
        <v>0</v>
      </c>
      <c r="I336" s="369">
        <f t="shared" si="231"/>
        <v>807497</v>
      </c>
      <c r="J336" s="369">
        <v>807497</v>
      </c>
      <c r="K336" s="286">
        <f t="shared" ref="K336:L336" si="232">K337</f>
        <v>0</v>
      </c>
      <c r="L336" s="286">
        <f t="shared" si="232"/>
        <v>807497</v>
      </c>
    </row>
    <row r="337" spans="1:12" ht="47.25" x14ac:dyDescent="0.2">
      <c r="A337" s="113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IF(B337&gt;0,VLOOKUP(B337,КВСР!A114:B1279,2),IF(C337&gt;0,VLOOKUP(C337,КФСР!A114:B1626,2),IF(D337&gt;0,VLOOKUP(D337,Программа!A$1:B$5124,2),IF(F337&gt;0,VLOOKUP(F337,КВР!A$1:B$5001,2),IF(E337&gt;0,VLOOKUP(E337,Направление!A$1:B$4812,2))))))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69">
        <v>807497</v>
      </c>
      <c r="H337" s="369"/>
      <c r="I337" s="369">
        <f t="shared" si="217"/>
        <v>807497</v>
      </c>
      <c r="J337" s="369">
        <v>807497</v>
      </c>
      <c r="K337" s="286"/>
      <c r="L337" s="286">
        <f t="shared" si="216"/>
        <v>807497</v>
      </c>
    </row>
    <row r="338" spans="1:12" ht="110.25" x14ac:dyDescent="0.2">
      <c r="A338" s="113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IF(B338&gt;0,VLOOKUP(B338,КВСР!A115:B1280,2),IF(C338&gt;0,VLOOKUP(C338,КФСР!A115:B1627,2),IF(D338&gt;0,VLOOKUP(D338,Программа!A$1:B$5124,2),IF(F338&gt;0,VLOOKUP(F338,КВР!A$1:B$5001,2),IF(E338&gt;0,VLOOKUP(E338,Направление!A$1:B$4812,2))))))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20"/>
      <c r="C338" s="121"/>
      <c r="D338" s="123"/>
      <c r="E338" s="121">
        <v>71060</v>
      </c>
      <c r="F338" s="122"/>
      <c r="G338" s="369">
        <v>5281330</v>
      </c>
      <c r="H338" s="369">
        <f t="shared" ref="H338:I338" si="233">H340+H339</f>
        <v>0</v>
      </c>
      <c r="I338" s="369">
        <f t="shared" si="233"/>
        <v>5281330</v>
      </c>
      <c r="J338" s="369">
        <v>5281330</v>
      </c>
      <c r="K338" s="286">
        <f t="shared" ref="K338:L338" si="234">K340+K339</f>
        <v>0</v>
      </c>
      <c r="L338" s="286">
        <f t="shared" si="234"/>
        <v>5281330</v>
      </c>
    </row>
    <row r="339" spans="1:12" ht="31.5" x14ac:dyDescent="0.2">
      <c r="A339" s="113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IF(B339&gt;0,VLOOKUP(B339,КВСР!A116:B1281,2),IF(C339&gt;0,VLOOKUP(C339,КФСР!A116:B1628,2),IF(D339&gt;0,VLOOKUP(D339,Программа!A$1:B$5124,2),IF(F339&gt;0,VLOOKUP(F339,КВР!A$1:B$5001,2),IF(E339&gt;0,VLOOKUP(E339,Направление!A$1:B$4812,2))))))</f>
        <v>Социальное обеспечение и иные выплаты населению</v>
      </c>
      <c r="B339" s="120"/>
      <c r="C339" s="121"/>
      <c r="D339" s="123"/>
      <c r="E339" s="121"/>
      <c r="F339" s="122">
        <v>300</v>
      </c>
      <c r="G339" s="369">
        <v>3724994</v>
      </c>
      <c r="H339" s="369"/>
      <c r="I339" s="369">
        <f t="shared" si="217"/>
        <v>3724994</v>
      </c>
      <c r="J339" s="369">
        <v>3724994</v>
      </c>
      <c r="K339" s="286"/>
      <c r="L339" s="286">
        <f t="shared" si="216"/>
        <v>3724994</v>
      </c>
    </row>
    <row r="340" spans="1:12" ht="47.25" x14ac:dyDescent="0.2">
      <c r="A340" s="113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IF(B340&gt;0,VLOOKUP(B340,КВСР!A116:B1281,2),IF(C340&gt;0,VLOOKUP(C340,КФСР!A116:B1628,2),IF(D340&gt;0,VLOOKUP(D340,Программа!A$1:B$5124,2),IF(F340&gt;0,VLOOKUP(F340,КВР!A$1:B$5001,2),IF(E340&gt;0,VLOOKUP(E340,Направление!A$1:B$4812,2))))))</f>
        <v>Предоставление субсидий бюджетным, автономным учреждениям и иным некоммерческим организациям</v>
      </c>
      <c r="B340" s="120"/>
      <c r="C340" s="121"/>
      <c r="D340" s="123"/>
      <c r="E340" s="121"/>
      <c r="F340" s="122">
        <v>600</v>
      </c>
      <c r="G340" s="369">
        <v>1556336</v>
      </c>
      <c r="H340" s="369"/>
      <c r="I340" s="369">
        <f t="shared" si="217"/>
        <v>1556336</v>
      </c>
      <c r="J340" s="369">
        <v>1556336</v>
      </c>
      <c r="K340" s="286"/>
      <c r="L340" s="286">
        <f t="shared" si="216"/>
        <v>1556336</v>
      </c>
    </row>
    <row r="341" spans="1:12" ht="47.25" x14ac:dyDescent="0.2">
      <c r="A341" s="113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IF(B341&gt;0,VLOOKUP(B341,КВСР!A117:B1282,2),IF(C341&gt;0,VLOOKUP(C341,КФСР!A117:B1629,2),IF(D341&gt;0,VLOOKUP(D341,Программа!A$1:B$5124,2),IF(F341&gt;0,VLOOKUP(F341,КВР!A$1:B$5001,2),IF(E341&gt;0,VLOOKUP(E341,Направление!A$1:B$4812,2))))))</f>
        <v>Расходы на частичную оплату стоимости путевки в организации отдыха детей и их оздоровления</v>
      </c>
      <c r="B341" s="120"/>
      <c r="C341" s="121"/>
      <c r="D341" s="123"/>
      <c r="E341" s="121">
        <v>75160</v>
      </c>
      <c r="F341" s="122"/>
      <c r="G341" s="378">
        <v>24933</v>
      </c>
      <c r="H341" s="378">
        <f t="shared" ref="H341:I341" si="235">H342</f>
        <v>0</v>
      </c>
      <c r="I341" s="378">
        <f t="shared" si="235"/>
        <v>24933</v>
      </c>
      <c r="J341" s="378">
        <v>24933</v>
      </c>
      <c r="K341" s="370">
        <f t="shared" ref="K341:L341" si="236">K342</f>
        <v>0</v>
      </c>
      <c r="L341" s="370">
        <f t="shared" si="236"/>
        <v>24933</v>
      </c>
    </row>
    <row r="342" spans="1:12" ht="31.5" x14ac:dyDescent="0.2">
      <c r="A342" s="113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IF(B342&gt;0,VLOOKUP(B342,КВСР!A118:B1283,2),IF(C342&gt;0,VLOOKUP(C342,КФСР!A118:B1630,2),IF(D342&gt;0,VLOOKUP(D342,Программа!A$1:B$5124,2),IF(F342&gt;0,VLOOKUP(F342,КВР!A$1:B$5001,2),IF(E342&gt;0,VLOOKUP(E342,Направление!A$1:B$4812,2))))))</f>
        <v>Социальное обеспечение и иные выплаты населению</v>
      </c>
      <c r="B342" s="120"/>
      <c r="C342" s="121"/>
      <c r="D342" s="123"/>
      <c r="E342" s="121"/>
      <c r="F342" s="122">
        <v>300</v>
      </c>
      <c r="G342" s="369">
        <v>24933</v>
      </c>
      <c r="H342" s="369"/>
      <c r="I342" s="369">
        <f t="shared" si="217"/>
        <v>24933</v>
      </c>
      <c r="J342" s="369">
        <v>24933</v>
      </c>
      <c r="K342" s="286"/>
      <c r="L342" s="286">
        <f t="shared" si="216"/>
        <v>24933</v>
      </c>
    </row>
    <row r="343" spans="1:12" ht="15.75" hidden="1" x14ac:dyDescent="0.2">
      <c r="A343" s="113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IF(B343&gt;0,VLOOKUP(B343,КВСР!A117:B1282,2),IF(C343&gt;0,VLOOKUP(C343,КФСР!A117:B1629,2),IF(D343&gt;0,VLOOKUP(D343,Программа!A$1:B$5124,2),IF(F343&gt;0,VLOOKUP(F343,КВР!A$1:B$5001,2),IF(E343&gt;0,VLOOKUP(E343,Направление!A$1:B$4812,2))))))</f>
        <v>Обеспечение компенсационных выплат</v>
      </c>
      <c r="B343" s="120"/>
      <c r="C343" s="121"/>
      <c r="D343" s="123" t="s">
        <v>1060</v>
      </c>
      <c r="E343" s="121"/>
      <c r="F343" s="122"/>
      <c r="G343" s="369">
        <v>0</v>
      </c>
      <c r="H343" s="369">
        <f t="shared" ref="H343:H344" si="237">H344</f>
        <v>0</v>
      </c>
      <c r="I343" s="369">
        <f t="shared" si="217"/>
        <v>0</v>
      </c>
      <c r="J343" s="369">
        <v>0</v>
      </c>
      <c r="K343" s="286">
        <f t="shared" ref="K343:K344" si="238">K344</f>
        <v>0</v>
      </c>
      <c r="L343" s="286">
        <f t="shared" si="216"/>
        <v>0</v>
      </c>
    </row>
    <row r="344" spans="1:12" ht="47.25" hidden="1" x14ac:dyDescent="0.2">
      <c r="A344" s="113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IF(B344&gt;0,VLOOKUP(B344,КВСР!A114:B1279,2),IF(C344&gt;0,VLOOKUP(C344,КФСР!A114:B1626,2),IF(D344&gt;0,VLOOKUP(D344,Программа!A$1:B$5124,2),IF(F344&gt;0,VLOOKUP(F344,КВР!A$1:B$5001,2),IF(E344&gt;0,VLOOKUP(E344,Направление!A$1:B$4812,2))))))</f>
        <v>Компенсация части расходов на приобретение путевки в организации отдыха детей и их оздоровления</v>
      </c>
      <c r="B344" s="120"/>
      <c r="C344" s="121"/>
      <c r="D344" s="123"/>
      <c r="E344" s="121">
        <v>74390</v>
      </c>
      <c r="F344" s="122"/>
      <c r="G344" s="369">
        <v>0</v>
      </c>
      <c r="H344" s="369">
        <f t="shared" si="237"/>
        <v>0</v>
      </c>
      <c r="I344" s="369">
        <f t="shared" si="217"/>
        <v>0</v>
      </c>
      <c r="J344" s="369">
        <v>0</v>
      </c>
      <c r="K344" s="286">
        <f t="shared" si="238"/>
        <v>0</v>
      </c>
      <c r="L344" s="286">
        <f t="shared" si="216"/>
        <v>0</v>
      </c>
    </row>
    <row r="345" spans="1:12" ht="31.5" hidden="1" x14ac:dyDescent="0.2">
      <c r="A345" s="113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IF(B345&gt;0,VLOOKUP(B345,КВСР!A116:B1281,2),IF(C345&gt;0,VLOOKUP(C345,КФСР!A116:B1628,2),IF(D345&gt;0,VLOOKUP(D345,Программа!A$1:B$5124,2),IF(F345&gt;0,VLOOKUP(F345,КВР!A$1:B$5001,2),IF(E345&gt;0,VLOOKUP(E345,Направление!A$1:B$4812,2))))))</f>
        <v>Социальное обеспечение и иные выплаты населению</v>
      </c>
      <c r="B345" s="120"/>
      <c r="C345" s="121"/>
      <c r="D345" s="123"/>
      <c r="E345" s="121"/>
      <c r="F345" s="111">
        <v>300</v>
      </c>
      <c r="G345" s="369">
        <v>0</v>
      </c>
      <c r="H345" s="369"/>
      <c r="I345" s="369">
        <f t="shared" si="217"/>
        <v>0</v>
      </c>
      <c r="J345" s="369">
        <v>0</v>
      </c>
      <c r="K345" s="286"/>
      <c r="L345" s="286">
        <f t="shared" si="216"/>
        <v>0</v>
      </c>
    </row>
    <row r="346" spans="1:12" ht="15.75" x14ac:dyDescent="0.2">
      <c r="A346" s="113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IF(B346&gt;0,VLOOKUP(B346,КВСР!A122:B1287,2),IF(C346&gt;0,VLOOKUP(C346,КФСР!A122:B1634,2),IF(D346&gt;0,VLOOKUP(D346,Программа!A$1:B$5124,2),IF(F346&gt;0,VLOOKUP(F346,КВР!A$1:B$5001,2),IF(E346&gt;0,VLOOKUP(E346,Направление!A$1:B$4812,2))))))</f>
        <v>Другие вопросы в области образования</v>
      </c>
      <c r="B346" s="120"/>
      <c r="C346" s="121">
        <v>709</v>
      </c>
      <c r="D346" s="123"/>
      <c r="E346" s="121"/>
      <c r="F346" s="122"/>
      <c r="G346" s="369">
        <v>38857612</v>
      </c>
      <c r="H346" s="369">
        <f t="shared" ref="H346:I346" si="239">H352+H347</f>
        <v>0</v>
      </c>
      <c r="I346" s="369">
        <f t="shared" si="239"/>
        <v>38857612</v>
      </c>
      <c r="J346" s="369">
        <v>31934313</v>
      </c>
      <c r="K346" s="286">
        <f t="shared" ref="K346:L346" si="240">K352+K347</f>
        <v>0</v>
      </c>
      <c r="L346" s="286">
        <f t="shared" si="240"/>
        <v>31934313</v>
      </c>
    </row>
    <row r="347" spans="1:12" ht="63" hidden="1" x14ac:dyDescent="0.2">
      <c r="A347" s="113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347" s="120"/>
      <c r="C347" s="121"/>
      <c r="D347" s="123" t="s">
        <v>396</v>
      </c>
      <c r="E347" s="121"/>
      <c r="F347" s="122"/>
      <c r="G347" s="369">
        <v>0</v>
      </c>
      <c r="H347" s="369">
        <f t="shared" ref="H347:I350" si="241">H348</f>
        <v>0</v>
      </c>
      <c r="I347" s="369">
        <f t="shared" si="241"/>
        <v>0</v>
      </c>
      <c r="J347" s="369">
        <v>0</v>
      </c>
      <c r="K347" s="286">
        <f t="shared" ref="K347:L350" si="242">K348</f>
        <v>0</v>
      </c>
      <c r="L347" s="286">
        <f t="shared" si="242"/>
        <v>0</v>
      </c>
    </row>
    <row r="348" spans="1:12" ht="63" hidden="1" x14ac:dyDescent="0.2">
      <c r="A348" s="113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IF(B348&gt;0,VLOOKUP(B348,КВСР!A124:B1289,2),IF(C348&gt;0,VLOOKUP(C348,КФСР!A124:B1636,2),IF(D348&gt;0,VLOOKUP(D348,Программа!A$1:B$5124,2),IF(F348&gt;0,VLOOKUP(F348,КВР!A$1:B$5001,2),IF(E348&gt;0,VLOOKUP(E348,Направление!A$1:B$4812,2))))))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20"/>
      <c r="C348" s="121"/>
      <c r="D348" s="123" t="s">
        <v>403</v>
      </c>
      <c r="E348" s="121"/>
      <c r="F348" s="122"/>
      <c r="G348" s="369">
        <v>0</v>
      </c>
      <c r="H348" s="369">
        <f t="shared" si="241"/>
        <v>0</v>
      </c>
      <c r="I348" s="369">
        <f t="shared" si="241"/>
        <v>0</v>
      </c>
      <c r="J348" s="369">
        <v>0</v>
      </c>
      <c r="K348" s="286">
        <f t="shared" si="242"/>
        <v>0</v>
      </c>
      <c r="L348" s="286">
        <f t="shared" si="242"/>
        <v>0</v>
      </c>
    </row>
    <row r="349" spans="1:12" ht="31.5" hidden="1" x14ac:dyDescent="0.2">
      <c r="A349" s="113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IF(B349&gt;0,VLOOKUP(B349,КВСР!A125:B1290,2),IF(C349&gt;0,VLOOKUP(C349,КФСР!A125:B1637,2),IF(D349&gt;0,VLOOKUP(D349,Программа!A$1:B$5124,2),IF(F349&gt;0,VLOOKUP(F349,КВР!A$1:B$5001,2),IF(E349&gt;0,VLOOKUP(E349,Направление!A$1:B$4812,2))))))</f>
        <v>Развитие системы профилактики немедицинского потребления наркотиков</v>
      </c>
      <c r="B349" s="120"/>
      <c r="C349" s="121"/>
      <c r="D349" s="123" t="s">
        <v>405</v>
      </c>
      <c r="E349" s="121"/>
      <c r="F349" s="122"/>
      <c r="G349" s="369">
        <v>0</v>
      </c>
      <c r="H349" s="369">
        <f t="shared" si="241"/>
        <v>0</v>
      </c>
      <c r="I349" s="369">
        <f t="shared" si="241"/>
        <v>0</v>
      </c>
      <c r="J349" s="369">
        <v>0</v>
      </c>
      <c r="K349" s="286">
        <f t="shared" si="242"/>
        <v>0</v>
      </c>
      <c r="L349" s="286">
        <f t="shared" si="242"/>
        <v>0</v>
      </c>
    </row>
    <row r="350" spans="1:12" ht="63" hidden="1" x14ac:dyDescent="0.2">
      <c r="A350" s="113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IF(B350&gt;0,VLOOKUP(B350,КВСР!A126:B1291,2),IF(C350&gt;0,VLOOKUP(C350,КФСР!A126:B1638,2),IF(D350&gt;0,VLOOKUP(D350,Программа!A$1:B$5124,2),IF(F350&gt;0,VLOOKUP(F350,КВР!A$1:B$5001,2),IF(E350&gt;0,VLOOKUP(E350,Направление!A$1:B$4812,2))))))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20"/>
      <c r="C350" s="121"/>
      <c r="D350" s="123"/>
      <c r="E350" s="121" t="s">
        <v>407</v>
      </c>
      <c r="F350" s="122"/>
      <c r="G350" s="369">
        <v>0</v>
      </c>
      <c r="H350" s="369">
        <f t="shared" si="241"/>
        <v>0</v>
      </c>
      <c r="I350" s="369">
        <f t="shared" si="241"/>
        <v>0</v>
      </c>
      <c r="J350" s="369">
        <v>0</v>
      </c>
      <c r="K350" s="286">
        <f t="shared" si="242"/>
        <v>0</v>
      </c>
      <c r="L350" s="286">
        <f t="shared" si="242"/>
        <v>0</v>
      </c>
    </row>
    <row r="351" spans="1:12" ht="47.25" hidden="1" x14ac:dyDescent="0.2">
      <c r="A351" s="113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IF(B351&gt;0,VLOOKUP(B351,КВСР!A127:B1292,2),IF(C351&gt;0,VLOOKUP(C351,КФСР!A127:B1639,2),IF(D351&gt;0,VLOOKUP(D351,Программа!A$1:B$5124,2),IF(F351&gt;0,VLOOKUP(F351,КВР!A$1:B$5001,2),IF(E351&gt;0,VLOOKUP(E351,Направление!A$1:B$4812,2))))))</f>
        <v>Предоставление субсидий бюджетным, автономным учреждениям и иным некоммерческим организациям</v>
      </c>
      <c r="B351" s="120"/>
      <c r="C351" s="121"/>
      <c r="D351" s="123"/>
      <c r="E351" s="121"/>
      <c r="F351" s="122">
        <v>600</v>
      </c>
      <c r="G351" s="369">
        <v>0</v>
      </c>
      <c r="H351" s="369"/>
      <c r="I351" s="369">
        <f t="shared" si="217"/>
        <v>0</v>
      </c>
      <c r="J351" s="369">
        <v>0</v>
      </c>
      <c r="K351" s="286"/>
      <c r="L351" s="286">
        <f t="shared" si="216"/>
        <v>0</v>
      </c>
    </row>
    <row r="352" spans="1:12" ht="63" x14ac:dyDescent="0.2">
      <c r="A352" s="113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52" s="120"/>
      <c r="C352" s="121"/>
      <c r="D352" s="123" t="s">
        <v>367</v>
      </c>
      <c r="E352" s="121"/>
      <c r="F352" s="122"/>
      <c r="G352" s="369">
        <v>38857612</v>
      </c>
      <c r="H352" s="369">
        <f>H353+H378</f>
        <v>0</v>
      </c>
      <c r="I352" s="369">
        <f t="shared" ref="I352:L352" si="243">I353+I378</f>
        <v>38857612</v>
      </c>
      <c r="J352" s="369">
        <v>31934313</v>
      </c>
      <c r="K352" s="369">
        <f t="shared" si="243"/>
        <v>0</v>
      </c>
      <c r="L352" s="369">
        <f t="shared" si="243"/>
        <v>31934313</v>
      </c>
    </row>
    <row r="353" spans="1:12" ht="63" x14ac:dyDescent="0.2">
      <c r="A353" s="113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20"/>
      <c r="C353" s="121"/>
      <c r="D353" s="123" t="s">
        <v>369</v>
      </c>
      <c r="E353" s="121"/>
      <c r="F353" s="122"/>
      <c r="G353" s="369">
        <v>38852612</v>
      </c>
      <c r="H353" s="369">
        <f t="shared" ref="H353:K353" si="244">H365+H354+H358</f>
        <v>0</v>
      </c>
      <c r="I353" s="369">
        <f t="shared" ref="I353" si="245">I365+I354+I358</f>
        <v>38852612</v>
      </c>
      <c r="J353" s="369">
        <v>31929313</v>
      </c>
      <c r="K353" s="286">
        <f t="shared" si="244"/>
        <v>0</v>
      </c>
      <c r="L353" s="286">
        <f t="shared" ref="L353" si="246">L365+L354+L358</f>
        <v>31929313</v>
      </c>
    </row>
    <row r="354" spans="1:12" ht="47.25" hidden="1" x14ac:dyDescent="0.2">
      <c r="A354" s="113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IF(B354&gt;0,VLOOKUP(B354,КВСР!A125:B1290,2),IF(C354&gt;0,VLOOKUP(C354,КФСР!A125:B1637,2),IF(D354&gt;0,VLOOKUP(D354,Программа!A$1:B$5124,2),IF(F354&gt;0,VLOOKUP(F354,КВР!A$1:B$5001,2),IF(E354&gt;0,VLOOKUP(E354,Направление!A$1:B$4812,2))))))</f>
        <v>Обеспечение качества и доступности образовательных услуг в сфере дополнительного образования</v>
      </c>
      <c r="B354" s="120"/>
      <c r="C354" s="121"/>
      <c r="D354" s="123" t="s">
        <v>431</v>
      </c>
      <c r="E354" s="121"/>
      <c r="F354" s="122"/>
      <c r="G354" s="369">
        <v>0</v>
      </c>
      <c r="H354" s="369">
        <f t="shared" ref="H354:I354" si="247">H355</f>
        <v>0</v>
      </c>
      <c r="I354" s="369">
        <f t="shared" si="247"/>
        <v>0</v>
      </c>
      <c r="J354" s="369">
        <v>0</v>
      </c>
      <c r="K354" s="286">
        <f t="shared" ref="K354:L354" si="248">K355</f>
        <v>0</v>
      </c>
      <c r="L354" s="286">
        <f t="shared" si="248"/>
        <v>0</v>
      </c>
    </row>
    <row r="355" spans="1:12" ht="15.75" hidden="1" x14ac:dyDescent="0.2">
      <c r="A355" s="113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IF(B355&gt;0,VLOOKUP(B355,КВСР!A126:B1291,2),IF(C355&gt;0,VLOOKUP(C355,КФСР!A126:B1638,2),IF(D355&gt;0,VLOOKUP(D355,Программа!A$1:B$5124,2),IF(F355&gt;0,VLOOKUP(F355,КВР!A$1:B$5001,2),IF(E355&gt;0,VLOOKUP(E355,Направление!A$1:B$4812,2))))))</f>
        <v>Мероприятия в сфере образования</v>
      </c>
      <c r="B355" s="120"/>
      <c r="C355" s="121"/>
      <c r="D355" s="123"/>
      <c r="E355" s="121">
        <v>13320</v>
      </c>
      <c r="F355" s="122"/>
      <c r="G355" s="369">
        <v>0</v>
      </c>
      <c r="H355" s="369">
        <f t="shared" ref="H355:I355" si="249">H356+H357</f>
        <v>0</v>
      </c>
      <c r="I355" s="369">
        <f t="shared" si="249"/>
        <v>0</v>
      </c>
      <c r="J355" s="369">
        <v>0</v>
      </c>
      <c r="K355" s="286">
        <f t="shared" ref="K355:L355" si="250">K356+K357</f>
        <v>0</v>
      </c>
      <c r="L355" s="286">
        <f t="shared" si="250"/>
        <v>0</v>
      </c>
    </row>
    <row r="356" spans="1:12" ht="110.25" hidden="1" x14ac:dyDescent="0.2">
      <c r="A356" s="113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20"/>
      <c r="C356" s="121"/>
      <c r="D356" s="123"/>
      <c r="E356" s="121"/>
      <c r="F356" s="122">
        <v>100</v>
      </c>
      <c r="G356" s="369">
        <v>0</v>
      </c>
      <c r="H356" s="369"/>
      <c r="I356" s="369">
        <f t="shared" si="217"/>
        <v>0</v>
      </c>
      <c r="J356" s="369">
        <v>0</v>
      </c>
      <c r="K356" s="286"/>
      <c r="L356" s="286">
        <f t="shared" si="216"/>
        <v>0</v>
      </c>
    </row>
    <row r="357" spans="1:12" ht="47.25" hidden="1" x14ac:dyDescent="0.2">
      <c r="A357" s="113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IF(B357&gt;0,VLOOKUP(B357,КВСР!A128:B1293,2),IF(C357&gt;0,VLOOKUP(C357,КФСР!A128:B1640,2),IF(D357&gt;0,VLOOKUP(D357,Программа!A$1:B$5124,2),IF(F357&gt;0,VLOOKUP(F357,КВР!A$1:B$5001,2),IF(E357&gt;0,VLOOKUP(E357,Направление!A$1:B$4812,2))))))</f>
        <v>Предоставление субсидий бюджетным, автономным учреждениям и иным некоммерческим организациям</v>
      </c>
      <c r="B357" s="120"/>
      <c r="C357" s="121"/>
      <c r="D357" s="123"/>
      <c r="E357" s="121"/>
      <c r="F357" s="122">
        <v>600</v>
      </c>
      <c r="G357" s="369">
        <v>0</v>
      </c>
      <c r="H357" s="369"/>
      <c r="I357" s="369">
        <f t="shared" si="217"/>
        <v>0</v>
      </c>
      <c r="J357" s="369">
        <v>0</v>
      </c>
      <c r="K357" s="286"/>
      <c r="L357" s="286">
        <f t="shared" si="216"/>
        <v>0</v>
      </c>
    </row>
    <row r="358" spans="1:12" ht="78.75" x14ac:dyDescent="0.2">
      <c r="A358" s="113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IF(B358&gt;0,VLOOKUP(B358,КВСР!A129:B1294,2),IF(C358&gt;0,VLOOKUP(C358,КФСР!A129:B1641,2),IF(D358&gt;0,VLOOKUP(D358,Программа!A$1:B$5124,2),IF(F358&gt;0,VLOOKUP(F358,КВР!A$1:B$5001,2),IF(E358&gt;0,VLOOKUP(E358,Направление!A$1:B$4812,2))))))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20"/>
      <c r="C358" s="121"/>
      <c r="D358" s="123" t="s">
        <v>388</v>
      </c>
      <c r="E358" s="121"/>
      <c r="F358" s="122"/>
      <c r="G358" s="369">
        <v>7084600</v>
      </c>
      <c r="H358" s="369">
        <f>H359+H361+H363</f>
        <v>0</v>
      </c>
      <c r="I358" s="369">
        <f t="shared" ref="I358:L358" si="251">I359+I361+I363</f>
        <v>7084600</v>
      </c>
      <c r="J358" s="369">
        <v>3584600</v>
      </c>
      <c r="K358" s="369">
        <f t="shared" si="251"/>
        <v>0</v>
      </c>
      <c r="L358" s="369">
        <f t="shared" si="251"/>
        <v>3584600</v>
      </c>
    </row>
    <row r="359" spans="1:12" ht="31.5" x14ac:dyDescent="0.2">
      <c r="A359" s="113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IF(B359&gt;0,VLOOKUP(B359,КВСР!A130:B1295,2),IF(C359&gt;0,VLOOKUP(C359,КФСР!A130:B1642,2),IF(D359&gt;0,VLOOKUP(D359,Программа!A$1:B$5124,2),IF(F359&gt;0,VLOOKUP(F359,КВР!A$1:B$5001,2),IF(E359&gt;0,VLOOKUP(E359,Направление!A$1:B$4812,2))))))</f>
        <v>Обеспечение деятельности прочих учреждений в сфере образования</v>
      </c>
      <c r="B359" s="120"/>
      <c r="C359" s="121"/>
      <c r="D359" s="123"/>
      <c r="E359" s="121">
        <v>13310</v>
      </c>
      <c r="F359" s="122"/>
      <c r="G359" s="369">
        <v>6820225</v>
      </c>
      <c r="H359" s="369">
        <f t="shared" ref="H359:L359" si="252">H360</f>
        <v>0</v>
      </c>
      <c r="I359" s="369">
        <f t="shared" si="252"/>
        <v>6820225</v>
      </c>
      <c r="J359" s="369">
        <v>3320225</v>
      </c>
      <c r="K359" s="286">
        <f t="shared" si="252"/>
        <v>0</v>
      </c>
      <c r="L359" s="286">
        <f t="shared" si="252"/>
        <v>3320225</v>
      </c>
    </row>
    <row r="360" spans="1:12" ht="47.25" x14ac:dyDescent="0.2">
      <c r="A360" s="113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IF(B360&gt;0,VLOOKUP(B360,КВСР!A131:B1296,2),IF(C360&gt;0,VLOOKUP(C360,КФСР!A131:B1643,2),IF(D360&gt;0,VLOOKUP(D360,Программа!A$1:B$5124,2),IF(F360&gt;0,VLOOKUP(F360,КВР!A$1:B$5001,2),IF(E360&gt;0,VLOOKUP(E360,Направление!A$1:B$4812,2))))))</f>
        <v>Предоставление субсидий бюджетным, автономным учреждениям и иным некоммерческим организациям</v>
      </c>
      <c r="B360" s="120"/>
      <c r="C360" s="121"/>
      <c r="D360" s="123"/>
      <c r="E360" s="121"/>
      <c r="F360" s="122">
        <v>600</v>
      </c>
      <c r="G360" s="369">
        <v>6820225</v>
      </c>
      <c r="H360" s="369"/>
      <c r="I360" s="369">
        <f t="shared" si="217"/>
        <v>6820225</v>
      </c>
      <c r="J360" s="369">
        <v>3320225</v>
      </c>
      <c r="K360" s="286"/>
      <c r="L360" s="286">
        <f t="shared" si="216"/>
        <v>3320225</v>
      </c>
    </row>
    <row r="361" spans="1:12" ht="63" x14ac:dyDescent="0.2">
      <c r="A361" s="113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61" s="120"/>
      <c r="C361" s="121"/>
      <c r="D361" s="123"/>
      <c r="E361" s="121">
        <v>15890</v>
      </c>
      <c r="F361" s="122"/>
      <c r="G361" s="369">
        <v>179775</v>
      </c>
      <c r="H361" s="369">
        <f>H362</f>
        <v>0</v>
      </c>
      <c r="I361" s="369">
        <f t="shared" ref="I361:L361" si="253">I362</f>
        <v>179775</v>
      </c>
      <c r="J361" s="369">
        <v>179775</v>
      </c>
      <c r="K361" s="369">
        <f t="shared" si="253"/>
        <v>0</v>
      </c>
      <c r="L361" s="369">
        <f t="shared" si="253"/>
        <v>179775</v>
      </c>
    </row>
    <row r="362" spans="1:12" ht="47.25" x14ac:dyDescent="0.2">
      <c r="A362" s="113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IF(B362&gt;0,VLOOKUP(B362,КВСР!A133:B1298,2),IF(C362&gt;0,VLOOKUP(C362,КФСР!A133:B1645,2),IF(D362&gt;0,VLOOKUP(D362,Программа!A$1:B$5124,2),IF(F362&gt;0,VLOOKUP(F362,КВР!A$1:B$5001,2),IF(E362&gt;0,VLOOKUP(E362,Направление!A$1:B$4812,2))))))</f>
        <v>Предоставление субсидий бюджетным, автономным учреждениям и иным некоммерческим организациям</v>
      </c>
      <c r="B362" s="120"/>
      <c r="C362" s="121"/>
      <c r="D362" s="123"/>
      <c r="E362" s="121"/>
      <c r="F362" s="122">
        <v>600</v>
      </c>
      <c r="G362" s="369">
        <v>179775</v>
      </c>
      <c r="H362" s="369"/>
      <c r="I362" s="369">
        <f t="shared" si="217"/>
        <v>179775</v>
      </c>
      <c r="J362" s="369">
        <v>179775</v>
      </c>
      <c r="K362" s="286"/>
      <c r="L362" s="286">
        <f t="shared" si="216"/>
        <v>179775</v>
      </c>
    </row>
    <row r="363" spans="1:12" ht="63" x14ac:dyDescent="0.2">
      <c r="A363" s="113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IF(B363&gt;0,VLOOKUP(B363,КВСР!A134:B1299,2),IF(C363&gt;0,VLOOKUP(C363,КФСР!A134:B1646,2),IF(D363&gt;0,VLOOKUP(D363,Программа!A$1:B$5124,2),IF(F363&gt;0,VLOOKUP(F363,КВР!A$1:B$5001,2),IF(E363&gt;0,VLOOKUP(E363,Направление!A$1:B$4812,2))))))</f>
        <v>Расходы на повышение оплаты труда отдельных категорий работников муниципальных учреждений в сфере образования</v>
      </c>
      <c r="B363" s="120"/>
      <c r="C363" s="121"/>
      <c r="D363" s="123"/>
      <c r="E363" s="121">
        <v>75890</v>
      </c>
      <c r="F363" s="122"/>
      <c r="G363" s="369">
        <v>84600</v>
      </c>
      <c r="H363" s="369">
        <f>H364</f>
        <v>0</v>
      </c>
      <c r="I363" s="369">
        <f t="shared" ref="I363:L363" si="254">I364</f>
        <v>84600</v>
      </c>
      <c r="J363" s="369">
        <v>84600</v>
      </c>
      <c r="K363" s="369">
        <f t="shared" si="254"/>
        <v>0</v>
      </c>
      <c r="L363" s="369">
        <f t="shared" si="254"/>
        <v>84600</v>
      </c>
    </row>
    <row r="364" spans="1:12" ht="47.25" x14ac:dyDescent="0.2">
      <c r="A364" s="113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IF(B364&gt;0,VLOOKUP(B364,КВСР!A135:B1300,2),IF(C364&gt;0,VLOOKUP(C364,КФСР!A135:B1647,2),IF(D364&gt;0,VLOOKUP(D364,Программа!A$1:B$5124,2),IF(F364&gt;0,VLOOKUP(F364,КВР!A$1:B$5001,2),IF(E364&gt;0,VLOOKUP(E364,Направление!A$1:B$4812,2))))))</f>
        <v>Предоставление субсидий бюджетным, автономным учреждениям и иным некоммерческим организациям</v>
      </c>
      <c r="B364" s="120"/>
      <c r="C364" s="121"/>
      <c r="D364" s="123"/>
      <c r="E364" s="121"/>
      <c r="F364" s="122">
        <v>600</v>
      </c>
      <c r="G364" s="369">
        <v>84600</v>
      </c>
      <c r="H364" s="369"/>
      <c r="I364" s="369">
        <f t="shared" si="217"/>
        <v>84600</v>
      </c>
      <c r="J364" s="369">
        <v>84600</v>
      </c>
      <c r="K364" s="286"/>
      <c r="L364" s="286">
        <f t="shared" si="216"/>
        <v>84600</v>
      </c>
    </row>
    <row r="365" spans="1:12" ht="31.5" x14ac:dyDescent="0.2">
      <c r="A365" s="113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IF(B365&gt;0,VLOOKUP(B365,КВСР!A124:B1289,2),IF(C365&gt;0,VLOOKUP(C365,КФСР!A124:B1636,2),IF(D365&gt;0,VLOOKUP(D365,Программа!A$1:B$5124,2),IF(F365&gt;0,VLOOKUP(F365,КВР!A$1:B$5001,2),IF(E365&gt;0,VLOOKUP(E365,Направление!A$1:B$4812,2))))))</f>
        <v>Обеспечение эффективности управления системой образования</v>
      </c>
      <c r="B365" s="120"/>
      <c r="C365" s="121"/>
      <c r="D365" s="123" t="s">
        <v>1057</v>
      </c>
      <c r="E365" s="121"/>
      <c r="F365" s="122"/>
      <c r="G365" s="369">
        <v>31768012</v>
      </c>
      <c r="H365" s="369">
        <f t="shared" ref="H365:L365" si="255">H366+H370+H374</f>
        <v>0</v>
      </c>
      <c r="I365" s="369">
        <f t="shared" si="255"/>
        <v>31768012</v>
      </c>
      <c r="J365" s="369">
        <v>28344713</v>
      </c>
      <c r="K365" s="286">
        <f t="shared" si="255"/>
        <v>0</v>
      </c>
      <c r="L365" s="286">
        <f t="shared" si="255"/>
        <v>28344713</v>
      </c>
    </row>
    <row r="366" spans="1:12" ht="15.75" x14ac:dyDescent="0.2">
      <c r="A366" s="113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IF(B366&gt;0,VLOOKUP(B366,КВСР!A125:B1290,2),IF(C366&gt;0,VLOOKUP(C366,КФСР!A125:B1637,2),IF(D366&gt;0,VLOOKUP(D366,Программа!A$1:B$5124,2),IF(F366&gt;0,VLOOKUP(F366,КВР!A$1:B$5001,2),IF(E366&gt;0,VLOOKUP(E366,Направление!A$1:B$4812,2))))))</f>
        <v>Содержание центрального аппарата</v>
      </c>
      <c r="B366" s="120"/>
      <c r="C366" s="121"/>
      <c r="D366" s="123"/>
      <c r="E366" s="121">
        <v>12010</v>
      </c>
      <c r="F366" s="111"/>
      <c r="G366" s="369">
        <v>6366839</v>
      </c>
      <c r="H366" s="369">
        <f t="shared" ref="H366:L366" si="256">H367+H368+H369</f>
        <v>0</v>
      </c>
      <c r="I366" s="369">
        <f t="shared" si="256"/>
        <v>6366839</v>
      </c>
      <c r="J366" s="369">
        <v>6366839</v>
      </c>
      <c r="K366" s="286">
        <f t="shared" si="256"/>
        <v>0</v>
      </c>
      <c r="L366" s="286">
        <f t="shared" si="256"/>
        <v>6366839</v>
      </c>
    </row>
    <row r="367" spans="1:12" ht="110.25" x14ac:dyDescent="0.2">
      <c r="A367" s="113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20"/>
      <c r="C367" s="121"/>
      <c r="D367" s="123"/>
      <c r="E367" s="121"/>
      <c r="F367" s="111">
        <v>100</v>
      </c>
      <c r="G367" s="369">
        <v>5468615</v>
      </c>
      <c r="H367" s="369"/>
      <c r="I367" s="369">
        <f t="shared" si="217"/>
        <v>5468615</v>
      </c>
      <c r="J367" s="369">
        <v>5468615</v>
      </c>
      <c r="K367" s="286"/>
      <c r="L367" s="286">
        <f t="shared" si="216"/>
        <v>5468615</v>
      </c>
    </row>
    <row r="368" spans="1:12" ht="63" x14ac:dyDescent="0.2">
      <c r="A368" s="113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IF(B368&gt;0,VLOOKUP(B368,КВСР!A127:B1292,2),IF(C368&gt;0,VLOOKUP(C368,КФСР!A127:B1639,2),IF(D368&gt;0,VLOOKUP(D368,Программа!A$1:B$5124,2),IF(F368&gt;0,VLOOKUP(F368,КВР!A$1:B$5001,2),IF(E368&gt;0,VLOOKUP(E368,Направление!A$1:B$4812,2))))))</f>
        <v xml:space="preserve">Закупка товаров, работ и услуг для обеспечения государственных (муниципальных) нужд
</v>
      </c>
      <c r="B368" s="120"/>
      <c r="C368" s="121"/>
      <c r="D368" s="123"/>
      <c r="E368" s="121"/>
      <c r="F368" s="111">
        <v>200</v>
      </c>
      <c r="G368" s="369">
        <v>878224</v>
      </c>
      <c r="H368" s="369"/>
      <c r="I368" s="369">
        <f t="shared" si="217"/>
        <v>878224</v>
      </c>
      <c r="J368" s="369">
        <v>878224</v>
      </c>
      <c r="K368" s="286"/>
      <c r="L368" s="286">
        <f t="shared" si="216"/>
        <v>878224</v>
      </c>
    </row>
    <row r="369" spans="1:12" ht="15.75" x14ac:dyDescent="0.2">
      <c r="A369" s="113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IF(B369&gt;0,VLOOKUP(B369,КВСР!A128:B1293,2),IF(C369&gt;0,VLOOKUP(C369,КФСР!A128:B1640,2),IF(D369&gt;0,VLOOKUP(D369,Программа!A$1:B$5124,2),IF(F369&gt;0,VLOOKUP(F369,КВР!A$1:B$5001,2),IF(E369&gt;0,VLOOKUP(E369,Направление!A$1:B$4812,2))))))</f>
        <v>Иные бюджетные ассигнования</v>
      </c>
      <c r="B369" s="120"/>
      <c r="C369" s="121"/>
      <c r="D369" s="123"/>
      <c r="E369" s="121"/>
      <c r="F369" s="111">
        <v>800</v>
      </c>
      <c r="G369" s="369">
        <v>20000</v>
      </c>
      <c r="H369" s="369"/>
      <c r="I369" s="369">
        <f t="shared" si="217"/>
        <v>20000</v>
      </c>
      <c r="J369" s="369">
        <v>20000</v>
      </c>
      <c r="K369" s="286"/>
      <c r="L369" s="286">
        <f t="shared" si="216"/>
        <v>20000</v>
      </c>
    </row>
    <row r="370" spans="1:12" ht="31.5" x14ac:dyDescent="0.2">
      <c r="A370" s="113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IF(B370&gt;0,VLOOKUP(B370,КВСР!A135:B1300,2),IF(C370&gt;0,VLOOKUP(C370,КФСР!A135:B1647,2),IF(D370&gt;0,VLOOKUP(D370,Программа!A$1:B$5124,2),IF(F370&gt;0,VLOOKUP(F370,КВР!A$1:B$5001,2),IF(E370&gt;0,VLOOKUP(E370,Направление!A$1:B$4812,2))))))</f>
        <v>Обеспечение деятельности прочих учреждений в сфере образования</v>
      </c>
      <c r="B370" s="120"/>
      <c r="C370" s="121"/>
      <c r="D370" s="123"/>
      <c r="E370" s="121">
        <v>13310</v>
      </c>
      <c r="F370" s="111"/>
      <c r="G370" s="369">
        <v>21085515</v>
      </c>
      <c r="H370" s="369">
        <f t="shared" ref="H370:L370" si="257">H371+H372+H373</f>
        <v>0</v>
      </c>
      <c r="I370" s="369">
        <f t="shared" si="257"/>
        <v>21085515</v>
      </c>
      <c r="J370" s="369">
        <v>17662216</v>
      </c>
      <c r="K370" s="286">
        <f t="shared" si="257"/>
        <v>0</v>
      </c>
      <c r="L370" s="286">
        <f t="shared" si="257"/>
        <v>17662216</v>
      </c>
    </row>
    <row r="371" spans="1:12" ht="110.25" x14ac:dyDescent="0.2">
      <c r="A371" s="113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20"/>
      <c r="C371" s="121"/>
      <c r="D371" s="123"/>
      <c r="E371" s="121"/>
      <c r="F371" s="111">
        <v>100</v>
      </c>
      <c r="G371" s="369">
        <v>19581209</v>
      </c>
      <c r="H371" s="369"/>
      <c r="I371" s="369">
        <f t="shared" si="217"/>
        <v>19581209</v>
      </c>
      <c r="J371" s="369">
        <v>16157910</v>
      </c>
      <c r="K371" s="286"/>
      <c r="L371" s="286">
        <f t="shared" si="216"/>
        <v>16157910</v>
      </c>
    </row>
    <row r="372" spans="1:12" ht="63" x14ac:dyDescent="0.2">
      <c r="A372" s="113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IF(B372&gt;0,VLOOKUP(B372,КВСР!A137:B1302,2),IF(C372&gt;0,VLOOKUP(C372,КФСР!A137:B1649,2),IF(D372&gt;0,VLOOKUP(D372,Программа!A$1:B$5124,2),IF(F372&gt;0,VLOOKUP(F372,КВР!A$1:B$5001,2),IF(E372&gt;0,VLOOKUP(E372,Направление!A$1:B$4812,2))))))</f>
        <v xml:space="preserve">Закупка товаров, работ и услуг для обеспечения государственных (муниципальных) нужд
</v>
      </c>
      <c r="B372" s="120"/>
      <c r="C372" s="121"/>
      <c r="D372" s="123"/>
      <c r="E372" s="121"/>
      <c r="F372" s="111">
        <v>200</v>
      </c>
      <c r="G372" s="369">
        <v>1478242</v>
      </c>
      <c r="H372" s="369"/>
      <c r="I372" s="369">
        <f t="shared" si="217"/>
        <v>1478242</v>
      </c>
      <c r="J372" s="369">
        <v>1478242</v>
      </c>
      <c r="K372" s="286"/>
      <c r="L372" s="286">
        <f t="shared" si="216"/>
        <v>1478242</v>
      </c>
    </row>
    <row r="373" spans="1:12" ht="15.75" x14ac:dyDescent="0.2">
      <c r="A373" s="113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IF(B373&gt;0,VLOOKUP(B373,КВСР!A138:B1303,2),IF(C373&gt;0,VLOOKUP(C373,КФСР!A138:B1650,2),IF(D373&gt;0,VLOOKUP(D373,Программа!A$1:B$5124,2),IF(F373&gt;0,VLOOKUP(F373,КВР!A$1:B$5001,2),IF(E373&gt;0,VLOOKUP(E373,Направление!A$1:B$4812,2))))))</f>
        <v>Иные бюджетные ассигнования</v>
      </c>
      <c r="B373" s="120"/>
      <c r="C373" s="121"/>
      <c r="D373" s="123"/>
      <c r="E373" s="121"/>
      <c r="F373" s="111">
        <v>800</v>
      </c>
      <c r="G373" s="369">
        <v>26064</v>
      </c>
      <c r="H373" s="369"/>
      <c r="I373" s="369">
        <f t="shared" si="217"/>
        <v>26064</v>
      </c>
      <c r="J373" s="369">
        <v>26064</v>
      </c>
      <c r="K373" s="286"/>
      <c r="L373" s="286">
        <f t="shared" si="216"/>
        <v>26064</v>
      </c>
    </row>
    <row r="374" spans="1:12" ht="47.25" x14ac:dyDescent="0.2">
      <c r="A374" s="113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IF(B374&gt;0,VLOOKUP(B374,КВСР!A130:B1295,2),IF(C374&gt;0,VLOOKUP(C374,КФСР!A130:B1642,2),IF(D374&gt;0,VLOOKUP(D374,Программа!A$1:B$5124,2),IF(F374&gt;0,VLOOKUP(F374,КВР!A$1:B$5001,2),IF(E374&gt;0,VLOOKUP(E374,Направление!A$1:B$4812,2))))))</f>
        <v>Расходы на обеспечение деятельности органов опеки и попечительства за счет средств областного бюджета</v>
      </c>
      <c r="B374" s="120"/>
      <c r="C374" s="121"/>
      <c r="D374" s="123"/>
      <c r="E374" s="121">
        <v>70550</v>
      </c>
      <c r="F374" s="122"/>
      <c r="G374" s="369">
        <v>4315658</v>
      </c>
      <c r="H374" s="369">
        <f t="shared" ref="H374:I374" si="258">H375+H376+H377</f>
        <v>0</v>
      </c>
      <c r="I374" s="369">
        <f t="shared" si="258"/>
        <v>4315658</v>
      </c>
      <c r="J374" s="369">
        <v>4315658</v>
      </c>
      <c r="K374" s="286">
        <f t="shared" ref="K374:L374" si="259">K375+K376+K377</f>
        <v>0</v>
      </c>
      <c r="L374" s="286">
        <f t="shared" si="259"/>
        <v>4315658</v>
      </c>
    </row>
    <row r="375" spans="1:12" ht="110.25" x14ac:dyDescent="0.2">
      <c r="A375" s="113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20"/>
      <c r="C375" s="121"/>
      <c r="D375" s="123"/>
      <c r="E375" s="121"/>
      <c r="F375" s="122">
        <v>100</v>
      </c>
      <c r="G375" s="369">
        <v>3422851</v>
      </c>
      <c r="H375" s="369"/>
      <c r="I375" s="369">
        <f t="shared" si="217"/>
        <v>3422851</v>
      </c>
      <c r="J375" s="369">
        <v>3422851</v>
      </c>
      <c r="K375" s="286"/>
      <c r="L375" s="286">
        <f t="shared" si="216"/>
        <v>3422851</v>
      </c>
    </row>
    <row r="376" spans="1:12" ht="63" x14ac:dyDescent="0.2">
      <c r="A376" s="113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IF(B376&gt;0,VLOOKUP(B376,КВСР!A132:B1297,2),IF(C376&gt;0,VLOOKUP(C376,КФСР!A132:B1644,2),IF(D376&gt;0,VLOOKUP(D376,Программа!A$1:B$5124,2),IF(F376&gt;0,VLOOKUP(F376,КВР!A$1:B$5001,2),IF(E376&gt;0,VLOOKUP(E376,Направление!A$1:B$4812,2))))))</f>
        <v xml:space="preserve">Закупка товаров, работ и услуг для обеспечения государственных (муниципальных) нужд
</v>
      </c>
      <c r="B376" s="114"/>
      <c r="C376" s="121"/>
      <c r="D376" s="123"/>
      <c r="E376" s="121"/>
      <c r="F376" s="122">
        <v>200</v>
      </c>
      <c r="G376" s="369">
        <v>889507</v>
      </c>
      <c r="H376" s="369"/>
      <c r="I376" s="369">
        <f t="shared" si="217"/>
        <v>889507</v>
      </c>
      <c r="J376" s="369">
        <v>889507</v>
      </c>
      <c r="K376" s="286"/>
      <c r="L376" s="286">
        <f t="shared" si="216"/>
        <v>889507</v>
      </c>
    </row>
    <row r="377" spans="1:12" ht="15.75" x14ac:dyDescent="0.2">
      <c r="A377" s="113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IF(B377&gt;0,VLOOKUP(B377,КВСР!A133:B1298,2),IF(C377&gt;0,VLOOKUP(C377,КФСР!A133:B1645,2),IF(D377&gt;0,VLOOKUP(D377,Программа!A$1:B$5124,2),IF(F377&gt;0,VLOOKUP(F377,КВР!A$1:B$5001,2),IF(E377&gt;0,VLOOKUP(E377,Направление!A$1:B$4812,2))))))</f>
        <v>Иные бюджетные ассигнования</v>
      </c>
      <c r="B377" s="114"/>
      <c r="C377" s="121"/>
      <c r="D377" s="123"/>
      <c r="E377" s="121"/>
      <c r="F377" s="122">
        <v>800</v>
      </c>
      <c r="G377" s="369">
        <v>3300</v>
      </c>
      <c r="H377" s="369"/>
      <c r="I377" s="369">
        <f t="shared" si="217"/>
        <v>3300</v>
      </c>
      <c r="J377" s="369">
        <v>3300</v>
      </c>
      <c r="K377" s="286"/>
      <c r="L377" s="286">
        <f t="shared" si="216"/>
        <v>3300</v>
      </c>
    </row>
    <row r="378" spans="1:12" ht="63" x14ac:dyDescent="0.2">
      <c r="A378" s="113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IF(B378&gt;0,VLOOKUP(B378,КВСР!A134:B1299,2),IF(C378&gt;0,VLOOKUP(C378,КФСР!A134:B1646,2),IF(D378&gt;0,VLOOKUP(D378,Программа!A$1:B$5124,2),IF(F378&gt;0,VLOOKUP(F378,КВР!A$1:B$5001,2),IF(E378&gt;0,VLOOKUP(E378,Направление!A$1:B$4812,2))))))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14"/>
      <c r="C378" s="121"/>
      <c r="D378" s="123" t="s">
        <v>418</v>
      </c>
      <c r="E378" s="121"/>
      <c r="F378" s="122"/>
      <c r="G378" s="369">
        <v>5000</v>
      </c>
      <c r="H378" s="369">
        <f>H379</f>
        <v>0</v>
      </c>
      <c r="I378" s="369">
        <f t="shared" ref="I378:L380" si="260">I379</f>
        <v>5000</v>
      </c>
      <c r="J378" s="369">
        <v>5000</v>
      </c>
      <c r="K378" s="369">
        <f t="shared" si="260"/>
        <v>0</v>
      </c>
      <c r="L378" s="369">
        <f t="shared" si="260"/>
        <v>5000</v>
      </c>
    </row>
    <row r="379" spans="1:12" ht="47.25" x14ac:dyDescent="0.2">
      <c r="A379" s="113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IF(B379&gt;0,VLOOKUP(B379,КВСР!A135:B1300,2),IF(C379&gt;0,VLOOKUP(C379,КФСР!A135:B1647,2),IF(D379&gt;0,VLOOKUP(D379,Программа!A$1:B$5124,2),IF(F379&gt;0,VLOOKUP(F379,КВР!A$1:B$5001,2),IF(E379&gt;0,VLOOKUP(E379,Направление!A$1:B$4812,2))))))</f>
        <v>Реализация мер по созданию целостной системы духовно-нравственного воспитания и просвещения населения</v>
      </c>
      <c r="B379" s="114"/>
      <c r="C379" s="121"/>
      <c r="D379" s="123" t="s">
        <v>420</v>
      </c>
      <c r="E379" s="121"/>
      <c r="F379" s="122"/>
      <c r="G379" s="369">
        <v>5000</v>
      </c>
      <c r="H379" s="369">
        <f>H380</f>
        <v>0</v>
      </c>
      <c r="I379" s="369">
        <f t="shared" si="260"/>
        <v>5000</v>
      </c>
      <c r="J379" s="369">
        <v>5000</v>
      </c>
      <c r="K379" s="369">
        <f t="shared" si="260"/>
        <v>0</v>
      </c>
      <c r="L379" s="369">
        <f t="shared" si="260"/>
        <v>5000</v>
      </c>
    </row>
    <row r="380" spans="1:12" ht="47.25" x14ac:dyDescent="0.2">
      <c r="A380" s="113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IF(B380&gt;0,VLOOKUP(B380,КВСР!A136:B1301,2),IF(C380&gt;0,VLOOKUP(C380,КФСР!A136:B1648,2),IF(D380&gt;0,VLOOKUP(D380,Программа!A$1:B$5124,2),IF(F380&gt;0,VLOOKUP(F380,КВР!A$1:B$5001,2),IF(E380&gt;0,VLOOKUP(E380,Направление!A$1:B$4812,2))))))</f>
        <v>Расходы на реализацию МЦП "Духовно - нравственное воспитание и просвещение населения ТМР"</v>
      </c>
      <c r="B380" s="114"/>
      <c r="C380" s="121"/>
      <c r="D380" s="123"/>
      <c r="E380" s="121">
        <v>13810</v>
      </c>
      <c r="F380" s="122"/>
      <c r="G380" s="369">
        <v>5000</v>
      </c>
      <c r="H380" s="369">
        <f>H381</f>
        <v>0</v>
      </c>
      <c r="I380" s="369">
        <f t="shared" si="260"/>
        <v>5000</v>
      </c>
      <c r="J380" s="369">
        <v>5000</v>
      </c>
      <c r="K380" s="369">
        <f t="shared" si="260"/>
        <v>0</v>
      </c>
      <c r="L380" s="369">
        <f t="shared" si="260"/>
        <v>5000</v>
      </c>
    </row>
    <row r="381" spans="1:12" ht="47.25" x14ac:dyDescent="0.2">
      <c r="A381" s="113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IF(B381&gt;0,VLOOKUP(B381,КВСР!A137:B1302,2),IF(C381&gt;0,VLOOKUP(C381,КФСР!A137:B1649,2),IF(D381&gt;0,VLOOKUP(D381,Программа!A$1:B$5124,2),IF(F381&gt;0,VLOOKUP(F381,КВР!A$1:B$5001,2),IF(E381&gt;0,VLOOKUP(E381,Направление!A$1:B$4812,2))))))</f>
        <v>Предоставление субсидий бюджетным, автономным учреждениям и иным некоммерческим организациям</v>
      </c>
      <c r="B381" s="114"/>
      <c r="C381" s="121"/>
      <c r="D381" s="123"/>
      <c r="E381" s="121"/>
      <c r="F381" s="122">
        <v>600</v>
      </c>
      <c r="G381" s="369">
        <v>5000</v>
      </c>
      <c r="H381" s="369"/>
      <c r="I381" s="369">
        <f t="shared" si="217"/>
        <v>5000</v>
      </c>
      <c r="J381" s="369">
        <v>5000</v>
      </c>
      <c r="K381" s="286"/>
      <c r="L381" s="286">
        <f t="shared" si="216"/>
        <v>5000</v>
      </c>
    </row>
    <row r="382" spans="1:12" ht="15.75" x14ac:dyDescent="0.2">
      <c r="A382" s="113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IF(B382&gt;0,VLOOKUP(B382,КВСР!A134:B1299,2),IF(C382&gt;0,VLOOKUP(C382,КФСР!A134:B1646,2),IF(D382&gt;0,VLOOKUP(D382,Программа!A$1:B$5124,2),IF(F382&gt;0,VLOOKUP(F382,КВР!A$1:B$5001,2),IF(E382&gt;0,VLOOKUP(E382,Направление!A$1:B$4812,2))))))</f>
        <v>Социальное обеспечение населения</v>
      </c>
      <c r="B382" s="114"/>
      <c r="C382" s="121">
        <v>1003</v>
      </c>
      <c r="D382" s="123"/>
      <c r="E382" s="121"/>
      <c r="F382" s="122"/>
      <c r="G382" s="369">
        <v>149601</v>
      </c>
      <c r="H382" s="369">
        <f t="shared" ref="H382:L386" si="261">H383</f>
        <v>0</v>
      </c>
      <c r="I382" s="369">
        <f t="shared" si="261"/>
        <v>149601</v>
      </c>
      <c r="J382" s="369">
        <v>149601</v>
      </c>
      <c r="K382" s="286">
        <f t="shared" si="261"/>
        <v>0</v>
      </c>
      <c r="L382" s="286">
        <f t="shared" si="261"/>
        <v>149601</v>
      </c>
    </row>
    <row r="383" spans="1:12" ht="63" x14ac:dyDescent="0.2">
      <c r="A383" s="113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83" s="114"/>
      <c r="C383" s="121"/>
      <c r="D383" s="123" t="s">
        <v>367</v>
      </c>
      <c r="E383" s="121"/>
      <c r="F383" s="122"/>
      <c r="G383" s="369">
        <v>149601</v>
      </c>
      <c r="H383" s="369">
        <f t="shared" si="261"/>
        <v>0</v>
      </c>
      <c r="I383" s="369">
        <f t="shared" si="261"/>
        <v>149601</v>
      </c>
      <c r="J383" s="369">
        <v>149601</v>
      </c>
      <c r="K383" s="286">
        <f t="shared" si="261"/>
        <v>0</v>
      </c>
      <c r="L383" s="286">
        <f t="shared" si="261"/>
        <v>149601</v>
      </c>
    </row>
    <row r="384" spans="1:12" ht="63" x14ac:dyDescent="0.2">
      <c r="A384" s="113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14"/>
      <c r="C384" s="121"/>
      <c r="D384" s="123" t="s">
        <v>369</v>
      </c>
      <c r="E384" s="121"/>
      <c r="F384" s="122"/>
      <c r="G384" s="369">
        <v>149601</v>
      </c>
      <c r="H384" s="369">
        <f t="shared" si="261"/>
        <v>0</v>
      </c>
      <c r="I384" s="369">
        <f t="shared" si="261"/>
        <v>149601</v>
      </c>
      <c r="J384" s="369">
        <v>149601</v>
      </c>
      <c r="K384" s="286">
        <f t="shared" si="261"/>
        <v>0</v>
      </c>
      <c r="L384" s="286">
        <f t="shared" si="261"/>
        <v>149601</v>
      </c>
    </row>
    <row r="385" spans="1:12" ht="15.75" x14ac:dyDescent="0.2">
      <c r="A385" s="113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IF(B385&gt;0,VLOOKUP(B385,КВСР!A137:B1302,2),IF(C385&gt;0,VLOOKUP(C385,КФСР!A137:B1649,2),IF(D385&gt;0,VLOOKUP(D385,Программа!A$1:B$5124,2),IF(F385&gt;0,VLOOKUP(F385,КВР!A$1:B$5001,2),IF(E385&gt;0,VLOOKUP(E385,Направление!A$1:B$4812,2))))))</f>
        <v>Обеспечение компенсационных выплат</v>
      </c>
      <c r="B385" s="114"/>
      <c r="C385" s="121"/>
      <c r="D385" s="123" t="s">
        <v>1060</v>
      </c>
      <c r="E385" s="121"/>
      <c r="F385" s="122"/>
      <c r="G385" s="369">
        <v>149601</v>
      </c>
      <c r="H385" s="369">
        <f t="shared" si="261"/>
        <v>0</v>
      </c>
      <c r="I385" s="369">
        <f t="shared" si="261"/>
        <v>149601</v>
      </c>
      <c r="J385" s="369">
        <v>149601</v>
      </c>
      <c r="K385" s="286">
        <f t="shared" si="261"/>
        <v>0</v>
      </c>
      <c r="L385" s="286">
        <f t="shared" si="261"/>
        <v>149601</v>
      </c>
    </row>
    <row r="386" spans="1:12" ht="47.25" x14ac:dyDescent="0.2">
      <c r="A386" s="113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IF(B386&gt;0,VLOOKUP(B386,КВСР!A138:B1303,2),IF(C386&gt;0,VLOOKUP(C386,КФСР!A138:B1650,2),IF(D386&gt;0,VLOOKUP(D386,Программа!A$1:B$5124,2),IF(F386&gt;0,VLOOKUP(F386,КВР!A$1:B$5001,2),IF(E386&gt;0,VLOOKUP(E386,Направление!A$1:B$4812,2))))))</f>
        <v>Компенсация части расходов на приобретение путевки в организации отдыха детей и их оздоровления</v>
      </c>
      <c r="B386" s="114"/>
      <c r="C386" s="121"/>
      <c r="D386" s="123"/>
      <c r="E386" s="121">
        <v>74390</v>
      </c>
      <c r="F386" s="122"/>
      <c r="G386" s="369">
        <v>149601</v>
      </c>
      <c r="H386" s="369">
        <f t="shared" si="261"/>
        <v>0</v>
      </c>
      <c r="I386" s="369">
        <f t="shared" si="261"/>
        <v>149601</v>
      </c>
      <c r="J386" s="369">
        <v>149601</v>
      </c>
      <c r="K386" s="286">
        <f t="shared" si="261"/>
        <v>0</v>
      </c>
      <c r="L386" s="286">
        <f t="shared" si="261"/>
        <v>149601</v>
      </c>
    </row>
    <row r="387" spans="1:12" ht="31.5" x14ac:dyDescent="0.2">
      <c r="A387" s="113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IF(B387&gt;0,VLOOKUP(B387,КВСР!A139:B1304,2),IF(C387&gt;0,VLOOKUP(C387,КФСР!A139:B1651,2),IF(D387&gt;0,VLOOKUP(D387,Программа!A$1:B$5124,2),IF(F387&gt;0,VLOOKUP(F387,КВР!A$1:B$5001,2),IF(E387&gt;0,VLOOKUP(E387,Направление!A$1:B$4812,2))))))</f>
        <v>Социальное обеспечение и иные выплаты населению</v>
      </c>
      <c r="B387" s="114"/>
      <c r="C387" s="121"/>
      <c r="D387" s="123"/>
      <c r="E387" s="121"/>
      <c r="F387" s="122">
        <v>300</v>
      </c>
      <c r="G387" s="369">
        <v>149601</v>
      </c>
      <c r="H387" s="369"/>
      <c r="I387" s="369">
        <f>G387+H387</f>
        <v>149601</v>
      </c>
      <c r="J387" s="369">
        <v>149601</v>
      </c>
      <c r="K387" s="286"/>
      <c r="L387" s="286">
        <f>J387+K387</f>
        <v>149601</v>
      </c>
    </row>
    <row r="388" spans="1:12" ht="15.75" x14ac:dyDescent="0.2">
      <c r="A388" s="113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IF(B388&gt;0,VLOOKUP(B388,КВСР!A134:B1299,2),IF(C388&gt;0,VLOOKUP(C388,КФСР!A134:B1646,2),IF(D388&gt;0,VLOOKUP(D388,Программа!A$1:B$5124,2),IF(F388&gt;0,VLOOKUP(F388,КВР!A$1:B$5001,2),IF(E388&gt;0,VLOOKUP(E388,Направление!A$1:B$4812,2))))))</f>
        <v>Охрана семьи и детства</v>
      </c>
      <c r="B388" s="120"/>
      <c r="C388" s="109">
        <v>1004</v>
      </c>
      <c r="D388" s="124"/>
      <c r="E388" s="125"/>
      <c r="F388" s="122"/>
      <c r="G388" s="369">
        <v>40041461</v>
      </c>
      <c r="H388" s="369">
        <f t="shared" ref="H388:L389" si="262">H389</f>
        <v>0</v>
      </c>
      <c r="I388" s="369">
        <f t="shared" si="262"/>
        <v>40041461</v>
      </c>
      <c r="J388" s="369">
        <v>40041461</v>
      </c>
      <c r="K388" s="286">
        <f t="shared" ref="K388:L388" si="263">K389</f>
        <v>0</v>
      </c>
      <c r="L388" s="286">
        <f t="shared" si="263"/>
        <v>40041461</v>
      </c>
    </row>
    <row r="389" spans="1:12" ht="63" x14ac:dyDescent="0.2">
      <c r="A389" s="113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389" s="114"/>
      <c r="C389" s="109"/>
      <c r="D389" s="126" t="s">
        <v>367</v>
      </c>
      <c r="E389" s="127"/>
      <c r="F389" s="122"/>
      <c r="G389" s="369">
        <v>40041461</v>
      </c>
      <c r="H389" s="369">
        <f t="shared" si="262"/>
        <v>0</v>
      </c>
      <c r="I389" s="369">
        <f t="shared" si="262"/>
        <v>40041461</v>
      </c>
      <c r="J389" s="369">
        <v>40041461</v>
      </c>
      <c r="K389" s="369">
        <f t="shared" si="262"/>
        <v>0</v>
      </c>
      <c r="L389" s="369">
        <f t="shared" si="262"/>
        <v>40041461</v>
      </c>
    </row>
    <row r="390" spans="1:12" ht="63" x14ac:dyDescent="0.2">
      <c r="A390" s="113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IF(B390&gt;0,VLOOKUP(B390,КВСР!A153:B1318,2),IF(C390&gt;0,VLOOKUP(C390,КФСР!A153:B1665,2),IF(D390&gt;0,VLOOKUP(D390,Программа!A$1:B$5124,2),IF(F390&gt;0,VLOOKUP(F390,КВР!A$1:B$5001,2),IF(E390&gt;0,VLOOKUP(E390,Направление!A$1:B$4812,2))))))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14"/>
      <c r="C390" s="109"/>
      <c r="D390" s="126" t="s">
        <v>369</v>
      </c>
      <c r="E390" s="127"/>
      <c r="F390" s="122"/>
      <c r="G390" s="369">
        <v>40041461</v>
      </c>
      <c r="H390" s="369">
        <f t="shared" ref="H390:I390" si="264">H394+H407+H391</f>
        <v>0</v>
      </c>
      <c r="I390" s="369">
        <f t="shared" si="264"/>
        <v>40041461</v>
      </c>
      <c r="J390" s="369">
        <v>40041461</v>
      </c>
      <c r="K390" s="369">
        <f t="shared" ref="K390" si="265">K394+K407+K391</f>
        <v>0</v>
      </c>
      <c r="L390" s="369">
        <f t="shared" ref="L390" si="266">L394+L407+L391</f>
        <v>40041461</v>
      </c>
    </row>
    <row r="391" spans="1:12" ht="47.25" hidden="1" x14ac:dyDescent="0.2">
      <c r="A391" s="113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IF(B391&gt;0,VLOOKUP(B391,КВСР!A154:B1319,2),IF(C391&gt;0,VLOOKUP(C391,КФСР!A154:B1666,2),IF(D391&gt;0,VLOOKUP(D391,Программа!A$1:B$5124,2),IF(F391&gt;0,VLOOKUP(F391,КВР!A$1:B$5001,2),IF(E391&gt;0,VLOOKUP(E391,Направление!A$1:B$4812,2))))))</f>
        <v>Обеспечение качества и доступности образовательных услуг в сфере дошкольного образования</v>
      </c>
      <c r="B391" s="114"/>
      <c r="C391" s="109"/>
      <c r="D391" s="110" t="s">
        <v>370</v>
      </c>
      <c r="E391" s="127"/>
      <c r="F391" s="122"/>
      <c r="G391" s="369">
        <v>0</v>
      </c>
      <c r="H391" s="369">
        <f t="shared" ref="H391:L392" si="267">H392</f>
        <v>0</v>
      </c>
      <c r="I391" s="369">
        <f t="shared" si="267"/>
        <v>0</v>
      </c>
      <c r="J391" s="369">
        <v>0</v>
      </c>
      <c r="K391" s="369">
        <f t="shared" si="267"/>
        <v>0</v>
      </c>
      <c r="L391" s="369">
        <f t="shared" si="267"/>
        <v>0</v>
      </c>
    </row>
    <row r="392" spans="1:12" ht="63" hidden="1" x14ac:dyDescent="0.2">
      <c r="A392" s="113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IF(B392&gt;0,VLOOKUP(B392,КВСР!A155:B1320,2),IF(C392&gt;0,VLOOKUP(C392,КФСР!A155:B1667,2),IF(D392&gt;0,VLOOKUP(D392,Программа!A$1:B$5124,2),IF(F392&gt;0,VLOOKUP(F392,КВР!A$1:B$5001,2),IF(E392&gt;0,VLOOKUP(E392,Направление!A$1:B$4812,2))))))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14"/>
      <c r="C392" s="109"/>
      <c r="D392" s="126"/>
      <c r="E392" s="127">
        <v>73110</v>
      </c>
      <c r="F392" s="122"/>
      <c r="G392" s="369">
        <v>0</v>
      </c>
      <c r="H392" s="369">
        <f t="shared" si="267"/>
        <v>0</v>
      </c>
      <c r="I392" s="369">
        <f t="shared" si="267"/>
        <v>0</v>
      </c>
      <c r="J392" s="369">
        <v>0</v>
      </c>
      <c r="K392" s="369">
        <f t="shared" si="267"/>
        <v>0</v>
      </c>
      <c r="L392" s="369">
        <f t="shared" si="267"/>
        <v>0</v>
      </c>
    </row>
    <row r="393" spans="1:12" ht="110.25" hidden="1" x14ac:dyDescent="0.2">
      <c r="A393" s="113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14"/>
      <c r="C393" s="109"/>
      <c r="D393" s="126"/>
      <c r="E393" s="127"/>
      <c r="F393" s="122">
        <v>100</v>
      </c>
      <c r="G393" s="369">
        <v>0</v>
      </c>
      <c r="H393" s="369"/>
      <c r="I393" s="369">
        <f>G393+H393</f>
        <v>0</v>
      </c>
      <c r="J393" s="369">
        <v>0</v>
      </c>
      <c r="K393" s="286"/>
      <c r="L393" s="286">
        <f>J393+K393</f>
        <v>0</v>
      </c>
    </row>
    <row r="394" spans="1:12" ht="63" x14ac:dyDescent="0.2">
      <c r="A394" s="113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IF(B394&gt;0,VLOOKUP(B394,КВСР!A154:B1319,2),IF(C394&gt;0,VLOOKUP(C394,КФСР!A154:B1666,2),IF(D394&gt;0,VLOOKUP(D394,Программа!A$1:B$5124,2),IF(F394&gt;0,VLOOKUP(F394,КВР!A$1:B$5001,2),IF(E394&gt;0,VLOOKUP(E394,Направление!A$1:B$4812,2))))))</f>
        <v>Обеспечение качества реализации мер по социальной поддержке детей-сирот и детей, оставшихся без попечения родителей</v>
      </c>
      <c r="B394" s="114"/>
      <c r="C394" s="109"/>
      <c r="D394" s="110" t="s">
        <v>416</v>
      </c>
      <c r="E394" s="127"/>
      <c r="F394" s="122"/>
      <c r="G394" s="369">
        <v>30835562</v>
      </c>
      <c r="H394" s="369">
        <f t="shared" ref="H394:K394" si="268">H395+H397+H399+H402</f>
        <v>0</v>
      </c>
      <c r="I394" s="369">
        <f t="shared" ref="I394" si="269">I395+I397+I399+I402</f>
        <v>30835562</v>
      </c>
      <c r="J394" s="369">
        <v>30835562</v>
      </c>
      <c r="K394" s="369">
        <f t="shared" si="268"/>
        <v>0</v>
      </c>
      <c r="L394" s="369">
        <f t="shared" ref="L394" si="270">L395+L397+L399+L402</f>
        <v>30835562</v>
      </c>
    </row>
    <row r="395" spans="1:12" ht="78.75" hidden="1" x14ac:dyDescent="0.2">
      <c r="A395" s="113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IF(B395&gt;0,VLOOKUP(B395,КВСР!A155:B1320,2),IF(C395&gt;0,VLOOKUP(C395,КФСР!A155:B1667,2),IF(D395&gt;0,VLOOKUP(D395,Программа!A$1:B$5124,2),IF(F395&gt;0,VLOOKUP(F395,КВР!A$1:B$5001,2),IF(E395&gt;0,VLOOKUP(E395,Направление!A$1:B$4812,2))))))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14"/>
      <c r="C395" s="109"/>
      <c r="D395" s="126"/>
      <c r="E395" s="127">
        <v>52600</v>
      </c>
      <c r="F395" s="122"/>
      <c r="G395" s="369">
        <v>0</v>
      </c>
      <c r="H395" s="369">
        <f t="shared" ref="H395:I395" si="271">H396</f>
        <v>0</v>
      </c>
      <c r="I395" s="369">
        <f t="shared" si="271"/>
        <v>0</v>
      </c>
      <c r="J395" s="369">
        <v>0</v>
      </c>
      <c r="K395" s="286">
        <f t="shared" ref="K395:L395" si="272">K396</f>
        <v>0</v>
      </c>
      <c r="L395" s="286">
        <f t="shared" si="272"/>
        <v>0</v>
      </c>
    </row>
    <row r="396" spans="1:12" ht="31.5" hidden="1" x14ac:dyDescent="0.2">
      <c r="A396" s="113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IF(B396&gt;0,VLOOKUP(B396,КВСР!A158:B1323,2),IF(C396&gt;0,VLOOKUP(C396,КФСР!A158:B1670,2),IF(D396&gt;0,VLOOKUP(D396,Программа!A$1:B$5124,2),IF(F396&gt;0,VLOOKUP(F396,КВР!A$1:B$5001,2),IF(E396&gt;0,VLOOKUP(E396,Направление!A$1:B$4812,2))))))</f>
        <v>Социальное обеспечение и иные выплаты населению</v>
      </c>
      <c r="B396" s="114"/>
      <c r="C396" s="109"/>
      <c r="D396" s="126"/>
      <c r="E396" s="127"/>
      <c r="F396" s="122">
        <v>300</v>
      </c>
      <c r="G396" s="369">
        <v>0</v>
      </c>
      <c r="H396" s="369"/>
      <c r="I396" s="369">
        <f t="shared" si="217"/>
        <v>0</v>
      </c>
      <c r="J396" s="369">
        <v>0</v>
      </c>
      <c r="K396" s="286"/>
      <c r="L396" s="286">
        <f t="shared" si="216"/>
        <v>0</v>
      </c>
    </row>
    <row r="397" spans="1:12" ht="94.5" hidden="1" x14ac:dyDescent="0.2">
      <c r="A397" s="113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14"/>
      <c r="C397" s="109"/>
      <c r="D397" s="126"/>
      <c r="E397" s="127">
        <v>70430</v>
      </c>
      <c r="F397" s="122"/>
      <c r="G397" s="369">
        <v>0</v>
      </c>
      <c r="H397" s="369">
        <f t="shared" ref="H397" si="273">H398</f>
        <v>0</v>
      </c>
      <c r="I397" s="369">
        <f t="shared" si="217"/>
        <v>0</v>
      </c>
      <c r="J397" s="369">
        <v>0</v>
      </c>
      <c r="K397" s="286">
        <f t="shared" ref="K397" si="274">K398</f>
        <v>0</v>
      </c>
      <c r="L397" s="286">
        <f t="shared" si="216"/>
        <v>0</v>
      </c>
    </row>
    <row r="398" spans="1:12" ht="31.5" hidden="1" x14ac:dyDescent="0.2">
      <c r="A398" s="113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IF(B398&gt;0,VLOOKUP(B398,КВСР!A160:B1325,2),IF(C398&gt;0,VLOOKUP(C398,КФСР!A160:B1672,2),IF(D398&gt;0,VLOOKUP(D398,Программа!A$1:B$5124,2),IF(F398&gt;0,VLOOKUP(F398,КВР!A$1:B$5001,2),IF(E398&gt;0,VLOOKUP(E398,Направление!A$1:B$4812,2))))))</f>
        <v>Социальное обеспечение и иные выплаты населению</v>
      </c>
      <c r="B398" s="114"/>
      <c r="C398" s="109"/>
      <c r="D398" s="126"/>
      <c r="E398" s="127"/>
      <c r="F398" s="122">
        <v>300</v>
      </c>
      <c r="G398" s="369">
        <v>0</v>
      </c>
      <c r="H398" s="369"/>
      <c r="I398" s="369">
        <f t="shared" si="217"/>
        <v>0</v>
      </c>
      <c r="J398" s="369">
        <v>0</v>
      </c>
      <c r="K398" s="286"/>
      <c r="L398" s="286">
        <f t="shared" si="216"/>
        <v>0</v>
      </c>
    </row>
    <row r="399" spans="1:12" ht="78.75" x14ac:dyDescent="0.2">
      <c r="A399" s="113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IF(B399&gt;0,VLOOKUP(B399,КВСР!A161:B1326,2),IF(C399&gt;0,VLOOKUP(C399,КФСР!A161:B1673,2),IF(D399&gt;0,VLOOKUP(D399,Программа!A$1:B$5124,2),IF(F399&gt;0,VLOOKUP(F399,КВР!A$1:B$5001,2),IF(E399&gt;0,VLOOKUP(E399,Направление!A$1:B$4812,2))))))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14"/>
      <c r="C399" s="109"/>
      <c r="D399" s="126"/>
      <c r="E399" s="127">
        <v>70460</v>
      </c>
      <c r="F399" s="122"/>
      <c r="G399" s="369">
        <v>27292878</v>
      </c>
      <c r="H399" s="369">
        <f t="shared" ref="H399:I399" si="275">H400+H401</f>
        <v>0</v>
      </c>
      <c r="I399" s="369">
        <f t="shared" si="275"/>
        <v>27292878</v>
      </c>
      <c r="J399" s="369">
        <v>27292878</v>
      </c>
      <c r="K399" s="286">
        <f t="shared" ref="K399:L399" si="276">K400+K401</f>
        <v>0</v>
      </c>
      <c r="L399" s="286">
        <f t="shared" si="276"/>
        <v>27292878</v>
      </c>
    </row>
    <row r="400" spans="1:12" ht="63" x14ac:dyDescent="0.25">
      <c r="A400" s="113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IF(B400&gt;0,VLOOKUP(B400,КВСР!A162:B1327,2),IF(C400&gt;0,VLOOKUP(C400,КФСР!A162:B1674,2),IF(D400&gt;0,VLOOKUP(D400,Программа!A$1:B$5124,2),IF(F400&gt;0,VLOOKUP(F400,КВР!A$1:B$5001,2),IF(E400&gt;0,VLOOKUP(E400,Направление!A$1:B$4812,2))))))</f>
        <v xml:space="preserve">Закупка товаров, работ и услуг для обеспечения государственных (муниципальных) нужд
</v>
      </c>
      <c r="B400" s="114"/>
      <c r="C400" s="109"/>
      <c r="D400" s="140"/>
      <c r="E400" s="141"/>
      <c r="F400" s="122">
        <v>200</v>
      </c>
      <c r="G400" s="369">
        <v>80815</v>
      </c>
      <c r="H400" s="369"/>
      <c r="I400" s="369">
        <f t="shared" si="217"/>
        <v>80815</v>
      </c>
      <c r="J400" s="369">
        <v>80815</v>
      </c>
      <c r="K400" s="286"/>
      <c r="L400" s="286">
        <f t="shared" si="216"/>
        <v>80815</v>
      </c>
    </row>
    <row r="401" spans="1:12" ht="31.5" x14ac:dyDescent="0.25">
      <c r="A401" s="113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IF(B401&gt;0,VLOOKUP(B401,КВСР!A163:B1328,2),IF(C401&gt;0,VLOOKUP(C401,КФСР!A163:B1675,2),IF(D401&gt;0,VLOOKUP(D401,Программа!A$1:B$5124,2),IF(F401&gt;0,VLOOKUP(F401,КВР!A$1:B$5001,2),IF(E401&gt;0,VLOOKUP(E401,Направление!A$1:B$4812,2))))))</f>
        <v>Социальное обеспечение и иные выплаты населению</v>
      </c>
      <c r="B401" s="114"/>
      <c r="C401" s="109"/>
      <c r="D401" s="140"/>
      <c r="E401" s="141"/>
      <c r="F401" s="122">
        <v>300</v>
      </c>
      <c r="G401" s="369">
        <v>27212063</v>
      </c>
      <c r="H401" s="369"/>
      <c r="I401" s="369">
        <f t="shared" si="217"/>
        <v>27212063</v>
      </c>
      <c r="J401" s="369">
        <v>27212063</v>
      </c>
      <c r="K401" s="286"/>
      <c r="L401" s="286">
        <f t="shared" si="216"/>
        <v>27212063</v>
      </c>
    </row>
    <row r="402" spans="1:12" ht="47.25" x14ac:dyDescent="0.25">
      <c r="A402" s="113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IF(B402&gt;0,VLOOKUP(B402,КВСР!A164:B1329,2),IF(C402&gt;0,VLOOKUP(C402,КФСР!A164:B1676,2),IF(D402&gt;0,VLOOKUP(D402,Программа!A$1:B$5124,2),IF(F402&gt;0,VLOOKUP(F402,КВР!A$1:B$5001,2),IF(E402&gt;0,VLOOKUP(E402,Направление!A$1:B$4812,2))))))</f>
        <v>Государственная поддержка опеки и попечительства за счет средств областного бюджета</v>
      </c>
      <c r="B402" s="120"/>
      <c r="C402" s="109"/>
      <c r="D402" s="140"/>
      <c r="E402" s="109">
        <v>70500</v>
      </c>
      <c r="F402" s="122"/>
      <c r="G402" s="369">
        <v>3542684</v>
      </c>
      <c r="H402" s="369">
        <f t="shared" ref="H402:I402" si="277">H403+H404+H405+H406</f>
        <v>0</v>
      </c>
      <c r="I402" s="369">
        <f t="shared" si="277"/>
        <v>3542684</v>
      </c>
      <c r="J402" s="369">
        <v>3542684</v>
      </c>
      <c r="K402" s="286">
        <f t="shared" ref="K402:L402" si="278">K403+K404+K405+K406</f>
        <v>0</v>
      </c>
      <c r="L402" s="286">
        <f t="shared" si="278"/>
        <v>3542684</v>
      </c>
    </row>
    <row r="403" spans="1:12" ht="110.25" x14ac:dyDescent="0.2">
      <c r="A403" s="113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20"/>
      <c r="C403" s="121"/>
      <c r="D403" s="123"/>
      <c r="E403" s="121"/>
      <c r="F403" s="122">
        <v>100</v>
      </c>
      <c r="G403" s="369">
        <v>633842</v>
      </c>
      <c r="H403" s="369"/>
      <c r="I403" s="369">
        <f t="shared" si="217"/>
        <v>633842</v>
      </c>
      <c r="J403" s="369">
        <v>633842</v>
      </c>
      <c r="K403" s="286"/>
      <c r="L403" s="286">
        <f t="shared" si="216"/>
        <v>633842</v>
      </c>
    </row>
    <row r="404" spans="1:12" ht="63" x14ac:dyDescent="0.2">
      <c r="A404" s="113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IF(B404&gt;0,VLOOKUP(B404,КВСР!A166:B1331,2),IF(C404&gt;0,VLOOKUP(C404,КФСР!A166:B1678,2),IF(D404&gt;0,VLOOKUP(D404,Программа!A$1:B$5124,2),IF(F404&gt;0,VLOOKUP(F404,КВР!A$1:B$5001,2),IF(E404&gt;0,VLOOKUP(E404,Направление!A$1:B$4812,2))))))</f>
        <v xml:space="preserve">Закупка товаров, работ и услуг для обеспечения государственных (муниципальных) нужд
</v>
      </c>
      <c r="B404" s="120"/>
      <c r="C404" s="121"/>
      <c r="D404" s="123"/>
      <c r="E404" s="121"/>
      <c r="F404" s="122">
        <v>200</v>
      </c>
      <c r="G404" s="369">
        <v>2352</v>
      </c>
      <c r="H404" s="369"/>
      <c r="I404" s="369">
        <f t="shared" si="217"/>
        <v>2352</v>
      </c>
      <c r="J404" s="369">
        <v>2352</v>
      </c>
      <c r="K404" s="286"/>
      <c r="L404" s="286">
        <f t="shared" si="216"/>
        <v>2352</v>
      </c>
    </row>
    <row r="405" spans="1:12" ht="31.5" x14ac:dyDescent="0.2">
      <c r="A405" s="113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IF(B405&gt;0,VLOOKUP(B405,КВСР!A167:B1332,2),IF(C405&gt;0,VLOOKUP(C405,КФСР!A167:B1679,2),IF(D405&gt;0,VLOOKUP(D405,Программа!A$1:B$5124,2),IF(F405&gt;0,VLOOKUP(F405,КВР!A$1:B$5001,2),IF(E405&gt;0,VLOOKUP(E405,Направление!A$1:B$4812,2))))))</f>
        <v>Социальное обеспечение и иные выплаты населению</v>
      </c>
      <c r="B405" s="120"/>
      <c r="C405" s="121"/>
      <c r="D405" s="123"/>
      <c r="E405" s="121"/>
      <c r="F405" s="122">
        <v>300</v>
      </c>
      <c r="G405" s="369">
        <v>1019963</v>
      </c>
      <c r="H405" s="369"/>
      <c r="I405" s="369">
        <f t="shared" si="217"/>
        <v>1019963</v>
      </c>
      <c r="J405" s="369">
        <v>1019963</v>
      </c>
      <c r="K405" s="286"/>
      <c r="L405" s="286">
        <f t="shared" si="216"/>
        <v>1019963</v>
      </c>
    </row>
    <row r="406" spans="1:12" ht="47.25" x14ac:dyDescent="0.2">
      <c r="A406" s="113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IF(B406&gt;0,VLOOKUP(B406,КВСР!A168:B1333,2),IF(C406&gt;0,VLOOKUP(C406,КФСР!A168:B1680,2),IF(D406&gt;0,VLOOKUP(D406,Программа!A$1:B$5124,2),IF(F406&gt;0,VLOOKUP(F406,КВР!A$1:B$5001,2),IF(E406&gt;0,VLOOKUP(E406,Направление!A$1:B$4812,2))))))</f>
        <v>Предоставление субсидий бюджетным, автономным учреждениям и иным некоммерческим организациям</v>
      </c>
      <c r="B406" s="120"/>
      <c r="C406" s="121"/>
      <c r="D406" s="123"/>
      <c r="E406" s="121"/>
      <c r="F406" s="122">
        <v>600</v>
      </c>
      <c r="G406" s="369">
        <v>1886527</v>
      </c>
      <c r="H406" s="369"/>
      <c r="I406" s="369">
        <f t="shared" si="217"/>
        <v>1886527</v>
      </c>
      <c r="J406" s="369">
        <v>1886527</v>
      </c>
      <c r="K406" s="286"/>
      <c r="L406" s="286">
        <f t="shared" si="216"/>
        <v>1886527</v>
      </c>
    </row>
    <row r="407" spans="1:12" ht="15.75" x14ac:dyDescent="0.2">
      <c r="A407" s="113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IF(B407&gt;0,VLOOKUP(B407,КВСР!A169:B1334,2),IF(C407&gt;0,VLOOKUP(C407,КФСР!A169:B1681,2),IF(D407&gt;0,VLOOKUP(D407,Программа!A$1:B$5124,2),IF(F407&gt;0,VLOOKUP(F407,КВР!A$1:B$5001,2),IF(E407&gt;0,VLOOKUP(E407,Направление!A$1:B$4812,2))))))</f>
        <v>Обеспечение компенсационных выплат</v>
      </c>
      <c r="B407" s="120"/>
      <c r="C407" s="121"/>
      <c r="D407" s="110" t="s">
        <v>1060</v>
      </c>
      <c r="E407" s="121"/>
      <c r="F407" s="122"/>
      <c r="G407" s="369">
        <v>9205899</v>
      </c>
      <c r="H407" s="369">
        <f t="shared" ref="H407:I407" si="279">H408</f>
        <v>0</v>
      </c>
      <c r="I407" s="369">
        <f t="shared" si="279"/>
        <v>9205899</v>
      </c>
      <c r="J407" s="369">
        <v>9205899</v>
      </c>
      <c r="K407" s="286">
        <f t="shared" ref="K407:L407" si="280">K408</f>
        <v>0</v>
      </c>
      <c r="L407" s="286">
        <f t="shared" si="280"/>
        <v>9205899</v>
      </c>
    </row>
    <row r="408" spans="1:12" ht="94.5" x14ac:dyDescent="0.2">
      <c r="A408" s="113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IF(B408&gt;0,VLOOKUP(B408,КВСР!A168:B1333,2),IF(C408&gt;0,VLOOKUP(C408,КФСР!A168:B1680,2),IF(D408&gt;0,VLOOKUP(D408,Программа!A$1:B$5124,2),IF(F408&gt;0,VLOOKUP(F408,КВР!A$1:B$5001,2),IF(E408&gt;0,VLOOKUP(E408,Направление!A$1:B$4812,2))))))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20"/>
      <c r="C408" s="121"/>
      <c r="D408" s="123"/>
      <c r="E408" s="121">
        <v>70430</v>
      </c>
      <c r="F408" s="122"/>
      <c r="G408" s="369">
        <v>9205899</v>
      </c>
      <c r="H408" s="369">
        <f t="shared" ref="H408:I408" si="281">H409+H410</f>
        <v>0</v>
      </c>
      <c r="I408" s="369">
        <f t="shared" si="281"/>
        <v>9205899</v>
      </c>
      <c r="J408" s="369">
        <v>9205899</v>
      </c>
      <c r="K408" s="286">
        <f t="shared" ref="K408:L408" si="282">K409+K410</f>
        <v>0</v>
      </c>
      <c r="L408" s="286">
        <f t="shared" si="282"/>
        <v>9205899</v>
      </c>
    </row>
    <row r="409" spans="1:12" ht="63" x14ac:dyDescent="0.2">
      <c r="A409" s="113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IF(B409&gt;0,VLOOKUP(B409,КВСР!A169:B1334,2),IF(C409&gt;0,VLOOKUP(C409,КФСР!A169:B1681,2),IF(D409&gt;0,VLOOKUP(D409,Программа!A$1:B$5124,2),IF(F409&gt;0,VLOOKUP(F409,КВР!A$1:B$5001,2),IF(E409&gt;0,VLOOKUP(E409,Направление!A$1:B$4812,2))))))</f>
        <v xml:space="preserve">Закупка товаров, работ и услуг для обеспечения государственных (муниципальных) нужд
</v>
      </c>
      <c r="B409" s="120"/>
      <c r="C409" s="121"/>
      <c r="D409" s="110"/>
      <c r="E409" s="109"/>
      <c r="F409" s="111">
        <v>200</v>
      </c>
      <c r="G409" s="369">
        <v>136048</v>
      </c>
      <c r="H409" s="369"/>
      <c r="I409" s="369">
        <f t="shared" si="217"/>
        <v>136048</v>
      </c>
      <c r="J409" s="369">
        <v>136048</v>
      </c>
      <c r="K409" s="286"/>
      <c r="L409" s="286">
        <f t="shared" si="216"/>
        <v>136048</v>
      </c>
    </row>
    <row r="410" spans="1:12" ht="31.5" x14ac:dyDescent="0.2">
      <c r="A410" s="113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IF(B410&gt;0,VLOOKUP(B410,КВСР!A170:B1335,2),IF(C410&gt;0,VLOOKUP(C410,КФСР!A170:B1682,2),IF(D410&gt;0,VLOOKUP(D410,Программа!A$1:B$5124,2),IF(F410&gt;0,VLOOKUP(F410,КВР!A$1:B$5001,2),IF(E410&gt;0,VLOOKUP(E410,Направление!A$1:B$4812,2))))))</f>
        <v>Социальное обеспечение и иные выплаты населению</v>
      </c>
      <c r="B410" s="120"/>
      <c r="C410" s="121"/>
      <c r="D410" s="110"/>
      <c r="E410" s="109"/>
      <c r="F410" s="111">
        <v>300</v>
      </c>
      <c r="G410" s="369">
        <v>9069851</v>
      </c>
      <c r="H410" s="369"/>
      <c r="I410" s="369">
        <f t="shared" ref="I410:I489" si="283">SUM(G410:H410)</f>
        <v>9069851</v>
      </c>
      <c r="J410" s="369">
        <v>9069851</v>
      </c>
      <c r="K410" s="286"/>
      <c r="L410" s="286">
        <f t="shared" ref="L410:L489" si="284">SUM(J410:K410)</f>
        <v>9069851</v>
      </c>
    </row>
    <row r="411" spans="1:12" ht="15.75" x14ac:dyDescent="0.2">
      <c r="A411" s="113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IF(B411&gt;0,VLOOKUP(B411,КВСР!A171:B1336,2),IF(C411&gt;0,VLOOKUP(C411,КФСР!A171:B1683,2),IF(D411&gt;0,VLOOKUP(D411,Программа!A$1:B$5124,2),IF(F411&gt;0,VLOOKUP(F411,КВР!A$1:B$5001,2),IF(E411&gt;0,VLOOKUP(E411,Направление!A$1:B$4812,2))))))</f>
        <v>Массовый спорт</v>
      </c>
      <c r="B411" s="120"/>
      <c r="C411" s="121">
        <v>1102</v>
      </c>
      <c r="D411" s="110"/>
      <c r="E411" s="109"/>
      <c r="F411" s="111"/>
      <c r="G411" s="369">
        <v>25138908</v>
      </c>
      <c r="H411" s="369">
        <f>H412</f>
        <v>0</v>
      </c>
      <c r="I411" s="369">
        <f t="shared" ref="I411:L411" si="285">I412</f>
        <v>25138908</v>
      </c>
      <c r="J411" s="369">
        <v>24376855</v>
      </c>
      <c r="K411" s="369">
        <f t="shared" si="285"/>
        <v>0</v>
      </c>
      <c r="L411" s="369">
        <f t="shared" si="285"/>
        <v>24376855</v>
      </c>
    </row>
    <row r="412" spans="1:12" ht="63" x14ac:dyDescent="0.2">
      <c r="A412" s="113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IF(B412&gt;0,VLOOKUP(B412,КВСР!A172:B1337,2),IF(C412&gt;0,VLOOKUP(C412,КФСР!A172:B1684,2),IF(D412&gt;0,VLOOKUP(D412,Программа!A$1:B$5124,2),IF(F412&gt;0,VLOOKUP(F412,КВР!A$1:B$5001,2),IF(E412&gt;0,VLOOKUP(E412,Направление!A$1:B$4812,2))))))</f>
        <v>Муниципальная программа "Развитие образования, физической культуры и спорта в Тутаевском муниципальном районе"</v>
      </c>
      <c r="B412" s="120"/>
      <c r="C412" s="121"/>
      <c r="D412" s="110" t="s">
        <v>367</v>
      </c>
      <c r="E412" s="109"/>
      <c r="F412" s="111"/>
      <c r="G412" s="369">
        <v>25138908</v>
      </c>
      <c r="H412" s="369">
        <f>H413+H419</f>
        <v>0</v>
      </c>
      <c r="I412" s="369">
        <f t="shared" ref="I412:L412" si="286">I413+I419</f>
        <v>25138908</v>
      </c>
      <c r="J412" s="369">
        <v>24376855</v>
      </c>
      <c r="K412" s="369">
        <f t="shared" si="286"/>
        <v>0</v>
      </c>
      <c r="L412" s="369">
        <f t="shared" si="286"/>
        <v>24376855</v>
      </c>
    </row>
    <row r="413" spans="1:12" ht="47.25" x14ac:dyDescent="0.2">
      <c r="A413" s="113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IF(B413&gt;0,VLOOKUP(B413,КВСР!A173:B1338,2),IF(C413&gt;0,VLOOKUP(C413,КФСР!A173:B1685,2),IF(D413&gt;0,VLOOKUP(D413,Программа!A$1:B$5124,2),IF(F413&gt;0,VLOOKUP(F413,КВР!A$1:B$5001,2),IF(E413&gt;0,VLOOKUP(E413,Направление!A$1:B$4812,2))))))</f>
        <v>Муниципальная целевая программа "Развитие физической культуры и спорта в Тутаевском муниципальном районе"</v>
      </c>
      <c r="B413" s="120"/>
      <c r="C413" s="121"/>
      <c r="D413" s="110" t="s">
        <v>386</v>
      </c>
      <c r="E413" s="109"/>
      <c r="F413" s="111"/>
      <c r="G413" s="369">
        <v>24488908</v>
      </c>
      <c r="H413" s="369">
        <f t="shared" ref="H413:I415" si="287">H414</f>
        <v>0</v>
      </c>
      <c r="I413" s="369">
        <f t="shared" si="287"/>
        <v>24488908</v>
      </c>
      <c r="J413" s="369">
        <v>23726855</v>
      </c>
      <c r="K413" s="286">
        <f t="shared" ref="K413:L415" si="288">K414</f>
        <v>0</v>
      </c>
      <c r="L413" s="286">
        <f t="shared" si="288"/>
        <v>23726855</v>
      </c>
    </row>
    <row r="414" spans="1:12" ht="78.75" x14ac:dyDescent="0.2">
      <c r="A414" s="113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IF(B414&gt;0,VLOOKUP(B414,КВСР!A174:B1339,2),IF(C414&gt;0,VLOOKUP(C414,КФСР!A174:B1686,2),IF(D414&gt;0,VLOOKUP(D414,Программа!A$1:B$5124,2),IF(F414&gt;0,VLOOKUP(F414,КВР!A$1:B$5001,2),IF(E414&gt;0,VLOOKUP(E414,Направление!A$1:B$4812,2))))))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20"/>
      <c r="C414" s="121"/>
      <c r="D414" s="110" t="s">
        <v>441</v>
      </c>
      <c r="E414" s="109"/>
      <c r="F414" s="111"/>
      <c r="G414" s="369">
        <v>24488908</v>
      </c>
      <c r="H414" s="369">
        <f t="shared" ref="H414:L414" si="289">H415+H417</f>
        <v>0</v>
      </c>
      <c r="I414" s="369">
        <f t="shared" si="289"/>
        <v>24488908</v>
      </c>
      <c r="J414" s="369">
        <v>23726855</v>
      </c>
      <c r="K414" s="369">
        <f t="shared" si="289"/>
        <v>0</v>
      </c>
      <c r="L414" s="369">
        <f t="shared" si="289"/>
        <v>23726855</v>
      </c>
    </row>
    <row r="415" spans="1:12" ht="31.5" x14ac:dyDescent="0.2">
      <c r="A415" s="113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IF(B415&gt;0,VLOOKUP(B415,КВСР!A175:B1340,2),IF(C415&gt;0,VLOOKUP(C415,КФСР!A175:B1687,2),IF(D415&gt;0,VLOOKUP(D415,Программа!A$1:B$5124,2),IF(F415&gt;0,VLOOKUP(F415,КВР!A$1:B$5001,2),IF(E415&gt;0,VLOOKUP(E415,Направление!A$1:B$4812,2))))))</f>
        <v>Обеспечение деятельности учреждений спорта</v>
      </c>
      <c r="B415" s="120"/>
      <c r="C415" s="121"/>
      <c r="D415" s="110"/>
      <c r="E415" s="109">
        <v>14020</v>
      </c>
      <c r="F415" s="111"/>
      <c r="G415" s="369">
        <v>24138908</v>
      </c>
      <c r="H415" s="369">
        <f t="shared" si="287"/>
        <v>0</v>
      </c>
      <c r="I415" s="369">
        <f t="shared" si="287"/>
        <v>24138908</v>
      </c>
      <c r="J415" s="369">
        <v>23376855</v>
      </c>
      <c r="K415" s="286">
        <f t="shared" si="288"/>
        <v>0</v>
      </c>
      <c r="L415" s="286">
        <f t="shared" si="288"/>
        <v>23376855</v>
      </c>
    </row>
    <row r="416" spans="1:12" ht="47.25" x14ac:dyDescent="0.2">
      <c r="A416" s="113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IF(B416&gt;0,VLOOKUP(B416,КВСР!A175:B1340,2),IF(C416&gt;0,VLOOKUP(C416,КФСР!A175:B1687,2),IF(D416&gt;0,VLOOKUP(D416,Программа!A$1:B$5124,2),IF(F416&gt;0,VLOOKUP(F416,КВР!A$1:B$5001,2),IF(E416&gt;0,VLOOKUP(E416,Направление!A$1:B$4812,2))))))</f>
        <v>Предоставление субсидий бюджетным, автономным учреждениям и иным некоммерческим организациям</v>
      </c>
      <c r="B416" s="120"/>
      <c r="C416" s="121"/>
      <c r="D416" s="110"/>
      <c r="E416" s="109"/>
      <c r="F416" s="111">
        <v>600</v>
      </c>
      <c r="G416" s="369">
        <v>24138908</v>
      </c>
      <c r="H416" s="369"/>
      <c r="I416" s="369">
        <f t="shared" si="283"/>
        <v>24138908</v>
      </c>
      <c r="J416" s="369">
        <v>23376855</v>
      </c>
      <c r="K416" s="286"/>
      <c r="L416" s="286">
        <f t="shared" si="284"/>
        <v>23376855</v>
      </c>
    </row>
    <row r="417" spans="1:12" ht="31.5" x14ac:dyDescent="0.2">
      <c r="A417" s="113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IF(B417&gt;0,VLOOKUP(B417,КВСР!A176:B1341,2),IF(C417&gt;0,VLOOKUP(C417,КФСР!A176:B1688,2),IF(D417&gt;0,VLOOKUP(D417,Программа!A$1:B$5124,2),IF(F417&gt;0,VLOOKUP(F417,КВР!A$1:B$5001,2),IF(E417&gt;0,VLOOKUP(E417,Направление!A$1:B$4812,2))))))</f>
        <v>Мероприятия в области спорта и физической культуры</v>
      </c>
      <c r="B417" s="120"/>
      <c r="C417" s="121"/>
      <c r="D417" s="110"/>
      <c r="E417" s="109">
        <v>29226</v>
      </c>
      <c r="F417" s="111"/>
      <c r="G417" s="369">
        <v>350000</v>
      </c>
      <c r="H417" s="374">
        <f t="shared" ref="H417:L417" si="290">H418</f>
        <v>0</v>
      </c>
      <c r="I417" s="374">
        <f t="shared" si="290"/>
        <v>350000</v>
      </c>
      <c r="J417" s="374">
        <v>350000</v>
      </c>
      <c r="K417" s="374">
        <f t="shared" si="290"/>
        <v>0</v>
      </c>
      <c r="L417" s="369">
        <f t="shared" si="290"/>
        <v>350000</v>
      </c>
    </row>
    <row r="418" spans="1:12" ht="47.25" x14ac:dyDescent="0.2">
      <c r="A418" s="113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IF(B418&gt;0,VLOOKUP(B418,КВСР!A177:B1342,2),IF(C418&gt;0,VLOOKUP(C418,КФСР!A177:B1689,2),IF(D418&gt;0,VLOOKUP(D418,Программа!A$1:B$5124,2),IF(F418&gt;0,VLOOKUP(F418,КВР!A$1:B$5001,2),IF(E418&gt;0,VLOOKUP(E418,Направление!A$1:B$4812,2))))))</f>
        <v>Предоставление субсидий бюджетным, автономным учреждениям и иным некоммерческим организациям</v>
      </c>
      <c r="B418" s="120"/>
      <c r="C418" s="121"/>
      <c r="D418" s="110"/>
      <c r="E418" s="109"/>
      <c r="F418" s="111">
        <v>600</v>
      </c>
      <c r="G418" s="369">
        <v>350000</v>
      </c>
      <c r="H418" s="374"/>
      <c r="I418" s="374">
        <f>G418+H418</f>
        <v>350000</v>
      </c>
      <c r="J418" s="374">
        <v>350000</v>
      </c>
      <c r="K418" s="275"/>
      <c r="L418" s="286">
        <f>J418+K418</f>
        <v>350000</v>
      </c>
    </row>
    <row r="419" spans="1:12" ht="63" x14ac:dyDescent="0.2">
      <c r="A419" s="113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IF(B419&gt;0,VLOOKUP(B419,КВСР!A178:B1343,2),IF(C419&gt;0,VLOOKUP(C419,КФСР!A178:B1690,2),IF(D419&gt;0,VLOOKUP(D419,Программа!A$1:B$5124,2),IF(F419&gt;0,VLOOKUP(F419,КВР!A$1:B$5001,2),IF(E419&gt;0,VLOOKUP(E419,Направление!A$1:B$4812,2))))))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20"/>
      <c r="C419" s="121"/>
      <c r="D419" s="110" t="s">
        <v>1764</v>
      </c>
      <c r="E419" s="109"/>
      <c r="F419" s="111"/>
      <c r="G419" s="369">
        <v>650000</v>
      </c>
      <c r="H419" s="369">
        <f t="shared" ref="H419:L421" si="291">H420</f>
        <v>0</v>
      </c>
      <c r="I419" s="369">
        <f t="shared" si="291"/>
        <v>650000</v>
      </c>
      <c r="J419" s="369">
        <v>650000</v>
      </c>
      <c r="K419" s="369">
        <f t="shared" si="291"/>
        <v>0</v>
      </c>
      <c r="L419" s="369">
        <f t="shared" si="291"/>
        <v>650000</v>
      </c>
    </row>
    <row r="420" spans="1:12" ht="63" x14ac:dyDescent="0.2">
      <c r="A420" s="113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IF(B420&gt;0,VLOOKUP(B420,КВСР!A179:B1344,2),IF(C420&gt;0,VLOOKUP(C420,КФСР!A179:B1691,2),IF(D420&gt;0,VLOOKUP(D420,Программа!A$1:B$5124,2),IF(F420&gt;0,VLOOKUP(F420,КВР!A$1:B$5001,2),IF(E420&gt;0,VLOOKUP(E420,Направление!A$1:B$4812,2))))))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20"/>
      <c r="C420" s="121"/>
      <c r="D420" s="110" t="s">
        <v>1763</v>
      </c>
      <c r="E420" s="109"/>
      <c r="F420" s="111"/>
      <c r="G420" s="369">
        <v>650000</v>
      </c>
      <c r="H420" s="369">
        <f t="shared" si="291"/>
        <v>0</v>
      </c>
      <c r="I420" s="369">
        <f t="shared" si="291"/>
        <v>650000</v>
      </c>
      <c r="J420" s="369">
        <v>650000</v>
      </c>
      <c r="K420" s="369">
        <f t="shared" si="291"/>
        <v>0</v>
      </c>
      <c r="L420" s="369">
        <f t="shared" si="291"/>
        <v>650000</v>
      </c>
    </row>
    <row r="421" spans="1:12" ht="31.5" x14ac:dyDescent="0.2">
      <c r="A421" s="113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IF(B421&gt;0,VLOOKUP(B421,КВСР!A180:B1345,2),IF(C421&gt;0,VLOOKUP(C421,КФСР!A180:B1692,2),IF(D421&gt;0,VLOOKUP(D421,Программа!A$1:B$5124,2),IF(F421&gt;0,VLOOKUP(F421,КВР!A$1:B$5001,2),IF(E421&gt;0,VLOOKUP(E421,Направление!A$1:B$4812,2))))))</f>
        <v>Мероприятия в области спорта и физической культуры</v>
      </c>
      <c r="B421" s="120"/>
      <c r="C421" s="121"/>
      <c r="D421" s="110"/>
      <c r="E421" s="109">
        <v>14010</v>
      </c>
      <c r="F421" s="111"/>
      <c r="G421" s="369">
        <v>650000</v>
      </c>
      <c r="H421" s="369">
        <f t="shared" si="291"/>
        <v>0</v>
      </c>
      <c r="I421" s="369">
        <f t="shared" si="291"/>
        <v>650000</v>
      </c>
      <c r="J421" s="369">
        <v>650000</v>
      </c>
      <c r="K421" s="369">
        <f t="shared" si="291"/>
        <v>0</v>
      </c>
      <c r="L421" s="369">
        <f t="shared" si="291"/>
        <v>650000</v>
      </c>
    </row>
    <row r="422" spans="1:12" ht="47.25" x14ac:dyDescent="0.2">
      <c r="A422" s="113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IF(B422&gt;0,VLOOKUP(B422,КВСР!A181:B1346,2),IF(C422&gt;0,VLOOKUP(C422,КФСР!A181:B1693,2),IF(D422&gt;0,VLOOKUP(D422,Программа!A$1:B$5124,2),IF(F422&gt;0,VLOOKUP(F422,КВР!A$1:B$5001,2),IF(E422&gt;0,VLOOKUP(E422,Направление!A$1:B$4812,2))))))</f>
        <v>Предоставление субсидий бюджетным, автономным учреждениям и иным некоммерческим организациям</v>
      </c>
      <c r="B422" s="120"/>
      <c r="C422" s="121"/>
      <c r="D422" s="110"/>
      <c r="E422" s="109"/>
      <c r="F422" s="111">
        <v>600</v>
      </c>
      <c r="G422" s="369">
        <v>650000</v>
      </c>
      <c r="H422" s="374"/>
      <c r="I422" s="374">
        <f t="shared" ref="I422" si="292">G422+H422</f>
        <v>650000</v>
      </c>
      <c r="J422" s="374">
        <v>650000</v>
      </c>
      <c r="K422" s="275"/>
      <c r="L422" s="286">
        <f t="shared" ref="L422" si="293">J422+K422</f>
        <v>650000</v>
      </c>
    </row>
    <row r="423" spans="1:12" ht="31.5" x14ac:dyDescent="0.2">
      <c r="A423" s="107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IF(B423&gt;0,VLOOKUP(B423,КВСР!A182:B1347,2),IF(C423&gt;0,VLOOKUP(C423,КФСР!A182:B1694,2),IF(D423&gt;0,VLOOKUP(D423,Программа!A$1:B$5124,2),IF(F423&gt;0,VLOOKUP(F423,КВР!A$1:B$5001,2),IF(E423&gt;0,VLOOKUP(E423,Направление!A$1:B$4812,2))))))</f>
        <v>Департамент труда и соц. развития Администрации ТМР</v>
      </c>
      <c r="B423" s="108">
        <v>954</v>
      </c>
      <c r="C423" s="109"/>
      <c r="D423" s="110"/>
      <c r="E423" s="109"/>
      <c r="F423" s="111"/>
      <c r="G423" s="372">
        <v>610851381</v>
      </c>
      <c r="H423" s="372">
        <f>H424+H434+H440+H494+H523</f>
        <v>0</v>
      </c>
      <c r="I423" s="372">
        <f>I424+I434+I440+I494+I523</f>
        <v>610851381</v>
      </c>
      <c r="J423" s="379">
        <v>634257739</v>
      </c>
      <c r="K423" s="371">
        <f>K424+K434+K440+K494+K523</f>
        <v>0</v>
      </c>
      <c r="L423" s="371">
        <f>L424+L434+L440+L494+L523</f>
        <v>634257739</v>
      </c>
    </row>
    <row r="424" spans="1:12" ht="15.75" x14ac:dyDescent="0.2">
      <c r="A424" s="113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IF(B424&gt;0,VLOOKUP(B424,КВСР!A187:B1352,2),IF(C424&gt;0,VLOOKUP(C424,КФСР!A187:B1699,2),IF(D424&gt;0,VLOOKUP(D424,Программа!A$1:B$5124,2),IF(F424&gt;0,VLOOKUP(F424,КВР!A$1:B$5001,2),IF(E424&gt;0,VLOOKUP(E424,Направление!A$1:B$4812,2))))))</f>
        <v>Пенсионное обеспечение</v>
      </c>
      <c r="B424" s="114"/>
      <c r="C424" s="109">
        <v>1001</v>
      </c>
      <c r="D424" s="110"/>
      <c r="E424" s="109"/>
      <c r="F424" s="111"/>
      <c r="G424" s="369">
        <v>6451000</v>
      </c>
      <c r="H424" s="369">
        <f t="shared" ref="H424:L424" si="294">H425</f>
        <v>0</v>
      </c>
      <c r="I424" s="369">
        <f t="shared" si="294"/>
        <v>6451000</v>
      </c>
      <c r="J424" s="369">
        <v>6451000</v>
      </c>
      <c r="K424" s="369">
        <f t="shared" si="294"/>
        <v>0</v>
      </c>
      <c r="L424" s="369">
        <f t="shared" si="294"/>
        <v>6451000</v>
      </c>
    </row>
    <row r="425" spans="1:12" ht="47.25" x14ac:dyDescent="0.2">
      <c r="A425" s="113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IF(B425&gt;0,VLOOKUP(B425,КВСР!A188:B1353,2),IF(C425&gt;0,VLOOKUP(C425,КФСР!A188:B1700,2),IF(D425&gt;0,VLOOKUP(D425,Программа!A$1:B$5124,2),IF(F425&gt;0,VLOOKUP(F425,КВР!A$1:B$5001,2),IF(E425&gt;0,VLOOKUP(E425,Направление!A$1:B$4812,2))))))</f>
        <v>Муниципальная программа "Социальная поддержка населения Тутаевского муниципального района"</v>
      </c>
      <c r="B425" s="114"/>
      <c r="C425" s="109"/>
      <c r="D425" s="123" t="s">
        <v>376</v>
      </c>
      <c r="E425" s="121"/>
      <c r="F425" s="111"/>
      <c r="G425" s="369">
        <v>6451000</v>
      </c>
      <c r="H425" s="369">
        <f t="shared" ref="H425:L425" si="295">H427</f>
        <v>0</v>
      </c>
      <c r="I425" s="369">
        <f t="shared" ref="I425" si="296">I427</f>
        <v>6451000</v>
      </c>
      <c r="J425" s="369">
        <v>6451000</v>
      </c>
      <c r="K425" s="369">
        <f t="shared" si="295"/>
        <v>0</v>
      </c>
      <c r="L425" s="369">
        <f t="shared" si="295"/>
        <v>6451000</v>
      </c>
    </row>
    <row r="426" spans="1:12" ht="47.25" x14ac:dyDescent="0.2">
      <c r="A426" s="113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426" s="114"/>
      <c r="C426" s="109"/>
      <c r="D426" s="123" t="s">
        <v>446</v>
      </c>
      <c r="E426" s="121"/>
      <c r="F426" s="111"/>
      <c r="G426" s="369">
        <v>6451000</v>
      </c>
      <c r="H426" s="369">
        <f t="shared" ref="H426:L426" si="297">H427</f>
        <v>0</v>
      </c>
      <c r="I426" s="369">
        <f t="shared" si="297"/>
        <v>6451000</v>
      </c>
      <c r="J426" s="369">
        <v>6451000</v>
      </c>
      <c r="K426" s="369">
        <f t="shared" si="297"/>
        <v>0</v>
      </c>
      <c r="L426" s="369">
        <f t="shared" si="297"/>
        <v>6451000</v>
      </c>
    </row>
    <row r="427" spans="1:12" ht="47.25" x14ac:dyDescent="0.2">
      <c r="A427" s="113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IF(B427&gt;0,VLOOKUP(B427,КВСР!A190:B1355,2),IF(C427&gt;0,VLOOKUP(C427,КФСР!A190:B1702,2),IF(D427&gt;0,VLOOKUP(D427,Программа!A$1:B$5124,2),IF(F427&gt;0,VLOOKUP(F427,КВР!A$1:B$5001,2),IF(E427&gt;0,VLOOKUP(E427,Направление!A$1:B$4812,2))))))</f>
        <v>Исполнение публичных обязательств по предоставлению выплат, пособий и компенсаций</v>
      </c>
      <c r="B427" s="114"/>
      <c r="C427" s="109"/>
      <c r="D427" s="110" t="s">
        <v>448</v>
      </c>
      <c r="E427" s="109"/>
      <c r="F427" s="111"/>
      <c r="G427" s="369">
        <v>6451000</v>
      </c>
      <c r="H427" s="369">
        <f t="shared" ref="H427:I427" si="298">H428+H431</f>
        <v>0</v>
      </c>
      <c r="I427" s="369">
        <f t="shared" si="298"/>
        <v>6451000</v>
      </c>
      <c r="J427" s="369">
        <v>6451000</v>
      </c>
      <c r="K427" s="369">
        <f t="shared" ref="K427:L427" si="299">K428+K431</f>
        <v>0</v>
      </c>
      <c r="L427" s="369">
        <f t="shared" si="299"/>
        <v>6451000</v>
      </c>
    </row>
    <row r="428" spans="1:12" ht="31.5" x14ac:dyDescent="0.2">
      <c r="A428" s="113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IF(B428&gt;0,VLOOKUP(B428,КВСР!A191:B1356,2),IF(C428&gt;0,VLOOKUP(C428,КФСР!A191:B1703,2),IF(D428&gt;0,VLOOKUP(D428,Программа!A$1:B$5124,2),IF(F428&gt;0,VLOOKUP(F428,КВР!A$1:B$5001,2),IF(E428&gt;0,VLOOKUP(E428,Направление!A$1:B$4812,2))))))</f>
        <v>Доплаты к пенсиям муниципальных служащих</v>
      </c>
      <c r="B428" s="114"/>
      <c r="C428" s="109"/>
      <c r="D428" s="110"/>
      <c r="E428" s="109">
        <v>16010</v>
      </c>
      <c r="F428" s="111"/>
      <c r="G428" s="369">
        <v>5800000</v>
      </c>
      <c r="H428" s="369">
        <f t="shared" ref="H428:I428" si="300">H430+H429</f>
        <v>0</v>
      </c>
      <c r="I428" s="369">
        <f t="shared" si="300"/>
        <v>5800000</v>
      </c>
      <c r="J428" s="369">
        <v>5800000</v>
      </c>
      <c r="K428" s="286">
        <f t="shared" ref="K428" si="301">K430+K429</f>
        <v>0</v>
      </c>
      <c r="L428" s="286">
        <f t="shared" si="284"/>
        <v>5800000</v>
      </c>
    </row>
    <row r="429" spans="1:12" ht="63" x14ac:dyDescent="0.2">
      <c r="A429" s="113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IF(B429&gt;0,VLOOKUP(B429,КВСР!A192:B1357,2),IF(C429&gt;0,VLOOKUP(C429,КФСР!A192:B1704,2),IF(D429&gt;0,VLOOKUP(D429,Программа!A$1:B$5124,2),IF(F429&gt;0,VLOOKUP(F429,КВР!A$1:B$5001,2),IF(E429&gt;0,VLOOKUP(E429,Направление!A$1:B$4812,2))))))</f>
        <v xml:space="preserve">Закупка товаров, работ и услуг для обеспечения государственных (муниципальных) нужд
</v>
      </c>
      <c r="B429" s="114"/>
      <c r="C429" s="109"/>
      <c r="D429" s="110"/>
      <c r="E429" s="109"/>
      <c r="F429" s="111">
        <v>200</v>
      </c>
      <c r="G429" s="369">
        <v>74560</v>
      </c>
      <c r="H429" s="369"/>
      <c r="I429" s="369">
        <f t="shared" si="283"/>
        <v>74560</v>
      </c>
      <c r="J429" s="369">
        <v>74560</v>
      </c>
      <c r="K429" s="286"/>
      <c r="L429" s="286">
        <f t="shared" si="284"/>
        <v>74560</v>
      </c>
    </row>
    <row r="430" spans="1:12" ht="31.5" x14ac:dyDescent="0.2">
      <c r="A430" s="113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IF(B430&gt;0,VLOOKUP(B430,КВСР!A190:B1355,2),IF(C430&gt;0,VLOOKUP(C430,КФСР!A190:B1702,2),IF(D430&gt;0,VLOOKUP(D430,Программа!A$1:B$5124,2),IF(F430&gt;0,VLOOKUP(F430,КВР!A$1:B$5001,2),IF(E430&gt;0,VLOOKUP(E430,Направление!A$1:B$4812,2))))))</f>
        <v>Социальное обеспечение и иные выплаты населению</v>
      </c>
      <c r="B430" s="114"/>
      <c r="C430" s="109"/>
      <c r="D430" s="110"/>
      <c r="E430" s="109"/>
      <c r="F430" s="111">
        <v>300</v>
      </c>
      <c r="G430" s="369">
        <v>5725440</v>
      </c>
      <c r="H430" s="369"/>
      <c r="I430" s="369">
        <f t="shared" si="283"/>
        <v>5725440</v>
      </c>
      <c r="J430" s="369">
        <v>5725440</v>
      </c>
      <c r="K430" s="286"/>
      <c r="L430" s="286">
        <f t="shared" si="284"/>
        <v>5725440</v>
      </c>
    </row>
    <row r="431" spans="1:12" ht="31.5" x14ac:dyDescent="0.2">
      <c r="A431" s="113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IF(B431&gt;0,VLOOKUP(B431,КВСР!A191:B1356,2),IF(C431&gt;0,VLOOKUP(C431,КФСР!A191:B1703,2),IF(D431&gt;0,VLOOKUP(D431,Программа!A$1:B$5124,2),IF(F431&gt;0,VLOOKUP(F431,КВР!A$1:B$5001,2),IF(E431&gt;0,VLOOKUP(E431,Направление!A$1:B$4812,2))))))</f>
        <v>Доплаты к пенсиям муниципальным служащим поселений</v>
      </c>
      <c r="B431" s="114"/>
      <c r="C431" s="109"/>
      <c r="D431" s="110"/>
      <c r="E431" s="109">
        <v>29756</v>
      </c>
      <c r="F431" s="111"/>
      <c r="G431" s="369">
        <v>651000</v>
      </c>
      <c r="H431" s="369">
        <f t="shared" ref="H431:L431" si="302">H432+H433</f>
        <v>0</v>
      </c>
      <c r="I431" s="369">
        <f t="shared" si="302"/>
        <v>651000</v>
      </c>
      <c r="J431" s="369">
        <v>651000</v>
      </c>
      <c r="K431" s="369">
        <f t="shared" si="302"/>
        <v>0</v>
      </c>
      <c r="L431" s="369">
        <f t="shared" si="302"/>
        <v>651000</v>
      </c>
    </row>
    <row r="432" spans="1:12" ht="63" x14ac:dyDescent="0.2">
      <c r="A432" s="113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IF(B432&gt;0,VLOOKUP(B432,КВСР!A192:B1357,2),IF(C432&gt;0,VLOOKUP(C432,КФСР!A192:B1704,2),IF(D432&gt;0,VLOOKUP(D432,Программа!A$1:B$5124,2),IF(F432&gt;0,VLOOKUP(F432,КВР!A$1:B$5001,2),IF(E432&gt;0,VLOOKUP(E432,Направление!A$1:B$4812,2))))))</f>
        <v xml:space="preserve">Закупка товаров, работ и услуг для обеспечения государственных (муниципальных) нужд
</v>
      </c>
      <c r="B432" s="114"/>
      <c r="C432" s="109"/>
      <c r="D432" s="110"/>
      <c r="E432" s="109"/>
      <c r="F432" s="111">
        <v>200</v>
      </c>
      <c r="G432" s="369">
        <v>9000</v>
      </c>
      <c r="H432" s="369"/>
      <c r="I432" s="369">
        <f>G432+H432</f>
        <v>9000</v>
      </c>
      <c r="J432" s="369">
        <v>9000</v>
      </c>
      <c r="K432" s="286"/>
      <c r="L432" s="286">
        <f>J432+K432</f>
        <v>9000</v>
      </c>
    </row>
    <row r="433" spans="1:12" ht="31.5" x14ac:dyDescent="0.2">
      <c r="A433" s="113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IF(B433&gt;0,VLOOKUP(B433,КВСР!A193:B1358,2),IF(C433&gt;0,VLOOKUP(C433,КФСР!A193:B1705,2),IF(D433&gt;0,VLOOKUP(D433,Программа!A$1:B$5124,2),IF(F433&gt;0,VLOOKUP(F433,КВР!A$1:B$5001,2),IF(E433&gt;0,VLOOKUP(E433,Направление!A$1:B$4812,2))))))</f>
        <v>Социальное обеспечение и иные выплаты населению</v>
      </c>
      <c r="B433" s="114"/>
      <c r="C433" s="109"/>
      <c r="D433" s="110"/>
      <c r="E433" s="109"/>
      <c r="F433" s="111">
        <v>300</v>
      </c>
      <c r="G433" s="369">
        <v>642000</v>
      </c>
      <c r="H433" s="369"/>
      <c r="I433" s="369">
        <f>G433+H433</f>
        <v>642000</v>
      </c>
      <c r="J433" s="369">
        <v>642000</v>
      </c>
      <c r="K433" s="286"/>
      <c r="L433" s="286">
        <f>J433+K433</f>
        <v>642000</v>
      </c>
    </row>
    <row r="434" spans="1:12" ht="15.75" x14ac:dyDescent="0.2">
      <c r="A434" s="113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IF(B434&gt;0,VLOOKUP(B434,КВСР!A191:B1356,2),IF(C434&gt;0,VLOOKUP(C434,КФСР!A191:B1703,2),IF(D434&gt;0,VLOOKUP(D434,Программа!A$1:B$5124,2),IF(F434&gt;0,VLOOKUP(F434,КВР!A$1:B$5001,2),IF(E434&gt;0,VLOOKUP(E434,Направление!A$1:B$4812,2))))))</f>
        <v>Социальное обслуживание населения</v>
      </c>
      <c r="B434" s="114"/>
      <c r="C434" s="109">
        <v>1002</v>
      </c>
      <c r="D434" s="110"/>
      <c r="E434" s="109"/>
      <c r="F434" s="111"/>
      <c r="G434" s="369">
        <v>84274175</v>
      </c>
      <c r="H434" s="369">
        <f t="shared" ref="H434:I434" si="303">H435</f>
        <v>0</v>
      </c>
      <c r="I434" s="369">
        <f t="shared" si="303"/>
        <v>84274175</v>
      </c>
      <c r="J434" s="369">
        <v>84274175</v>
      </c>
      <c r="K434" s="286">
        <f t="shared" ref="K434:L434" si="304">K435</f>
        <v>0</v>
      </c>
      <c r="L434" s="286">
        <f t="shared" si="304"/>
        <v>84274175</v>
      </c>
    </row>
    <row r="435" spans="1:12" ht="47.25" x14ac:dyDescent="0.2">
      <c r="A435" s="113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IF(B435&gt;0,VLOOKUP(B435,КВСР!A192:B1357,2),IF(C435&gt;0,VLOOKUP(C435,КФСР!A192:B1704,2),IF(D435&gt;0,VLOOKUP(D435,Программа!A$1:B$5124,2),IF(F435&gt;0,VLOOKUP(F435,КВР!A$1:B$5001,2),IF(E435&gt;0,VLOOKUP(E435,Направление!A$1:B$4812,2))))))</f>
        <v>Муниципальная программа "Социальная поддержка населения Тутаевского муниципального района"</v>
      </c>
      <c r="B435" s="114"/>
      <c r="C435" s="109"/>
      <c r="D435" s="110" t="s">
        <v>376</v>
      </c>
      <c r="E435" s="109"/>
      <c r="F435" s="111"/>
      <c r="G435" s="369">
        <v>84274175</v>
      </c>
      <c r="H435" s="369">
        <f t="shared" ref="H435:I435" si="305">H437</f>
        <v>0</v>
      </c>
      <c r="I435" s="369">
        <f t="shared" si="305"/>
        <v>84274175</v>
      </c>
      <c r="J435" s="369">
        <v>84274175</v>
      </c>
      <c r="K435" s="286">
        <f t="shared" ref="K435:L435" si="306">K437</f>
        <v>0</v>
      </c>
      <c r="L435" s="286">
        <f t="shared" si="306"/>
        <v>84274175</v>
      </c>
    </row>
    <row r="436" spans="1:12" ht="47.25" x14ac:dyDescent="0.2">
      <c r="A436" s="113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436" s="114"/>
      <c r="C436" s="109"/>
      <c r="D436" s="110" t="s">
        <v>446</v>
      </c>
      <c r="E436" s="109"/>
      <c r="F436" s="111"/>
      <c r="G436" s="369">
        <v>84274175</v>
      </c>
      <c r="H436" s="369">
        <f t="shared" ref="H436:I438" si="307">H437</f>
        <v>0</v>
      </c>
      <c r="I436" s="369">
        <f t="shared" si="307"/>
        <v>84274175</v>
      </c>
      <c r="J436" s="369">
        <v>84274175</v>
      </c>
      <c r="K436" s="286">
        <f t="shared" ref="K436:L438" si="308">K437</f>
        <v>0</v>
      </c>
      <c r="L436" s="286">
        <f t="shared" si="308"/>
        <v>84274175</v>
      </c>
    </row>
    <row r="437" spans="1:12" ht="63" x14ac:dyDescent="0.2">
      <c r="A437" s="113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IF(B437&gt;0,VLOOKUP(B437,КВСР!A194:B1359,2),IF(C437&gt;0,VLOOKUP(C437,КФСР!A194:B1706,2),IF(D437&gt;0,VLOOKUP(D437,Программа!A$1:B$5124,2),IF(F437&gt;0,VLOOKUP(F437,КВР!A$1:B$5001,2),IF(E437&gt;0,VLOOKUP(E437,Направление!A$1:B$4812,2))))))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14"/>
      <c r="C437" s="109"/>
      <c r="D437" s="110" t="s">
        <v>451</v>
      </c>
      <c r="E437" s="109"/>
      <c r="F437" s="111"/>
      <c r="G437" s="369">
        <v>84274175</v>
      </c>
      <c r="H437" s="369">
        <f t="shared" si="307"/>
        <v>0</v>
      </c>
      <c r="I437" s="369">
        <f t="shared" si="307"/>
        <v>84274175</v>
      </c>
      <c r="J437" s="369">
        <v>84274175</v>
      </c>
      <c r="K437" s="286">
        <f t="shared" si="308"/>
        <v>0</v>
      </c>
      <c r="L437" s="286">
        <f t="shared" si="308"/>
        <v>84274175</v>
      </c>
    </row>
    <row r="438" spans="1:12" ht="126" x14ac:dyDescent="0.2">
      <c r="A438" s="113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IF(B438&gt;0,VLOOKUP(B438,КВСР!A194:B1359,2),IF(C438&gt;0,VLOOKUP(C438,КФСР!A194:B1706,2),IF(D438&gt;0,VLOOKUP(D438,Программа!A$1:B$5124,2),IF(F438&gt;0,VLOOKUP(F438,КВР!A$1:B$5001,2),IF(E438&gt;0,VLOOKUP(E438,Направление!A$1:B$4812,2))))))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14"/>
      <c r="C438" s="109"/>
      <c r="D438" s="110"/>
      <c r="E438" s="109">
        <v>70850</v>
      </c>
      <c r="F438" s="111"/>
      <c r="G438" s="369">
        <v>84274175</v>
      </c>
      <c r="H438" s="369">
        <f t="shared" si="307"/>
        <v>0</v>
      </c>
      <c r="I438" s="369">
        <f t="shared" si="307"/>
        <v>84274175</v>
      </c>
      <c r="J438" s="369">
        <v>84274175</v>
      </c>
      <c r="K438" s="286">
        <f t="shared" si="308"/>
        <v>0</v>
      </c>
      <c r="L438" s="286">
        <f t="shared" si="308"/>
        <v>84274175</v>
      </c>
    </row>
    <row r="439" spans="1:12" ht="47.25" x14ac:dyDescent="0.2">
      <c r="A439" s="113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IF(B439&gt;0,VLOOKUP(B439,КВСР!A195:B1360,2),IF(C439&gt;0,VLOOKUP(C439,КФСР!A195:B1707,2),IF(D439&gt;0,VLOOKUP(D439,Программа!A$1:B$5124,2),IF(F439&gt;0,VLOOKUP(F439,КВР!A$1:B$5001,2),IF(E439&gt;0,VLOOKUP(E439,Направление!A$1:B$4812,2))))))</f>
        <v>Предоставление субсидий бюджетным, автономным учреждениям и иным некоммерческим организациям</v>
      </c>
      <c r="B439" s="114"/>
      <c r="C439" s="109"/>
      <c r="D439" s="110"/>
      <c r="E439" s="109"/>
      <c r="F439" s="111">
        <v>600</v>
      </c>
      <c r="G439" s="369">
        <v>84274175</v>
      </c>
      <c r="H439" s="369"/>
      <c r="I439" s="369">
        <f t="shared" si="283"/>
        <v>84274175</v>
      </c>
      <c r="J439" s="369">
        <v>84274175</v>
      </c>
      <c r="K439" s="286"/>
      <c r="L439" s="286">
        <f t="shared" si="284"/>
        <v>84274175</v>
      </c>
    </row>
    <row r="440" spans="1:12" ht="15.75" x14ac:dyDescent="0.2">
      <c r="A440" s="113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IF(B440&gt;0,VLOOKUP(B440,КВСР!A196:B1361,2),IF(C440&gt;0,VLOOKUP(C440,КФСР!A196:B1708,2),IF(D440&gt;0,VLOOKUP(D440,Программа!A$1:B$5124,2),IF(F440&gt;0,VLOOKUP(F440,КВР!A$1:B$5001,2),IF(E440&gt;0,VLOOKUP(E440,Направление!A$1:B$4812,2))))))</f>
        <v>Социальное обеспечение населения</v>
      </c>
      <c r="B440" s="114"/>
      <c r="C440" s="109">
        <v>1003</v>
      </c>
      <c r="D440" s="110"/>
      <c r="E440" s="109"/>
      <c r="F440" s="111"/>
      <c r="G440" s="369">
        <v>228043845</v>
      </c>
      <c r="H440" s="369">
        <f t="shared" ref="H440:L440" si="309">H441</f>
        <v>0</v>
      </c>
      <c r="I440" s="369">
        <f t="shared" si="309"/>
        <v>228043845</v>
      </c>
      <c r="J440" s="369">
        <v>228393932</v>
      </c>
      <c r="K440" s="369">
        <f t="shared" si="309"/>
        <v>0</v>
      </c>
      <c r="L440" s="369">
        <f t="shared" si="309"/>
        <v>228393932</v>
      </c>
    </row>
    <row r="441" spans="1:12" ht="47.25" x14ac:dyDescent="0.2">
      <c r="A441" s="113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IF(B441&gt;0,VLOOKUP(B441,КВСР!A197:B1362,2),IF(C441&gt;0,VLOOKUP(C441,КФСР!A197:B1709,2),IF(D441&gt;0,VLOOKUP(D441,Программа!A$1:B$5124,2),IF(F441&gt;0,VLOOKUP(F441,КВР!A$1:B$5001,2),IF(E441&gt;0,VLOOKUP(E441,Направление!A$1:B$4812,2))))))</f>
        <v>Муниципальная программа "Социальная поддержка населения Тутаевского муниципального района"</v>
      </c>
      <c r="B441" s="114"/>
      <c r="C441" s="109"/>
      <c r="D441" s="110" t="s">
        <v>376</v>
      </c>
      <c r="E441" s="109"/>
      <c r="F441" s="111"/>
      <c r="G441" s="369">
        <v>228043845</v>
      </c>
      <c r="H441" s="369">
        <f t="shared" ref="H441:L441" si="310">H442</f>
        <v>0</v>
      </c>
      <c r="I441" s="369">
        <f t="shared" si="310"/>
        <v>228043845</v>
      </c>
      <c r="J441" s="369">
        <v>228393932</v>
      </c>
      <c r="K441" s="369">
        <f t="shared" si="310"/>
        <v>0</v>
      </c>
      <c r="L441" s="369">
        <f t="shared" si="310"/>
        <v>228393932</v>
      </c>
    </row>
    <row r="442" spans="1:12" ht="47.25" x14ac:dyDescent="0.2">
      <c r="A442" s="113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442" s="114"/>
      <c r="C442" s="109"/>
      <c r="D442" s="110" t="s">
        <v>446</v>
      </c>
      <c r="E442" s="109"/>
      <c r="F442" s="111"/>
      <c r="G442" s="369">
        <v>228043845</v>
      </c>
      <c r="H442" s="369">
        <f>H443+H483</f>
        <v>0</v>
      </c>
      <c r="I442" s="369">
        <f>I443+I483</f>
        <v>228043845</v>
      </c>
      <c r="J442" s="369">
        <v>228393932</v>
      </c>
      <c r="K442" s="369">
        <f t="shared" ref="K442" si="311">K443+K483</f>
        <v>0</v>
      </c>
      <c r="L442" s="369">
        <f t="shared" ref="L442" si="312">L443+L483</f>
        <v>228393932</v>
      </c>
    </row>
    <row r="443" spans="1:12" ht="47.25" x14ac:dyDescent="0.2">
      <c r="A443" s="113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IF(B443&gt;0,VLOOKUP(B443,КВСР!A199:B1364,2),IF(C443&gt;0,VLOOKUP(C443,КФСР!A199:B1711,2),IF(D443&gt;0,VLOOKUP(D443,Программа!A$1:B$5124,2),IF(F443&gt;0,VLOOKUP(F443,КВР!A$1:B$5001,2),IF(E443&gt;0,VLOOKUP(E443,Направление!A$1:B$4812,2))))))</f>
        <v>Исполнение публичных обязательств по предоставлению выплат, пособий и компенсаций</v>
      </c>
      <c r="B443" s="114"/>
      <c r="C443" s="109"/>
      <c r="D443" s="110" t="s">
        <v>448</v>
      </c>
      <c r="E443" s="109"/>
      <c r="F443" s="111"/>
      <c r="G443" s="369">
        <v>207915939</v>
      </c>
      <c r="H443" s="369">
        <f>H444+H447+H452+H455+H457+H460+H463+H466+H469+H476+H479+H481+H472+H474+H450</f>
        <v>0</v>
      </c>
      <c r="I443" s="369">
        <f>I444+I447+I452+I455+I457+I460+I463+I466+I469+I476+I479+I481+I472+I474+I450</f>
        <v>207915939</v>
      </c>
      <c r="J443" s="369">
        <v>208266026</v>
      </c>
      <c r="K443" s="369">
        <f t="shared" ref="K443" si="313">K444+K447+K452+K455+K457+K460+K463+K466+K469+K476+K479+K481+K472+K474+K450</f>
        <v>0</v>
      </c>
      <c r="L443" s="369">
        <f t="shared" ref="L443" si="314">L444+L447+L452+L455+L457+L460+L463+L466+L469+L476+L479+L481+L472+L474+L450</f>
        <v>208266026</v>
      </c>
    </row>
    <row r="444" spans="1:12" ht="47.25" hidden="1" x14ac:dyDescent="0.2">
      <c r="A444" s="113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IF(B444&gt;0,VLOOKUP(B444,КВСР!A200:B1365,2),IF(C444&gt;0,VLOOKUP(C444,КФСР!A200:B1712,2),IF(D444&gt;0,VLOOKUP(D444,Программа!A$1:B$5124,2),IF(F444&gt;0,VLOOKUP(F444,КВР!A$1:B$5001,2),IF(E444&gt;0,VLOOKUP(E444,Направление!A$1:B$4812,2))))))</f>
        <v>Субвенция на социальную поддержку граждан, подвергшихся воздействию радиации</v>
      </c>
      <c r="B444" s="114"/>
      <c r="C444" s="109"/>
      <c r="D444" s="110"/>
      <c r="E444" s="109">
        <v>51370</v>
      </c>
      <c r="F444" s="111"/>
      <c r="G444" s="369">
        <v>0</v>
      </c>
      <c r="H444" s="369">
        <f t="shared" ref="H444:I444" si="315">H445+H446</f>
        <v>0</v>
      </c>
      <c r="I444" s="369">
        <f t="shared" si="315"/>
        <v>0</v>
      </c>
      <c r="J444" s="369">
        <v>0</v>
      </c>
      <c r="K444" s="286">
        <f t="shared" ref="K444:L444" si="316">K445+K446</f>
        <v>0</v>
      </c>
      <c r="L444" s="286">
        <f t="shared" si="316"/>
        <v>0</v>
      </c>
    </row>
    <row r="445" spans="1:12" ht="63" hidden="1" x14ac:dyDescent="0.2">
      <c r="A445" s="113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IF(B445&gt;0,VLOOKUP(B445,КВСР!A201:B1366,2),IF(C445&gt;0,VLOOKUP(C445,КФСР!A201:B1713,2),IF(D445&gt;0,VLOOKUP(D445,Программа!A$1:B$5124,2),IF(F445&gt;0,VLOOKUP(F445,КВР!A$1:B$5001,2),IF(E445&gt;0,VLOOKUP(E445,Направление!A$1:B$4812,2))))))</f>
        <v xml:space="preserve">Закупка товаров, работ и услуг для обеспечения государственных (муниципальных) нужд
</v>
      </c>
      <c r="B445" s="114"/>
      <c r="C445" s="109"/>
      <c r="D445" s="110"/>
      <c r="E445" s="109"/>
      <c r="F445" s="111">
        <v>200</v>
      </c>
      <c r="G445" s="369">
        <v>0</v>
      </c>
      <c r="H445" s="369"/>
      <c r="I445" s="369">
        <f t="shared" si="283"/>
        <v>0</v>
      </c>
      <c r="J445" s="369">
        <v>0</v>
      </c>
      <c r="K445" s="286"/>
      <c r="L445" s="286">
        <f t="shared" si="284"/>
        <v>0</v>
      </c>
    </row>
    <row r="446" spans="1:12" ht="31.5" hidden="1" x14ac:dyDescent="0.2">
      <c r="A446" s="113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IF(B446&gt;0,VLOOKUP(B446,КВСР!A202:B1367,2),IF(C446&gt;0,VLOOKUP(C446,КФСР!A202:B1714,2),IF(D446&gt;0,VLOOKUP(D446,Программа!A$1:B$5124,2),IF(F446&gt;0,VLOOKUP(F446,КВР!A$1:B$5001,2),IF(E446&gt;0,VLOOKUP(E446,Направление!A$1:B$4812,2))))))</f>
        <v>Социальное обеспечение и иные выплаты населению</v>
      </c>
      <c r="B446" s="114"/>
      <c r="C446" s="109"/>
      <c r="D446" s="110"/>
      <c r="E446" s="109"/>
      <c r="F446" s="111">
        <v>300</v>
      </c>
      <c r="G446" s="369">
        <v>0</v>
      </c>
      <c r="H446" s="369"/>
      <c r="I446" s="369">
        <f t="shared" si="283"/>
        <v>0</v>
      </c>
      <c r="J446" s="369">
        <v>0</v>
      </c>
      <c r="K446" s="286"/>
      <c r="L446" s="286">
        <f t="shared" si="284"/>
        <v>0</v>
      </c>
    </row>
    <row r="447" spans="1:12" ht="110.25" x14ac:dyDescent="0.2">
      <c r="A447" s="113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IF(B447&gt;0,VLOOKUP(B447,КВСР!A203:B1368,2),IF(C447&gt;0,VLOOKUP(C447,КФСР!A203:B1715,2),IF(D447&gt;0,VLOOKUP(D447,Программа!A$1:B$5124,2),IF(F447&gt;0,VLOOKUP(F447,КВР!A$1:B$5001,2),IF(E447&gt;0,VLOOKUP(E447,Направление!A$1:B$4812,2))))))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14"/>
      <c r="C447" s="109"/>
      <c r="D447" s="110"/>
      <c r="E447" s="109">
        <v>52200</v>
      </c>
      <c r="F447" s="111"/>
      <c r="G447" s="369">
        <v>6552020</v>
      </c>
      <c r="H447" s="369">
        <f t="shared" ref="H447:I447" si="317">SUM(H448:H449)</f>
        <v>0</v>
      </c>
      <c r="I447" s="369">
        <f t="shared" si="317"/>
        <v>6552020</v>
      </c>
      <c r="J447" s="369">
        <v>6814181</v>
      </c>
      <c r="K447" s="286">
        <f t="shared" ref="K447:L447" si="318">SUM(K448:K449)</f>
        <v>0</v>
      </c>
      <c r="L447" s="286">
        <f t="shared" si="318"/>
        <v>6814181</v>
      </c>
    </row>
    <row r="448" spans="1:12" ht="63" x14ac:dyDescent="0.2">
      <c r="A448" s="113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IF(B448&gt;0,VLOOKUP(B448,КВСР!A204:B1369,2),IF(C448&gt;0,VLOOKUP(C448,КФСР!A204:B1716,2),IF(D448&gt;0,VLOOKUP(D448,Программа!A$1:B$5124,2),IF(F448&gt;0,VLOOKUP(F448,КВР!A$1:B$5001,2),IF(E448&gt;0,VLOOKUP(E448,Направление!A$1:B$4812,2))))))</f>
        <v xml:space="preserve">Закупка товаров, работ и услуг для обеспечения государственных (муниципальных) нужд
</v>
      </c>
      <c r="B448" s="114"/>
      <c r="C448" s="109"/>
      <c r="D448" s="110"/>
      <c r="E448" s="109"/>
      <c r="F448" s="111">
        <v>200</v>
      </c>
      <c r="G448" s="369">
        <v>84083</v>
      </c>
      <c r="H448" s="369"/>
      <c r="I448" s="369">
        <f t="shared" si="283"/>
        <v>84083</v>
      </c>
      <c r="J448" s="369">
        <v>87448</v>
      </c>
      <c r="K448" s="286"/>
      <c r="L448" s="286">
        <f t="shared" si="284"/>
        <v>87448</v>
      </c>
    </row>
    <row r="449" spans="1:12" ht="31.5" x14ac:dyDescent="0.2">
      <c r="A449" s="113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IF(B449&gt;0,VLOOKUP(B449,КВСР!A205:B1370,2),IF(C449&gt;0,VLOOKUP(C449,КФСР!A205:B1717,2),IF(D449&gt;0,VLOOKUP(D449,Программа!A$1:B$5124,2),IF(F449&gt;0,VLOOKUP(F449,КВР!A$1:B$5001,2),IF(E449&gt;0,VLOOKUP(E449,Направление!A$1:B$4812,2))))))</f>
        <v>Социальное обеспечение и иные выплаты населению</v>
      </c>
      <c r="B449" s="114"/>
      <c r="C449" s="109"/>
      <c r="D449" s="110"/>
      <c r="E449" s="109"/>
      <c r="F449" s="111">
        <v>300</v>
      </c>
      <c r="G449" s="369">
        <v>6467937</v>
      </c>
      <c r="H449" s="369"/>
      <c r="I449" s="369">
        <f t="shared" si="283"/>
        <v>6467937</v>
      </c>
      <c r="J449" s="369">
        <v>6726733</v>
      </c>
      <c r="K449" s="286"/>
      <c r="L449" s="286">
        <f t="shared" si="284"/>
        <v>6726733</v>
      </c>
    </row>
    <row r="450" spans="1:12" ht="78.75" hidden="1" x14ac:dyDescent="0.2">
      <c r="A450" s="113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IF(B450&gt;0,VLOOKUP(B450,КВСР!A206:B1371,2),IF(C450&gt;0,VLOOKUP(C450,КФСР!A206:B1718,2),IF(D450&gt;0,VLOOKUP(D450,Программа!A$1:B$5124,2),IF(F450&gt;0,VLOOKUP(F450,КВР!A$1:B$5001,2),IF(E450&gt;0,VLOOKUP(E450,Направление!A$1:B$4812,2))))))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14"/>
      <c r="C450" s="109"/>
      <c r="D450" s="110"/>
      <c r="E450" s="109">
        <v>52400</v>
      </c>
      <c r="F450" s="111"/>
      <c r="G450" s="369">
        <v>0</v>
      </c>
      <c r="H450" s="369">
        <f t="shared" ref="H450:L450" si="319">H451</f>
        <v>0</v>
      </c>
      <c r="I450" s="369">
        <f t="shared" si="319"/>
        <v>0</v>
      </c>
      <c r="J450" s="369">
        <v>0</v>
      </c>
      <c r="K450" s="369">
        <f t="shared" si="319"/>
        <v>0</v>
      </c>
      <c r="L450" s="369">
        <f t="shared" si="319"/>
        <v>0</v>
      </c>
    </row>
    <row r="451" spans="1:12" ht="31.5" hidden="1" x14ac:dyDescent="0.2">
      <c r="A451" s="113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IF(B451&gt;0,VLOOKUP(B451,КВСР!A207:B1372,2),IF(C451&gt;0,VLOOKUP(C451,КФСР!A207:B1719,2),IF(D451&gt;0,VLOOKUP(D451,Программа!A$1:B$5124,2),IF(F451&gt;0,VLOOKUP(F451,КВР!A$1:B$5001,2),IF(E451&gt;0,VLOOKUP(E451,Направление!A$1:B$4812,2))))))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69">
        <v>0</v>
      </c>
      <c r="H451" s="369"/>
      <c r="I451" s="369">
        <f>G451+H451</f>
        <v>0</v>
      </c>
      <c r="J451" s="369">
        <v>0</v>
      </c>
      <c r="K451" s="286"/>
      <c r="L451" s="286">
        <f>J451+K451</f>
        <v>0</v>
      </c>
    </row>
    <row r="452" spans="1:12" ht="47.25" x14ac:dyDescent="0.2">
      <c r="A452" s="113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IF(B452&gt;0,VLOOKUP(B452,КВСР!A206:B1371,2),IF(C452&gt;0,VLOOKUP(C452,КФСР!A206:B1718,2),IF(D452&gt;0,VLOOKUP(D452,Программа!A$1:B$5124,2),IF(F452&gt;0,VLOOKUP(F452,КВР!A$1:B$5001,2),IF(E452&gt;0,VLOOKUP(E452,Направление!A$1:B$4812,2))))))</f>
        <v>Оплата жилищно-коммунальных услуг отдельным категориям граждан за счет средств федерального бюджета</v>
      </c>
      <c r="B452" s="114"/>
      <c r="C452" s="109"/>
      <c r="D452" s="110"/>
      <c r="E452" s="109">
        <v>52500</v>
      </c>
      <c r="F452" s="111"/>
      <c r="G452" s="369">
        <v>40985534</v>
      </c>
      <c r="H452" s="369">
        <f t="shared" ref="H452:I452" si="320">SUM(H453:H454)</f>
        <v>0</v>
      </c>
      <c r="I452" s="369">
        <f t="shared" si="320"/>
        <v>40985534</v>
      </c>
      <c r="J452" s="369">
        <v>40985534</v>
      </c>
      <c r="K452" s="286">
        <f t="shared" ref="K452:L452" si="321">SUM(K453:K454)</f>
        <v>0</v>
      </c>
      <c r="L452" s="286">
        <f t="shared" si="321"/>
        <v>40985534</v>
      </c>
    </row>
    <row r="453" spans="1:12" ht="63" x14ac:dyDescent="0.2">
      <c r="A453" s="113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IF(B453&gt;0,VLOOKUP(B453,КВСР!A207:B1372,2),IF(C453&gt;0,VLOOKUP(C453,КФСР!A207:B1719,2),IF(D453&gt;0,VLOOKUP(D453,Программа!A$1:B$5124,2),IF(F453&gt;0,VLOOKUP(F453,КВР!A$1:B$5001,2),IF(E453&gt;0,VLOOKUP(E453,Направление!A$1:B$4812,2))))))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69">
        <v>549200</v>
      </c>
      <c r="H453" s="369"/>
      <c r="I453" s="369">
        <f t="shared" si="283"/>
        <v>549200</v>
      </c>
      <c r="J453" s="369">
        <v>549200</v>
      </c>
      <c r="K453" s="286"/>
      <c r="L453" s="286">
        <f t="shared" si="284"/>
        <v>549200</v>
      </c>
    </row>
    <row r="454" spans="1:12" ht="31.5" x14ac:dyDescent="0.2">
      <c r="A454" s="113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IF(B454&gt;0,VLOOKUP(B454,КВСР!A208:B1373,2),IF(C454&gt;0,VLOOKUP(C454,КФСР!A208:B1720,2),IF(D454&gt;0,VLOOKUP(D454,Программа!A$1:B$5124,2),IF(F454&gt;0,VLOOKUP(F454,КВР!A$1:B$5001,2),IF(E454&gt;0,VLOOKUP(E454,Направление!A$1:B$4812,2))))))</f>
        <v>Социальное обеспечение и иные выплаты населению</v>
      </c>
      <c r="B454" s="114"/>
      <c r="C454" s="109"/>
      <c r="D454" s="110"/>
      <c r="E454" s="109"/>
      <c r="F454" s="111">
        <v>300</v>
      </c>
      <c r="G454" s="369">
        <v>40436334</v>
      </c>
      <c r="H454" s="369"/>
      <c r="I454" s="369">
        <f t="shared" si="283"/>
        <v>40436334</v>
      </c>
      <c r="J454" s="369">
        <v>40436334</v>
      </c>
      <c r="K454" s="286"/>
      <c r="L454" s="286">
        <f t="shared" si="284"/>
        <v>40436334</v>
      </c>
    </row>
    <row r="455" spans="1:12" ht="63" hidden="1" x14ac:dyDescent="0.2">
      <c r="A455" s="113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IF(B455&gt;0,VLOOKUP(B455,КВСР!A209:B1374,2),IF(C455&gt;0,VLOOKUP(C455,КФСР!A209:B1721,2),IF(D455&gt;0,VLOOKUP(D455,Программа!A$1:B$5124,2),IF(F455&gt;0,VLOOKUP(F455,КВР!A$1:B$5001,2),IF(E455&gt;0,VLOOKUP(E455,Направление!A$1:B$4812,2))))))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14"/>
      <c r="C455" s="109"/>
      <c r="D455" s="110"/>
      <c r="E455" s="109">
        <v>54620</v>
      </c>
      <c r="F455" s="111"/>
      <c r="G455" s="369">
        <v>0</v>
      </c>
      <c r="H455" s="369">
        <f t="shared" ref="H455" si="322">H456</f>
        <v>0</v>
      </c>
      <c r="I455" s="369">
        <f t="shared" si="283"/>
        <v>0</v>
      </c>
      <c r="J455" s="369">
        <v>0</v>
      </c>
      <c r="K455" s="286">
        <f t="shared" ref="K455" si="323">K456</f>
        <v>0</v>
      </c>
      <c r="L455" s="286">
        <f t="shared" si="284"/>
        <v>0</v>
      </c>
    </row>
    <row r="456" spans="1:12" ht="31.5" hidden="1" x14ac:dyDescent="0.2">
      <c r="A456" s="113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IF(B456&gt;0,VLOOKUP(B456,КВСР!A211:B1376,2),IF(C456&gt;0,VLOOKUP(C456,КФСР!A211:B1723,2),IF(D456&gt;0,VLOOKUP(D456,Программа!A$1:B$5124,2),IF(F456&gt;0,VLOOKUP(F456,КВР!A$1:B$5001,2),IF(E456&gt;0,VLOOKUP(E456,Направление!A$1:B$4812,2))))))</f>
        <v>Социальное обеспечение и иные выплаты населению</v>
      </c>
      <c r="B456" s="114"/>
      <c r="C456" s="109"/>
      <c r="D456" s="110"/>
      <c r="E456" s="109"/>
      <c r="F456" s="111">
        <v>300</v>
      </c>
      <c r="G456" s="369">
        <v>0</v>
      </c>
      <c r="H456" s="369"/>
      <c r="I456" s="369">
        <f t="shared" si="283"/>
        <v>0</v>
      </c>
      <c r="J456" s="369">
        <v>0</v>
      </c>
      <c r="K456" s="286"/>
      <c r="L456" s="286">
        <f t="shared" si="284"/>
        <v>0</v>
      </c>
    </row>
    <row r="457" spans="1:12" ht="63" x14ac:dyDescent="0.2">
      <c r="A457" s="113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IF(B457&gt;0,VLOOKUP(B457,КВСР!A199:B1364,2),IF(C457&gt;0,VLOOKUP(C457,КФСР!A199:B1711,2),IF(D457&gt;0,VLOOKUP(D457,Программа!A$1:B$5124,2),IF(F457&gt;0,VLOOKUP(F457,КВР!A$1:B$5001,2),IF(E457&gt;0,VLOOKUP(E457,Направление!A$1:B$4812,2))))))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14"/>
      <c r="C457" s="109"/>
      <c r="D457" s="110"/>
      <c r="E457" s="109">
        <v>70740</v>
      </c>
      <c r="F457" s="111"/>
      <c r="G457" s="369">
        <v>28658000</v>
      </c>
      <c r="H457" s="369">
        <f t="shared" ref="H457:I457" si="324">H458+H459</f>
        <v>0</v>
      </c>
      <c r="I457" s="369">
        <f t="shared" si="324"/>
        <v>28658000</v>
      </c>
      <c r="J457" s="369">
        <v>28658000</v>
      </c>
      <c r="K457" s="286">
        <f t="shared" ref="K457:L457" si="325">K458+K459</f>
        <v>0</v>
      </c>
      <c r="L457" s="286">
        <f t="shared" si="325"/>
        <v>28658000</v>
      </c>
    </row>
    <row r="458" spans="1:12" ht="63" x14ac:dyDescent="0.2">
      <c r="A458" s="113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IF(B458&gt;0,VLOOKUP(B458,КВСР!A200:B1365,2),IF(C458&gt;0,VLOOKUP(C458,КФСР!A200:B1712,2),IF(D458&gt;0,VLOOKUP(D458,Программа!A$1:B$5124,2),IF(F458&gt;0,VLOOKUP(F458,КВР!A$1:B$5001,2),IF(E458&gt;0,VLOOKUP(E458,Направление!A$1:B$4812,2))))))</f>
        <v xml:space="preserve">Закупка товаров, работ и услуг для обеспечения государственных (муниципальных) нужд
</v>
      </c>
      <c r="B458" s="114"/>
      <c r="C458" s="109"/>
      <c r="D458" s="110"/>
      <c r="E458" s="109"/>
      <c r="F458" s="111">
        <v>200</v>
      </c>
      <c r="G458" s="369">
        <v>365600</v>
      </c>
      <c r="H458" s="369"/>
      <c r="I458" s="369">
        <f t="shared" si="283"/>
        <v>365600</v>
      </c>
      <c r="J458" s="369">
        <v>365600</v>
      </c>
      <c r="K458" s="268"/>
      <c r="L458" s="286">
        <f t="shared" si="284"/>
        <v>365600</v>
      </c>
    </row>
    <row r="459" spans="1:12" ht="31.5" x14ac:dyDescent="0.2">
      <c r="A459" s="113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IF(B459&gt;0,VLOOKUP(B459,КВСР!A201:B1366,2),IF(C459&gt;0,VLOOKUP(C459,КФСР!A201:B1713,2),IF(D459&gt;0,VLOOKUP(D459,Программа!A$1:B$5124,2),IF(F459&gt;0,VLOOKUP(F459,КВР!A$1:B$5001,2),IF(E459&gt;0,VLOOKUP(E459,Направление!A$1:B$4812,2))))))</f>
        <v>Социальное обеспечение и иные выплаты населению</v>
      </c>
      <c r="B459" s="114"/>
      <c r="C459" s="109"/>
      <c r="D459" s="110"/>
      <c r="E459" s="109"/>
      <c r="F459" s="111">
        <v>300</v>
      </c>
      <c r="G459" s="369">
        <v>28292400</v>
      </c>
      <c r="H459" s="369"/>
      <c r="I459" s="369">
        <f t="shared" si="283"/>
        <v>28292400</v>
      </c>
      <c r="J459" s="369">
        <v>28292400</v>
      </c>
      <c r="K459" s="286"/>
      <c r="L459" s="286">
        <f t="shared" si="284"/>
        <v>28292400</v>
      </c>
    </row>
    <row r="460" spans="1:12" ht="78.75" x14ac:dyDescent="0.2">
      <c r="A460" s="113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IF(B460&gt;0,VLOOKUP(B460,КВСР!A199:B1364,2),IF(C460&gt;0,VLOOKUP(C460,КФСР!A199:B1711,2),IF(D460&gt;0,VLOOKUP(D460,Программа!A$1:B$5124,2),IF(F460&gt;0,VLOOKUP(F460,КВР!A$1:B$5001,2),IF(E460&gt;0,VLOOKUP(E460,Направление!A$1:B$4812,2))))))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14"/>
      <c r="C460" s="109"/>
      <c r="D460" s="110"/>
      <c r="E460" s="109">
        <v>70750</v>
      </c>
      <c r="F460" s="111"/>
      <c r="G460" s="369">
        <v>38653000</v>
      </c>
      <c r="H460" s="369">
        <f t="shared" ref="H460:I460" si="326">H462+H461</f>
        <v>0</v>
      </c>
      <c r="I460" s="369">
        <f t="shared" si="326"/>
        <v>38653000</v>
      </c>
      <c r="J460" s="369">
        <v>38653000</v>
      </c>
      <c r="K460" s="286">
        <f t="shared" ref="K460:L460" si="327">K462+K461</f>
        <v>0</v>
      </c>
      <c r="L460" s="286">
        <f t="shared" si="327"/>
        <v>38653000</v>
      </c>
    </row>
    <row r="461" spans="1:12" ht="63" x14ac:dyDescent="0.2">
      <c r="A461" s="113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IF(B461&gt;0,VLOOKUP(B461,КВСР!A200:B1365,2),IF(C461&gt;0,VLOOKUP(C461,КФСР!A200:B1712,2),IF(D461&gt;0,VLOOKUP(D461,Программа!A$1:B$5124,2),IF(F461&gt;0,VLOOKUP(F461,КВР!A$1:B$5001,2),IF(E461&gt;0,VLOOKUP(E461,Направление!A$1:B$4812,2))))))</f>
        <v xml:space="preserve">Закупка товаров, работ и услуг для обеспечения государственных (муниципальных) нужд
</v>
      </c>
      <c r="B461" s="114"/>
      <c r="C461" s="109"/>
      <c r="D461" s="110"/>
      <c r="E461" s="109"/>
      <c r="F461" s="111">
        <v>200</v>
      </c>
      <c r="G461" s="369">
        <v>587800</v>
      </c>
      <c r="H461" s="369"/>
      <c r="I461" s="369">
        <f t="shared" si="283"/>
        <v>587800</v>
      </c>
      <c r="J461" s="369">
        <v>587800</v>
      </c>
      <c r="K461" s="286"/>
      <c r="L461" s="286">
        <f t="shared" si="284"/>
        <v>587800</v>
      </c>
    </row>
    <row r="462" spans="1:12" ht="31.5" x14ac:dyDescent="0.2">
      <c r="A462" s="113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IF(B462&gt;0,VLOOKUP(B462,КВСР!A200:B1365,2),IF(C462&gt;0,VLOOKUP(C462,КФСР!A200:B1712,2),IF(D462&gt;0,VLOOKUP(D462,Программа!A$1:B$5124,2),IF(F462&gt;0,VLOOKUP(F462,КВР!A$1:B$5001,2),IF(E462&gt;0,VLOOKUP(E462,Направление!A$1:B$4812,2))))))</f>
        <v>Социальное обеспечение и иные выплаты населению</v>
      </c>
      <c r="B462" s="114"/>
      <c r="C462" s="109"/>
      <c r="D462" s="110"/>
      <c r="E462" s="109"/>
      <c r="F462" s="111">
        <v>300</v>
      </c>
      <c r="G462" s="369">
        <v>38065200</v>
      </c>
      <c r="H462" s="369"/>
      <c r="I462" s="369">
        <f t="shared" si="283"/>
        <v>38065200</v>
      </c>
      <c r="J462" s="369">
        <v>38065200</v>
      </c>
      <c r="K462" s="286"/>
      <c r="L462" s="286">
        <f t="shared" si="284"/>
        <v>38065200</v>
      </c>
    </row>
    <row r="463" spans="1:12" ht="110.25" x14ac:dyDescent="0.2">
      <c r="A463" s="113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IF(B463&gt;0,VLOOKUP(B463,КВСР!A201:B1366,2),IF(C463&gt;0,VLOOKUP(C463,КФСР!A201:B1713,2),IF(D463&gt;0,VLOOKUP(D463,Программа!A$1:B$5124,2),IF(F463&gt;0,VLOOKUP(F463,КВР!A$1:B$5001,2),IF(E463&gt;0,VLOOKUP(E463,Направление!A$1:B$4812,2))))))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14"/>
      <c r="C463" s="109"/>
      <c r="D463" s="110"/>
      <c r="E463" s="109">
        <v>70840</v>
      </c>
      <c r="F463" s="111"/>
      <c r="G463" s="369">
        <v>68101000</v>
      </c>
      <c r="H463" s="369">
        <f t="shared" ref="H463:I463" si="328">H464+H465</f>
        <v>0</v>
      </c>
      <c r="I463" s="369">
        <f t="shared" si="328"/>
        <v>68101000</v>
      </c>
      <c r="J463" s="369">
        <v>68101000</v>
      </c>
      <c r="K463" s="286">
        <f t="shared" ref="K463:L463" si="329">K464+K465</f>
        <v>0</v>
      </c>
      <c r="L463" s="286">
        <f t="shared" si="329"/>
        <v>68101000</v>
      </c>
    </row>
    <row r="464" spans="1:12" ht="63" x14ac:dyDescent="0.2">
      <c r="A464" s="113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IF(B464&gt;0,VLOOKUP(B464,КВСР!A202:B1367,2),IF(C464&gt;0,VLOOKUP(C464,КФСР!A202:B1714,2),IF(D464&gt;0,VLOOKUP(D464,Программа!A$1:B$5124,2),IF(F464&gt;0,VLOOKUP(F464,КВР!A$1:B$5001,2),IF(E464&gt;0,VLOOKUP(E464,Направление!A$1:B$4812,2))))))</f>
        <v xml:space="preserve">Закупка товаров, работ и услуг для обеспечения государственных (муниципальных) нужд
</v>
      </c>
      <c r="B464" s="114"/>
      <c r="C464" s="109"/>
      <c r="D464" s="110"/>
      <c r="E464" s="109"/>
      <c r="F464" s="111">
        <v>200</v>
      </c>
      <c r="G464" s="369">
        <v>1028000</v>
      </c>
      <c r="H464" s="369"/>
      <c r="I464" s="369">
        <f t="shared" si="283"/>
        <v>1028000</v>
      </c>
      <c r="J464" s="369">
        <v>1028000</v>
      </c>
      <c r="K464" s="286"/>
      <c r="L464" s="286">
        <f t="shared" si="284"/>
        <v>1028000</v>
      </c>
    </row>
    <row r="465" spans="1:12" ht="31.5" x14ac:dyDescent="0.2">
      <c r="A465" s="113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IF(B465&gt;0,VLOOKUP(B465,КВСР!A203:B1368,2),IF(C465&gt;0,VLOOKUP(C465,КФСР!A203:B1715,2),IF(D465&gt;0,VLOOKUP(D465,Программа!A$1:B$5124,2),IF(F465&gt;0,VLOOKUP(F465,КВР!A$1:B$5001,2),IF(E465&gt;0,VLOOKUP(E465,Направление!A$1:B$4812,2))))))</f>
        <v>Социальное обеспечение и иные выплаты населению</v>
      </c>
      <c r="B465" s="114"/>
      <c r="C465" s="109"/>
      <c r="D465" s="110"/>
      <c r="E465" s="109"/>
      <c r="F465" s="111">
        <v>300</v>
      </c>
      <c r="G465" s="369">
        <v>67073000</v>
      </c>
      <c r="H465" s="369"/>
      <c r="I465" s="369">
        <f t="shared" si="283"/>
        <v>67073000</v>
      </c>
      <c r="J465" s="369">
        <v>67073000</v>
      </c>
      <c r="K465" s="286"/>
      <c r="L465" s="286">
        <f t="shared" si="284"/>
        <v>67073000</v>
      </c>
    </row>
    <row r="466" spans="1:12" ht="31.5" x14ac:dyDescent="0.2">
      <c r="A466" s="113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IF(B466&gt;0,VLOOKUP(B466,КВСР!A204:B1369,2),IF(C466&gt;0,VLOOKUP(C466,КФСР!A204:B1716,2),IF(D466&gt;0,VLOOKUP(D466,Программа!A$1:B$5124,2),IF(F466&gt;0,VLOOKUP(F466,КВР!A$1:B$5001,2),IF(E466&gt;0,VLOOKUP(E466,Направление!A$1:B$4812,2))))))</f>
        <v>Денежные выплаты за счет средств областного бюджета</v>
      </c>
      <c r="B466" s="114"/>
      <c r="C466" s="109"/>
      <c r="D466" s="110"/>
      <c r="E466" s="109">
        <v>70860</v>
      </c>
      <c r="F466" s="111"/>
      <c r="G466" s="369">
        <v>20517823</v>
      </c>
      <c r="H466" s="369">
        <f t="shared" ref="H466:I466" si="330">H467+H468</f>
        <v>0</v>
      </c>
      <c r="I466" s="369">
        <f t="shared" si="330"/>
        <v>20517823</v>
      </c>
      <c r="J466" s="369">
        <v>20517823</v>
      </c>
      <c r="K466" s="286">
        <f t="shared" ref="K466:L466" si="331">K467+K468</f>
        <v>0</v>
      </c>
      <c r="L466" s="286">
        <f t="shared" si="331"/>
        <v>20517823</v>
      </c>
    </row>
    <row r="467" spans="1:12" ht="63" x14ac:dyDescent="0.2">
      <c r="A467" s="113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IF(B467&gt;0,VLOOKUP(B467,КВСР!A205:B1370,2),IF(C467&gt;0,VLOOKUP(C467,КФСР!A205:B1717,2),IF(D467&gt;0,VLOOKUP(D467,Программа!A$1:B$5124,2),IF(F467&gt;0,VLOOKUP(F467,КВР!A$1:B$5001,2),IF(E467&gt;0,VLOOKUP(E467,Направление!A$1:B$4812,2))))))</f>
        <v xml:space="preserve">Закупка товаров, работ и услуг для обеспечения государственных (муниципальных) нужд
</v>
      </c>
      <c r="B467" s="114"/>
      <c r="C467" s="109"/>
      <c r="D467" s="110"/>
      <c r="E467" s="109"/>
      <c r="F467" s="111">
        <v>200</v>
      </c>
      <c r="G467" s="369">
        <v>264400</v>
      </c>
      <c r="H467" s="369"/>
      <c r="I467" s="369">
        <f t="shared" si="283"/>
        <v>264400</v>
      </c>
      <c r="J467" s="369">
        <v>264400</v>
      </c>
      <c r="K467" s="286"/>
      <c r="L467" s="286">
        <f t="shared" si="284"/>
        <v>264400</v>
      </c>
    </row>
    <row r="468" spans="1:12" ht="31.5" x14ac:dyDescent="0.2">
      <c r="A468" s="113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IF(B468&gt;0,VLOOKUP(B468,КВСР!A206:B1371,2),IF(C468&gt;0,VLOOKUP(C468,КФСР!A206:B1718,2),IF(D468&gt;0,VLOOKUP(D468,Программа!A$1:B$5124,2),IF(F468&gt;0,VLOOKUP(F468,КВР!A$1:B$5001,2),IF(E468&gt;0,VLOOKUP(E468,Направление!A$1:B$4812,2))))))</f>
        <v>Социальное обеспечение и иные выплаты населению</v>
      </c>
      <c r="B468" s="114"/>
      <c r="C468" s="109"/>
      <c r="D468" s="110"/>
      <c r="E468" s="109"/>
      <c r="F468" s="111">
        <v>300</v>
      </c>
      <c r="G468" s="369">
        <v>20253423</v>
      </c>
      <c r="H468" s="369"/>
      <c r="I468" s="369">
        <f t="shared" si="283"/>
        <v>20253423</v>
      </c>
      <c r="J468" s="369">
        <v>20253423</v>
      </c>
      <c r="K468" s="286"/>
      <c r="L468" s="286">
        <f t="shared" si="284"/>
        <v>20253423</v>
      </c>
    </row>
    <row r="469" spans="1:12" ht="47.25" hidden="1" x14ac:dyDescent="0.2">
      <c r="A469" s="113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IF(B469&gt;0,VLOOKUP(B469,КВСР!A207:B1372,2),IF(C469&gt;0,VLOOKUP(C469,КФСР!A207:B1719,2),IF(D469&gt;0,VLOOKUP(D469,Программа!A$1:B$5124,2),IF(F469&gt;0,VLOOKUP(F469,КВР!A$1:B$5001,2),IF(E469&gt;0,VLOOKUP(E469,Направление!A$1:B$4812,2))))))</f>
        <v>Оказание социальной помощи отдельным категориям граждан за счет средств областного бюджета</v>
      </c>
      <c r="B469" s="114"/>
      <c r="C469" s="109"/>
      <c r="D469" s="110"/>
      <c r="E469" s="109">
        <v>70890</v>
      </c>
      <c r="F469" s="111"/>
      <c r="G469" s="369">
        <v>0</v>
      </c>
      <c r="H469" s="369">
        <f t="shared" ref="H469" si="332">H470+H471</f>
        <v>0</v>
      </c>
      <c r="I469" s="369">
        <f t="shared" si="283"/>
        <v>0</v>
      </c>
      <c r="J469" s="369">
        <v>0</v>
      </c>
      <c r="K469" s="286">
        <f t="shared" ref="K469" si="333">K470+K471</f>
        <v>0</v>
      </c>
      <c r="L469" s="286">
        <f t="shared" si="284"/>
        <v>0</v>
      </c>
    </row>
    <row r="470" spans="1:12" ht="63" hidden="1" x14ac:dyDescent="0.2">
      <c r="A470" s="113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IF(B470&gt;0,VLOOKUP(B470,КВСР!A208:B1373,2),IF(C470&gt;0,VLOOKUP(C470,КФСР!A208:B1720,2),IF(D470&gt;0,VLOOKUP(D470,Программа!A$1:B$5124,2),IF(F470&gt;0,VLOOKUP(F470,КВР!A$1:B$5001,2),IF(E470&gt;0,VLOOKUP(E470,Направление!A$1:B$4812,2))))))</f>
        <v xml:space="preserve">Закупка товаров, работ и услуг для обеспечения государственных (муниципальных) нужд
</v>
      </c>
      <c r="B470" s="114"/>
      <c r="C470" s="109"/>
      <c r="D470" s="110"/>
      <c r="E470" s="109"/>
      <c r="F470" s="111">
        <v>200</v>
      </c>
      <c r="G470" s="369">
        <v>0</v>
      </c>
      <c r="H470" s="369"/>
      <c r="I470" s="369">
        <f t="shared" si="283"/>
        <v>0</v>
      </c>
      <c r="J470" s="369">
        <v>0</v>
      </c>
      <c r="K470" s="286"/>
      <c r="L470" s="286">
        <f t="shared" si="284"/>
        <v>0</v>
      </c>
    </row>
    <row r="471" spans="1:12" ht="31.5" hidden="1" x14ac:dyDescent="0.2">
      <c r="A471" s="113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IF(B471&gt;0,VLOOKUP(B471,КВСР!A209:B1374,2),IF(C471&gt;0,VLOOKUP(C471,КФСР!A209:B1721,2),IF(D471&gt;0,VLOOKUP(D471,Программа!A$1:B$5124,2),IF(F471&gt;0,VLOOKUP(F471,КВР!A$1:B$5001,2),IF(E471&gt;0,VLOOKUP(E471,Направление!A$1:B$4812,2))))))</f>
        <v>Социальное обеспечение и иные выплаты населению</v>
      </c>
      <c r="B471" s="114"/>
      <c r="C471" s="109"/>
      <c r="D471" s="110"/>
      <c r="E471" s="109"/>
      <c r="F471" s="111">
        <v>300</v>
      </c>
      <c r="G471" s="369">
        <v>0</v>
      </c>
      <c r="H471" s="369"/>
      <c r="I471" s="369">
        <f t="shared" si="283"/>
        <v>0</v>
      </c>
      <c r="J471" s="369">
        <v>0</v>
      </c>
      <c r="K471" s="286"/>
      <c r="L471" s="286">
        <f t="shared" si="284"/>
        <v>0</v>
      </c>
    </row>
    <row r="472" spans="1:12" ht="78.75" x14ac:dyDescent="0.2">
      <c r="A472" s="113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IF(B472&gt;0,VLOOKUP(B472,КВСР!A210:B1375,2),IF(C472&gt;0,VLOOKUP(C472,КФСР!A210:B1722,2),IF(D472&gt;0,VLOOKUP(D472,Программа!A$1:B$5124,2),IF(F472&gt;0,VLOOKUP(F472,КВР!A$1:B$5001,2),IF(E472&gt;0,VLOOKUP(E472,Направление!A$1:B$4812,2))))))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14"/>
      <c r="C472" s="109"/>
      <c r="D472" s="110"/>
      <c r="E472" s="109">
        <v>72550</v>
      </c>
      <c r="F472" s="111"/>
      <c r="G472" s="369">
        <v>81572</v>
      </c>
      <c r="H472" s="369">
        <f t="shared" ref="H472:L472" si="334">H473</f>
        <v>0</v>
      </c>
      <c r="I472" s="369">
        <f t="shared" si="334"/>
        <v>81572</v>
      </c>
      <c r="J472" s="369">
        <v>84833</v>
      </c>
      <c r="K472" s="286">
        <f t="shared" si="334"/>
        <v>0</v>
      </c>
      <c r="L472" s="286">
        <f t="shared" si="334"/>
        <v>84833</v>
      </c>
    </row>
    <row r="473" spans="1:12" ht="31.5" x14ac:dyDescent="0.2">
      <c r="A473" s="113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IF(B473&gt;0,VLOOKUP(B473,КВСР!A211:B1376,2),IF(C473&gt;0,VLOOKUP(C473,КФСР!A211:B1723,2),IF(D473&gt;0,VLOOKUP(D473,Программа!A$1:B$5124,2),IF(F473&gt;0,VLOOKUP(F473,КВР!A$1:B$5001,2),IF(E473&gt;0,VLOOKUP(E473,Направление!A$1:B$4812,2))))))</f>
        <v>Социальное обеспечение и иные выплаты населению</v>
      </c>
      <c r="B473" s="114"/>
      <c r="C473" s="109"/>
      <c r="D473" s="110"/>
      <c r="E473" s="109"/>
      <c r="F473" s="642">
        <v>300</v>
      </c>
      <c r="G473" s="369">
        <v>81572</v>
      </c>
      <c r="H473" s="369"/>
      <c r="I473" s="369">
        <f>G473+H473</f>
        <v>81572</v>
      </c>
      <c r="J473" s="369">
        <v>84833</v>
      </c>
      <c r="K473" s="286"/>
      <c r="L473" s="286">
        <f>J473+K473</f>
        <v>84833</v>
      </c>
    </row>
    <row r="474" spans="1:12" ht="78.75" x14ac:dyDescent="0.2">
      <c r="A474" s="113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IF(B474&gt;0,VLOOKUP(B474,КВСР!A212:B1377,2),IF(C474&gt;0,VLOOKUP(C474,КФСР!A212:B1724,2),IF(D474&gt;0,VLOOKUP(D474,Программа!A$1:B$5124,2),IF(F474&gt;0,VLOOKUP(F474,КВР!A$1:B$5001,2),IF(E474&gt;0,VLOOKUP(E474,Направление!A$1:B$4812,2))))))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14"/>
      <c r="C474" s="109"/>
      <c r="D474" s="110"/>
      <c r="E474" s="109">
        <v>72560</v>
      </c>
      <c r="F474" s="111"/>
      <c r="G474" s="369">
        <v>2577467</v>
      </c>
      <c r="H474" s="369">
        <f t="shared" ref="H474:L474" si="335">H475</f>
        <v>0</v>
      </c>
      <c r="I474" s="369">
        <f t="shared" si="335"/>
        <v>2577467</v>
      </c>
      <c r="J474" s="369">
        <v>2680620</v>
      </c>
      <c r="K474" s="369">
        <f t="shared" si="335"/>
        <v>0</v>
      </c>
      <c r="L474" s="369">
        <f t="shared" si="335"/>
        <v>2680620</v>
      </c>
    </row>
    <row r="475" spans="1:12" ht="15.75" x14ac:dyDescent="0.2">
      <c r="A475" s="113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IF(B475&gt;0,VLOOKUP(B475,КВСР!A213:B1378,2),IF(C475&gt;0,VLOOKUP(C475,КФСР!A213:B1725,2),IF(D475&gt;0,VLOOKUP(D475,Программа!A$1:B$5124,2),IF(F475&gt;0,VLOOKUP(F475,КВР!A$1:B$5001,2),IF(E475&gt;0,VLOOKUP(E475,Направление!A$1:B$4812,2))))))</f>
        <v>Иные бюджетные ассигнования</v>
      </c>
      <c r="B475" s="114"/>
      <c r="C475" s="109"/>
      <c r="D475" s="110"/>
      <c r="E475" s="109"/>
      <c r="F475" s="111">
        <v>800</v>
      </c>
      <c r="G475" s="369">
        <v>2577467</v>
      </c>
      <c r="H475" s="369"/>
      <c r="I475" s="369">
        <f t="shared" ref="I475" si="336">G475+H475</f>
        <v>2577467</v>
      </c>
      <c r="J475" s="369">
        <v>2680620</v>
      </c>
      <c r="K475" s="286"/>
      <c r="L475" s="286">
        <f t="shared" ref="L475" si="337">J475+K475</f>
        <v>2680620</v>
      </c>
    </row>
    <row r="476" spans="1:12" ht="47.25" hidden="1" x14ac:dyDescent="0.2">
      <c r="A476" s="113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IF(B476&gt;0,VLOOKUP(B476,КВСР!A210:B1375,2),IF(C476&gt;0,VLOOKUP(C476,КФСР!A210:B1722,2),IF(D476&gt;0,VLOOKUP(D476,Программа!A$1:B$5124,2),IF(F476&gt;0,VLOOKUP(F476,КВР!A$1:B$5001,2),IF(E476&gt;0,VLOOKUP(E476,Направление!A$1:B$4812,2))))))</f>
        <v>Расходы на социальную поддержку отдельных категорий граждан в части ежемесячного пособия на ребенка</v>
      </c>
      <c r="B476" s="114"/>
      <c r="C476" s="109"/>
      <c r="D476" s="110"/>
      <c r="E476" s="109">
        <v>73040</v>
      </c>
      <c r="F476" s="111"/>
      <c r="G476" s="369">
        <v>0</v>
      </c>
      <c r="H476" s="369">
        <f>H477+H478</f>
        <v>0</v>
      </c>
      <c r="I476" s="369">
        <f t="shared" si="283"/>
        <v>0</v>
      </c>
      <c r="J476" s="369">
        <v>0</v>
      </c>
      <c r="K476" s="286">
        <f>K477+K478</f>
        <v>0</v>
      </c>
      <c r="L476" s="286">
        <f t="shared" si="284"/>
        <v>0</v>
      </c>
    </row>
    <row r="477" spans="1:12" ht="63" hidden="1" x14ac:dyDescent="0.2">
      <c r="A477" s="113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IF(B477&gt;0,VLOOKUP(B477,КВСР!A211:B1376,2),IF(C477&gt;0,VLOOKUP(C477,КФСР!A211:B1723,2),IF(D477&gt;0,VLOOKUP(D477,Программа!A$1:B$5124,2),IF(F477&gt;0,VLOOKUP(F477,КВР!A$1:B$5001,2),IF(E477&gt;0,VLOOKUP(E477,Направление!A$1:B$4812,2))))))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0"/>
      <c r="E477" s="109"/>
      <c r="F477" s="111">
        <v>200</v>
      </c>
      <c r="G477" s="369">
        <v>0</v>
      </c>
      <c r="H477" s="369"/>
      <c r="I477" s="369">
        <f t="shared" si="283"/>
        <v>0</v>
      </c>
      <c r="J477" s="369">
        <v>0</v>
      </c>
      <c r="K477" s="286"/>
      <c r="L477" s="286">
        <f t="shared" si="284"/>
        <v>0</v>
      </c>
    </row>
    <row r="478" spans="1:12" ht="31.5" hidden="1" x14ac:dyDescent="0.2">
      <c r="A478" s="113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IF(B478&gt;0,VLOOKUP(B478,КВСР!A204:B1369,2),IF(C478&gt;0,VLOOKUP(C478,КФСР!A204:B1716,2),IF(D478&gt;0,VLOOKUP(D478,Программа!A$1:B$5124,2),IF(F478&gt;0,VLOOKUP(F478,КВР!A$1:B$5001,2),IF(E478&gt;0,VLOOKUP(E478,Направление!A$1:B$4812,2))))))</f>
        <v>Социальное обеспечение и иные выплаты населению</v>
      </c>
      <c r="B478" s="114"/>
      <c r="C478" s="109"/>
      <c r="D478" s="110"/>
      <c r="E478" s="109"/>
      <c r="F478" s="111">
        <v>300</v>
      </c>
      <c r="G478" s="369">
        <v>0</v>
      </c>
      <c r="H478" s="369"/>
      <c r="I478" s="369">
        <f t="shared" si="283"/>
        <v>0</v>
      </c>
      <c r="J478" s="369">
        <v>0</v>
      </c>
      <c r="K478" s="286"/>
      <c r="L478" s="286">
        <f t="shared" si="284"/>
        <v>0</v>
      </c>
    </row>
    <row r="479" spans="1:12" ht="78.75" x14ac:dyDescent="0.2">
      <c r="A479" s="113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14"/>
      <c r="C479" s="109"/>
      <c r="D479" s="110"/>
      <c r="E479" s="109">
        <v>75490</v>
      </c>
      <c r="F479" s="111"/>
      <c r="G479" s="369">
        <v>30317</v>
      </c>
      <c r="H479" s="369">
        <f t="shared" ref="H479:K479" si="338">H480</f>
        <v>0</v>
      </c>
      <c r="I479" s="369">
        <f t="shared" si="338"/>
        <v>30317</v>
      </c>
      <c r="J479" s="369">
        <v>30317</v>
      </c>
      <c r="K479" s="369">
        <f t="shared" si="338"/>
        <v>0</v>
      </c>
      <c r="L479" s="369">
        <f>L480</f>
        <v>30317</v>
      </c>
    </row>
    <row r="480" spans="1:12" ht="63" x14ac:dyDescent="0.2">
      <c r="A480" s="113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IF(B480&gt;0,VLOOKUP(B480,КВСР!A208:B1373,2),IF(C480&gt;0,VLOOKUP(C480,КФСР!A208:B1720,2),IF(D480&gt;0,VLOOKUP(D480,Программа!A$1:B$5124,2),IF(F480&gt;0,VLOOKUP(F480,КВР!A$1:B$5001,2),IF(E480&gt;0,VLOOKUP(E480,Направление!A$1:B$4812,2))))))</f>
        <v xml:space="preserve">Закупка товаров, работ и услуг для обеспечения государственных (муниципальных) нужд
</v>
      </c>
      <c r="B480" s="114"/>
      <c r="C480" s="109"/>
      <c r="D480" s="110"/>
      <c r="E480" s="109"/>
      <c r="F480" s="111">
        <v>200</v>
      </c>
      <c r="G480" s="369">
        <v>30317</v>
      </c>
      <c r="H480" s="369"/>
      <c r="I480" s="369">
        <f>SUM(G480:H480)</f>
        <v>30317</v>
      </c>
      <c r="J480" s="369">
        <v>30317</v>
      </c>
      <c r="K480" s="268"/>
      <c r="L480" s="286">
        <f>SUM(J480:K480)</f>
        <v>30317</v>
      </c>
    </row>
    <row r="481" spans="1:12" ht="63" x14ac:dyDescent="0.2">
      <c r="A481" s="113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IF(B481&gt;0,VLOOKUP(B481,КВСР!A209:B1374,2),IF(C481&gt;0,VLOOKUP(C481,КФСР!A209:B1721,2),IF(D481&gt;0,VLOOKUP(D481,Программа!A$1:B$5124,2),IF(F481&gt;0,VLOOKUP(F481,КВР!A$1:B$5001,2),IF(E481&gt;0,VLOOKUP(E481,Направление!A$1:B$4812,2))))))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14"/>
      <c r="C481" s="109"/>
      <c r="D481" s="110"/>
      <c r="E481" s="109" t="s">
        <v>1146</v>
      </c>
      <c r="F481" s="111"/>
      <c r="G481" s="369">
        <v>1759206</v>
      </c>
      <c r="H481" s="369">
        <f t="shared" ref="H481:L481" si="339">H482</f>
        <v>0</v>
      </c>
      <c r="I481" s="369">
        <f t="shared" si="339"/>
        <v>1759206</v>
      </c>
      <c r="J481" s="369">
        <v>1740718</v>
      </c>
      <c r="K481" s="369">
        <f t="shared" si="339"/>
        <v>0</v>
      </c>
      <c r="L481" s="369">
        <f t="shared" si="339"/>
        <v>1740718</v>
      </c>
    </row>
    <row r="482" spans="1:12" ht="31.5" x14ac:dyDescent="0.2">
      <c r="A482" s="113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IF(B482&gt;0,VLOOKUP(B482,КВСР!A210:B1375,2),IF(C482&gt;0,VLOOKUP(C482,КФСР!A210:B1722,2),IF(D482&gt;0,VLOOKUP(D482,Программа!A$1:B$5124,2),IF(F482&gt;0,VLOOKUP(F482,КВР!A$1:B$5001,2),IF(E482&gt;0,VLOOKUP(E482,Направление!A$1:B$4812,2))))))</f>
        <v>Социальное обеспечение и иные выплаты населению</v>
      </c>
      <c r="B482" s="114"/>
      <c r="C482" s="109"/>
      <c r="D482" s="110"/>
      <c r="E482" s="109"/>
      <c r="F482" s="111">
        <v>300</v>
      </c>
      <c r="G482" s="369">
        <v>1759206</v>
      </c>
      <c r="H482" s="369"/>
      <c r="I482" s="369">
        <f>SUM(G482:H482)</f>
        <v>1759206</v>
      </c>
      <c r="J482" s="369">
        <v>1740718</v>
      </c>
      <c r="K482" s="286"/>
      <c r="L482" s="286">
        <f>SUM(J482:K482)</f>
        <v>1740718</v>
      </c>
    </row>
    <row r="483" spans="1:12" ht="63" x14ac:dyDescent="0.2">
      <c r="A483" s="113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IF(B483&gt;0,VLOOKUP(B483,КВСР!A205:B1370,2),IF(C483&gt;0,VLOOKUP(C483,КФСР!A205:B1717,2),IF(D483&gt;0,VLOOKUP(D483,Программа!A$1:B$5124,2),IF(F483&gt;0,VLOOKUP(F483,КВР!A$1:B$5001,2),IF(E483&gt;0,VLOOKUP(E483,Направление!A$1:B$4812,2))))))</f>
        <v>Социальная защита семей с детьми, инвалидов, ветеранов, граждан и детей, оказавшихся в трудной жизненной ситуации</v>
      </c>
      <c r="B483" s="114"/>
      <c r="C483" s="109"/>
      <c r="D483" s="110" t="s">
        <v>466</v>
      </c>
      <c r="E483" s="109"/>
      <c r="F483" s="111"/>
      <c r="G483" s="369">
        <v>20127906</v>
      </c>
      <c r="H483" s="369">
        <f>H484+H487+H490+H492</f>
        <v>0</v>
      </c>
      <c r="I483" s="369">
        <f t="shared" ref="I483:L483" si="340">I484+I487+I490+I492</f>
        <v>20127906</v>
      </c>
      <c r="J483" s="369">
        <v>20127906</v>
      </c>
      <c r="K483" s="369">
        <f t="shared" si="340"/>
        <v>0</v>
      </c>
      <c r="L483" s="369">
        <f t="shared" si="340"/>
        <v>20127906</v>
      </c>
    </row>
    <row r="484" spans="1:12" ht="47.25" x14ac:dyDescent="0.2">
      <c r="A484" s="113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IF(B484&gt;0,VLOOKUP(B484,КВСР!A206:B1371,2),IF(C484&gt;0,VLOOKUP(C484,КФСР!A206:B1718,2),IF(D484&gt;0,VLOOKUP(D484,Программа!A$1:B$5124,2),IF(F484&gt;0,VLOOKUP(F484,КВР!A$1:B$5001,2),IF(E484&gt;0,VLOOKUP(E484,Направление!A$1:B$4812,2))))))</f>
        <v>Организация перевозок больных, нуждающихся в амбулаторном гемодиализе</v>
      </c>
      <c r="B484" s="114"/>
      <c r="C484" s="109"/>
      <c r="D484" s="110"/>
      <c r="E484" s="109">
        <v>16210</v>
      </c>
      <c r="F484" s="111"/>
      <c r="G484" s="369">
        <v>241000</v>
      </c>
      <c r="H484" s="369">
        <f t="shared" ref="H484" si="341">H485+H486</f>
        <v>0</v>
      </c>
      <c r="I484" s="369">
        <f t="shared" si="283"/>
        <v>241000</v>
      </c>
      <c r="J484" s="369">
        <v>241000</v>
      </c>
      <c r="K484" s="286">
        <f t="shared" ref="K484" si="342">K485+K486</f>
        <v>0</v>
      </c>
      <c r="L484" s="286">
        <f t="shared" si="284"/>
        <v>241000</v>
      </c>
    </row>
    <row r="485" spans="1:12" ht="31.5" hidden="1" x14ac:dyDescent="0.2">
      <c r="A485" s="113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IF(B485&gt;0,VLOOKUP(B485,КВСР!A207:B1372,2),IF(C485&gt;0,VLOOKUP(C485,КФСР!A207:B1719,2),IF(D485&gt;0,VLOOKUP(D485,Программа!A$1:B$5124,2),IF(F485&gt;0,VLOOKUP(F485,КВР!A$1:B$5001,2),IF(E485&gt;0,VLOOKUP(E485,Направление!A$1:B$4812,2))))))</f>
        <v>Социальное обеспечение и иные выплаты населению</v>
      </c>
      <c r="B485" s="114"/>
      <c r="C485" s="109"/>
      <c r="D485" s="110"/>
      <c r="E485" s="109"/>
      <c r="F485" s="111">
        <v>300</v>
      </c>
      <c r="G485" s="369">
        <v>0</v>
      </c>
      <c r="H485" s="369"/>
      <c r="I485" s="369">
        <f t="shared" si="283"/>
        <v>0</v>
      </c>
      <c r="J485" s="369">
        <v>0</v>
      </c>
      <c r="K485" s="286"/>
      <c r="L485" s="286">
        <f t="shared" si="284"/>
        <v>0</v>
      </c>
    </row>
    <row r="486" spans="1:12" ht="31.5" x14ac:dyDescent="0.2">
      <c r="A486" s="113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IF(B486&gt;0,VLOOKUP(B486,КВСР!A208:B1373,2),IF(C486&gt;0,VLOOKUP(C486,КФСР!A208:B1720,2),IF(D486&gt;0,VLOOKUP(D486,Программа!A$1:B$5124,2),IF(F486&gt;0,VLOOKUP(F486,КВР!A$1:B$5001,2),IF(E486&gt;0,VLOOKUP(E486,Направление!A$1:B$4812,2))))))</f>
        <v>Социальное обеспечение и иные выплаты населению</v>
      </c>
      <c r="B486" s="114"/>
      <c r="C486" s="109"/>
      <c r="D486" s="110"/>
      <c r="E486" s="109"/>
      <c r="F486" s="111">
        <v>300</v>
      </c>
      <c r="G486" s="369">
        <v>241000</v>
      </c>
      <c r="H486" s="369"/>
      <c r="I486" s="369">
        <f t="shared" si="283"/>
        <v>241000</v>
      </c>
      <c r="J486" s="369">
        <v>241000</v>
      </c>
      <c r="K486" s="286"/>
      <c r="L486" s="286">
        <f t="shared" si="284"/>
        <v>241000</v>
      </c>
    </row>
    <row r="487" spans="1:12" ht="47.25" x14ac:dyDescent="0.2">
      <c r="A487" s="113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IF(B487&gt;0,VLOOKUP(B487,КВСР!A209:B1374,2),IF(C487&gt;0,VLOOKUP(C487,КФСР!A209:B1721,2),IF(D487&gt;0,VLOOKUP(D487,Программа!A$1:B$5124,2),IF(F487&gt;0,VLOOKUP(F487,КВР!A$1:B$5001,2),IF(E487&gt;0,VLOOKUP(E487,Направление!A$1:B$4812,2))))))</f>
        <v>Оказание социальной помощи отдельным категориям граждан за счет средств областного бюджета</v>
      </c>
      <c r="B487" s="114"/>
      <c r="C487" s="109"/>
      <c r="D487" s="110"/>
      <c r="E487" s="109">
        <v>70890</v>
      </c>
      <c r="F487" s="111"/>
      <c r="G487" s="369">
        <v>2494000</v>
      </c>
      <c r="H487" s="369">
        <f t="shared" ref="H487:I487" si="343">H488+H489</f>
        <v>0</v>
      </c>
      <c r="I487" s="369">
        <f t="shared" si="343"/>
        <v>2494000</v>
      </c>
      <c r="J487" s="369">
        <v>2494000</v>
      </c>
      <c r="K487" s="286">
        <f t="shared" ref="K487:L487" si="344">K488+K489</f>
        <v>0</v>
      </c>
      <c r="L487" s="286">
        <f t="shared" si="344"/>
        <v>2494000</v>
      </c>
    </row>
    <row r="488" spans="1:12" ht="63" x14ac:dyDescent="0.2">
      <c r="A488" s="113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IF(B488&gt;0,VLOOKUP(B488,КВСР!A210:B1375,2),IF(C488&gt;0,VLOOKUP(C488,КФСР!A210:B1722,2),IF(D488&gt;0,VLOOKUP(D488,Программа!A$1:B$5124,2),IF(F488&gt;0,VLOOKUP(F488,КВР!A$1:B$5001,2),IF(E488&gt;0,VLOOKUP(E488,Направление!A$1:B$4812,2))))))</f>
        <v xml:space="preserve">Закупка товаров, работ и услуг для обеспечения государственных (муниципальных) нужд
</v>
      </c>
      <c r="B488" s="114"/>
      <c r="C488" s="109"/>
      <c r="D488" s="110"/>
      <c r="E488" s="109"/>
      <c r="F488" s="111">
        <v>200</v>
      </c>
      <c r="G488" s="369">
        <v>9200</v>
      </c>
      <c r="H488" s="369"/>
      <c r="I488" s="369">
        <f t="shared" si="283"/>
        <v>9200</v>
      </c>
      <c r="J488" s="369">
        <v>9200</v>
      </c>
      <c r="K488" s="369"/>
      <c r="L488" s="286">
        <f t="shared" si="284"/>
        <v>9200</v>
      </c>
    </row>
    <row r="489" spans="1:12" ht="31.5" x14ac:dyDescent="0.2">
      <c r="A489" s="113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IF(B489&gt;0,VLOOKUP(B489,КВСР!A211:B1376,2),IF(C489&gt;0,VLOOKUP(C489,КФСР!A211:B1723,2),IF(D489&gt;0,VLOOKUP(D489,Программа!A$1:B$5124,2),IF(F489&gt;0,VLOOKUP(F489,КВР!A$1:B$5001,2),IF(E489&gt;0,VLOOKUP(E489,Направление!A$1:B$4812,2))))))</f>
        <v>Социальное обеспечение и иные выплаты населению</v>
      </c>
      <c r="B489" s="114"/>
      <c r="C489" s="109"/>
      <c r="D489" s="110"/>
      <c r="E489" s="109"/>
      <c r="F489" s="111">
        <v>300</v>
      </c>
      <c r="G489" s="369">
        <v>2484800</v>
      </c>
      <c r="H489" s="369"/>
      <c r="I489" s="369">
        <f t="shared" si="283"/>
        <v>2484800</v>
      </c>
      <c r="J489" s="369">
        <v>2484800</v>
      </c>
      <c r="K489" s="286"/>
      <c r="L489" s="286">
        <f t="shared" si="284"/>
        <v>2484800</v>
      </c>
    </row>
    <row r="490" spans="1:12" ht="63" x14ac:dyDescent="0.2">
      <c r="A490" s="113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IF(B490&gt;0,VLOOKUP(B490,КВСР!A212:B1377,2),IF(C490&gt;0,VLOOKUP(C490,КФСР!A212:B1724,2),IF(D490&gt;0,VLOOKUP(D490,Программа!A$1:B$5124,2),IF(F490&gt;0,VLOOKUP(F490,КВР!A$1:B$5001,2),IF(E490&gt;0,VLOOKUP(E490,Направление!A$1:B$4812,2))))))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14"/>
      <c r="C490" s="109"/>
      <c r="D490" s="110"/>
      <c r="E490" s="109">
        <v>75520</v>
      </c>
      <c r="F490" s="111"/>
      <c r="G490" s="369">
        <v>257038</v>
      </c>
      <c r="H490" s="369">
        <f t="shared" ref="H490:L490" si="345">H491</f>
        <v>0</v>
      </c>
      <c r="I490" s="369">
        <f t="shared" si="345"/>
        <v>257038</v>
      </c>
      <c r="J490" s="369">
        <v>257038</v>
      </c>
      <c r="K490" s="369">
        <f t="shared" si="345"/>
        <v>0</v>
      </c>
      <c r="L490" s="369">
        <f t="shared" si="345"/>
        <v>257038</v>
      </c>
    </row>
    <row r="491" spans="1:12" ht="63" x14ac:dyDescent="0.2">
      <c r="A491" s="113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IF(B491&gt;0,VLOOKUP(B491,КВСР!A213:B1378,2),IF(C491&gt;0,VLOOKUP(C491,КФСР!A213:B1725,2),IF(D491&gt;0,VLOOKUP(D491,Программа!A$1:B$5124,2),IF(F491&gt;0,VLOOKUP(F491,КВР!A$1:B$5001,2),IF(E491&gt;0,VLOOKUP(E491,Направление!A$1:B$4812,2))))))</f>
        <v xml:space="preserve">Закупка товаров, работ и услуг для обеспечения государственных (муниципальных) нужд
</v>
      </c>
      <c r="B491" s="114"/>
      <c r="C491" s="109"/>
      <c r="D491" s="110"/>
      <c r="E491" s="109"/>
      <c r="F491" s="111">
        <v>200</v>
      </c>
      <c r="G491" s="369">
        <v>257038</v>
      </c>
      <c r="H491" s="369"/>
      <c r="I491" s="369">
        <f>G491+H491</f>
        <v>257038</v>
      </c>
      <c r="J491" s="369">
        <v>257038</v>
      </c>
      <c r="K491" s="286"/>
      <c r="L491" s="286">
        <f>J491+K491</f>
        <v>257038</v>
      </c>
    </row>
    <row r="492" spans="1:12" ht="47.25" x14ac:dyDescent="0.2">
      <c r="A492" s="113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IF(B492&gt;0,VLOOKUP(B492,КВСР!A214:B1379,2),IF(C492&gt;0,VLOOKUP(C492,КФСР!A214:B1726,2),IF(D492&gt;0,VLOOKUP(D492,Программа!A$1:B$5124,2),IF(F492&gt;0,VLOOKUP(F492,КВР!A$1:B$5001,2),IF(E492&gt;0,VLOOKUP(E492,Направление!A$1:B$4812,2))))))</f>
        <v>Оказание государственной социальной помощи на основании социального контракта отдельным категориям граждан</v>
      </c>
      <c r="B492" s="114"/>
      <c r="C492" s="109"/>
      <c r="D492" s="110"/>
      <c r="E492" s="109" t="s">
        <v>1535</v>
      </c>
      <c r="F492" s="111"/>
      <c r="G492" s="369">
        <v>17135868</v>
      </c>
      <c r="H492" s="369">
        <f t="shared" ref="H492:L492" si="346">H493</f>
        <v>0</v>
      </c>
      <c r="I492" s="369">
        <f t="shared" si="346"/>
        <v>17135868</v>
      </c>
      <c r="J492" s="369">
        <v>17135868</v>
      </c>
      <c r="K492" s="369">
        <f t="shared" si="346"/>
        <v>0</v>
      </c>
      <c r="L492" s="369">
        <f t="shared" si="346"/>
        <v>17135868</v>
      </c>
    </row>
    <row r="493" spans="1:12" ht="31.5" x14ac:dyDescent="0.2">
      <c r="A493" s="113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IF(B493&gt;0,VLOOKUP(B493,КВСР!A215:B1380,2),IF(C493&gt;0,VLOOKUP(C493,КФСР!A215:B1727,2),IF(D493&gt;0,VLOOKUP(D493,Программа!A$1:B$5124,2),IF(F493&gt;0,VLOOKUP(F493,КВР!A$1:B$5001,2),IF(E493&gt;0,VLOOKUP(E493,Направление!A$1:B$4812,2))))))</f>
        <v>Социальное обеспечение и иные выплаты населению</v>
      </c>
      <c r="B493" s="114"/>
      <c r="C493" s="109"/>
      <c r="D493" s="110"/>
      <c r="E493" s="109"/>
      <c r="F493" s="111">
        <v>300</v>
      </c>
      <c r="G493" s="369">
        <v>17135868</v>
      </c>
      <c r="H493" s="369"/>
      <c r="I493" s="369">
        <f t="shared" ref="I493" si="347">G493+H493</f>
        <v>17135868</v>
      </c>
      <c r="J493" s="369">
        <v>17135868</v>
      </c>
      <c r="K493" s="286"/>
      <c r="L493" s="286">
        <f t="shared" ref="L493" si="348">J493+K493</f>
        <v>17135868</v>
      </c>
    </row>
    <row r="494" spans="1:12" ht="15.75" x14ac:dyDescent="0.2">
      <c r="A494" s="113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IF(B494&gt;0,VLOOKUP(B494,КВСР!A209:B1374,2),IF(C494&gt;0,VLOOKUP(C494,КФСР!A209:B1721,2),IF(D494&gt;0,VLOOKUP(D494,Программа!A$1:B$5124,2),IF(F494&gt;0,VLOOKUP(F494,КВР!A$1:B$5001,2),IF(E494&gt;0,VLOOKUP(E494,Направление!A$1:B$4812,2))))))</f>
        <v>Охрана семьи и детства</v>
      </c>
      <c r="B494" s="114"/>
      <c r="C494" s="109">
        <v>1004</v>
      </c>
      <c r="D494" s="110"/>
      <c r="E494" s="109"/>
      <c r="F494" s="111"/>
      <c r="G494" s="369">
        <v>276116841</v>
      </c>
      <c r="H494" s="369">
        <f t="shared" ref="H494:I495" si="349">H495</f>
        <v>0</v>
      </c>
      <c r="I494" s="369">
        <f t="shared" si="349"/>
        <v>276116841</v>
      </c>
      <c r="J494" s="369">
        <v>299443112</v>
      </c>
      <c r="K494" s="286">
        <f t="shared" ref="K494:L495" si="350">K495</f>
        <v>0</v>
      </c>
      <c r="L494" s="286">
        <f t="shared" si="350"/>
        <v>299443112</v>
      </c>
    </row>
    <row r="495" spans="1:12" ht="47.25" x14ac:dyDescent="0.2">
      <c r="A495" s="113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IF(B495&gt;0,VLOOKUP(B495,КВСР!A234:B1399,2),IF(C495&gt;0,VLOOKUP(C495,КФСР!A234:B1746,2),IF(D495&gt;0,VLOOKUP(D495,Программа!A$1:B$5124,2),IF(F495&gt;0,VLOOKUP(F495,КВР!A$1:B$5001,2),IF(E495&gt;0,VLOOKUP(E495,Направление!A$1:B$4812,2))))))</f>
        <v>Муниципальная программа "Социальная поддержка населения Тутаевского муниципального района"</v>
      </c>
      <c r="B495" s="114"/>
      <c r="C495" s="109"/>
      <c r="D495" s="110" t="s">
        <v>376</v>
      </c>
      <c r="E495" s="109"/>
      <c r="F495" s="111"/>
      <c r="G495" s="369">
        <v>276116841</v>
      </c>
      <c r="H495" s="369">
        <f t="shared" si="349"/>
        <v>0</v>
      </c>
      <c r="I495" s="369">
        <f t="shared" si="349"/>
        <v>276116841</v>
      </c>
      <c r="J495" s="369">
        <v>299443112</v>
      </c>
      <c r="K495" s="286">
        <f t="shared" si="350"/>
        <v>0</v>
      </c>
      <c r="L495" s="286">
        <f t="shared" si="350"/>
        <v>299443112</v>
      </c>
    </row>
    <row r="496" spans="1:12" ht="47.25" x14ac:dyDescent="0.2">
      <c r="A496" s="113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496" s="114"/>
      <c r="C496" s="109"/>
      <c r="D496" s="110" t="s">
        <v>446</v>
      </c>
      <c r="E496" s="109"/>
      <c r="F496" s="111"/>
      <c r="G496" s="369">
        <v>276116841</v>
      </c>
      <c r="H496" s="369">
        <f>H497+H516</f>
        <v>0</v>
      </c>
      <c r="I496" s="369">
        <f>I497+I516</f>
        <v>276116841</v>
      </c>
      <c r="J496" s="369">
        <v>299443112</v>
      </c>
      <c r="K496" s="286">
        <f>K497+K516</f>
        <v>0</v>
      </c>
      <c r="L496" s="286">
        <f>L497+L516</f>
        <v>299443112</v>
      </c>
    </row>
    <row r="497" spans="1:12" ht="47.25" x14ac:dyDescent="0.2">
      <c r="A497" s="113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IF(B497&gt;0,VLOOKUP(B497,КВСР!A236:B1401,2),IF(C497&gt;0,VLOOKUP(C497,КФСР!A236:B1748,2),IF(D497&gt;0,VLOOKUP(D497,Программа!A$1:B$5124,2),IF(F497&gt;0,VLOOKUP(F497,КВР!A$1:B$5001,2),IF(E497&gt;0,VLOOKUP(E497,Направление!A$1:B$4812,2))))))</f>
        <v>Исполнение публичных обязательств по предоставлению выплат, пособий и компенсаций</v>
      </c>
      <c r="B497" s="114"/>
      <c r="C497" s="109"/>
      <c r="D497" s="126" t="s">
        <v>448</v>
      </c>
      <c r="E497" s="127"/>
      <c r="F497" s="111"/>
      <c r="G497" s="369">
        <v>167581661</v>
      </c>
      <c r="H497" s="369">
        <f>H498+H500+H502+H506+H509+H504+H511+H514</f>
        <v>0</v>
      </c>
      <c r="I497" s="369">
        <f>I498+I500+I502+I506+I509+I504+I511+I514</f>
        <v>167581661</v>
      </c>
      <c r="J497" s="369">
        <v>182448989</v>
      </c>
      <c r="K497" s="369">
        <f t="shared" ref="K497" si="351">K498+K500+K502+K506+K509+K504+K511+K514</f>
        <v>0</v>
      </c>
      <c r="L497" s="369">
        <f t="shared" ref="L497" si="352">L498+L500+L502+L506+L509+L504+L511+L514</f>
        <v>182448989</v>
      </c>
    </row>
    <row r="498" spans="1:12" ht="126" hidden="1" x14ac:dyDescent="0.2">
      <c r="A498" s="113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IF(B498&gt;0,VLOOKUP(B498,КВСР!A237:B1402,2),IF(C498&gt;0,VLOOKUP(C498,КФСР!A237:B1749,2),IF(D498&gt;0,VLOOKUP(D498,Программа!A$1:B$5124,2),IF(F498&gt;0,VLOOKUP(F498,КВР!A$1:B$5001,2),IF(E498&gt;0,VLOOKUP(E498,Направление!A$1:B$4812,2))))))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14"/>
      <c r="C498" s="109"/>
      <c r="D498" s="126"/>
      <c r="E498" s="127">
        <v>52700</v>
      </c>
      <c r="F498" s="111"/>
      <c r="G498" s="369">
        <v>0</v>
      </c>
      <c r="H498" s="369">
        <f t="shared" ref="H498:I498" si="353">H499</f>
        <v>0</v>
      </c>
      <c r="I498" s="369">
        <f t="shared" si="353"/>
        <v>0</v>
      </c>
      <c r="J498" s="369">
        <v>0</v>
      </c>
      <c r="K498" s="286">
        <f t="shared" ref="K498:L498" si="354">K499</f>
        <v>0</v>
      </c>
      <c r="L498" s="286">
        <f t="shared" si="354"/>
        <v>0</v>
      </c>
    </row>
    <row r="499" spans="1:12" ht="31.5" hidden="1" x14ac:dyDescent="0.2">
      <c r="A499" s="113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IF(B499&gt;0,VLOOKUP(B499,КВСР!A238:B1403,2),IF(C499&gt;0,VLOOKUP(C499,КФСР!A238:B1750,2),IF(D499&gt;0,VLOOKUP(D499,Программа!A$1:B$5124,2),IF(F499&gt;0,VLOOKUP(F499,КВР!A$1:B$5001,2),IF(E499&gt;0,VLOOKUP(E499,Направление!A$1:B$4812,2))))))</f>
        <v>Социальное обеспечение и иные выплаты населению</v>
      </c>
      <c r="B499" s="114"/>
      <c r="C499" s="109"/>
      <c r="D499" s="126"/>
      <c r="E499" s="127"/>
      <c r="F499" s="111">
        <v>300</v>
      </c>
      <c r="G499" s="369">
        <v>0</v>
      </c>
      <c r="H499" s="369"/>
      <c r="I499" s="369">
        <f t="shared" ref="I499:I593" si="355">SUM(G499:H499)</f>
        <v>0</v>
      </c>
      <c r="J499" s="369">
        <v>0</v>
      </c>
      <c r="K499" s="286"/>
      <c r="L499" s="286">
        <f t="shared" ref="L499:L593" si="356">SUM(J499:K499)</f>
        <v>0</v>
      </c>
    </row>
    <row r="500" spans="1:12" ht="141.75" hidden="1" x14ac:dyDescent="0.2">
      <c r="A500" s="113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IF(B500&gt;0,VLOOKUP(B500,КВСР!A236:B1401,2),IF(C500&gt;0,VLOOKUP(C500,КФСР!A236:B1748,2),IF(D500&gt;0,VLOOKUP(D500,Программа!A$1:B$5124,2),IF(F500&gt;0,VLOOKUP(F500,КВР!A$1:B$5001,2),IF(E500&gt;0,VLOOKUP(E500,Направление!A$1:B$4812,2))))))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14"/>
      <c r="C500" s="109"/>
      <c r="D500" s="110"/>
      <c r="E500" s="109">
        <v>53800</v>
      </c>
      <c r="F500" s="111"/>
      <c r="G500" s="369">
        <v>0</v>
      </c>
      <c r="H500" s="369">
        <f t="shared" ref="H500:I500" si="357">H501</f>
        <v>0</v>
      </c>
      <c r="I500" s="369">
        <f t="shared" si="357"/>
        <v>0</v>
      </c>
      <c r="J500" s="369">
        <v>0</v>
      </c>
      <c r="K500" s="286">
        <f t="shared" ref="K500:L500" si="358">K501</f>
        <v>0</v>
      </c>
      <c r="L500" s="286">
        <f t="shared" si="358"/>
        <v>0</v>
      </c>
    </row>
    <row r="501" spans="1:12" ht="31.5" hidden="1" x14ac:dyDescent="0.2">
      <c r="A501" s="113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IF(B501&gt;0,VLOOKUP(B501,КВСР!A237:B1402,2),IF(C501&gt;0,VLOOKUP(C501,КФСР!A237:B1749,2),IF(D501&gt;0,VLOOKUP(D501,Программа!A$1:B$5124,2),IF(F501&gt;0,VLOOKUP(F501,КВР!A$1:B$5001,2),IF(E501&gt;0,VLOOKUP(E501,Направление!A$1:B$4812,2))))))</f>
        <v>Социальное обеспечение и иные выплаты населению</v>
      </c>
      <c r="B501" s="114"/>
      <c r="C501" s="109"/>
      <c r="D501" s="110"/>
      <c r="E501" s="109"/>
      <c r="F501" s="111">
        <v>300</v>
      </c>
      <c r="G501" s="369">
        <v>0</v>
      </c>
      <c r="H501" s="369"/>
      <c r="I501" s="369">
        <f t="shared" si="355"/>
        <v>0</v>
      </c>
      <c r="J501" s="369">
        <v>0</v>
      </c>
      <c r="K501" s="286"/>
      <c r="L501" s="286">
        <f t="shared" si="356"/>
        <v>0</v>
      </c>
    </row>
    <row r="502" spans="1:12" ht="94.5" hidden="1" x14ac:dyDescent="0.2">
      <c r="A502" s="113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IF(B502&gt;0,VLOOKUP(B502,КВСР!A238:B1403,2),IF(C502&gt;0,VLOOKUP(C502,КФСР!A238:B1750,2),IF(D502&gt;0,VLOOKUP(D502,Программа!A$1:B$5124,2),IF(F502&gt;0,VLOOKUP(F502,КВР!A$1:B$5001,2),IF(E502&gt;0,VLOOKUP(E502,Направление!A$1:B$4812,2))))))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14"/>
      <c r="C502" s="109"/>
      <c r="D502" s="110"/>
      <c r="E502" s="109">
        <v>53850</v>
      </c>
      <c r="F502" s="111"/>
      <c r="G502" s="369">
        <v>0</v>
      </c>
      <c r="H502" s="369">
        <f t="shared" ref="H502" si="359">H503</f>
        <v>0</v>
      </c>
      <c r="I502" s="369">
        <f t="shared" si="355"/>
        <v>0</v>
      </c>
      <c r="J502" s="369">
        <v>0</v>
      </c>
      <c r="K502" s="286">
        <f t="shared" ref="K502" si="360">K503</f>
        <v>0</v>
      </c>
      <c r="L502" s="286">
        <f t="shared" si="356"/>
        <v>0</v>
      </c>
    </row>
    <row r="503" spans="1:12" ht="31.5" hidden="1" x14ac:dyDescent="0.2">
      <c r="A503" s="113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IF(B503&gt;0,VLOOKUP(B503,КВСР!A239:B1404,2),IF(C503&gt;0,VLOOKUP(C503,КФСР!A239:B1751,2),IF(D503&gt;0,VLOOKUP(D503,Программа!A$1:B$5124,2),IF(F503&gt;0,VLOOKUP(F503,КВР!A$1:B$5001,2),IF(E503&gt;0,VLOOKUP(E503,Направление!A$1:B$4812,2))))))</f>
        <v>Социальное обеспечение и иные выплаты населению</v>
      </c>
      <c r="B503" s="114"/>
      <c r="C503" s="109"/>
      <c r="D503" s="110"/>
      <c r="E503" s="109"/>
      <c r="F503" s="111">
        <v>300</v>
      </c>
      <c r="G503" s="369">
        <v>0</v>
      </c>
      <c r="H503" s="369"/>
      <c r="I503" s="369">
        <f t="shared" si="355"/>
        <v>0</v>
      </c>
      <c r="J503" s="369">
        <v>0</v>
      </c>
      <c r="K503" s="286"/>
      <c r="L503" s="286">
        <f t="shared" si="356"/>
        <v>0</v>
      </c>
    </row>
    <row r="504" spans="1:12" ht="63" hidden="1" x14ac:dyDescent="0.2">
      <c r="A504" s="113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14"/>
      <c r="C504" s="109"/>
      <c r="D504" s="110"/>
      <c r="E504" s="109">
        <v>70870</v>
      </c>
      <c r="F504" s="111"/>
      <c r="G504" s="369">
        <v>0</v>
      </c>
      <c r="H504" s="369">
        <f t="shared" ref="H504:L504" si="361">H505</f>
        <v>0</v>
      </c>
      <c r="I504" s="369">
        <f t="shared" si="361"/>
        <v>0</v>
      </c>
      <c r="J504" s="369">
        <v>0</v>
      </c>
      <c r="K504" s="286">
        <f t="shared" si="361"/>
        <v>0</v>
      </c>
      <c r="L504" s="286">
        <f t="shared" si="361"/>
        <v>0</v>
      </c>
    </row>
    <row r="505" spans="1:12" ht="110.25" hidden="1" x14ac:dyDescent="0.2">
      <c r="A505" s="113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14"/>
      <c r="C505" s="109"/>
      <c r="D505" s="110"/>
      <c r="E505" s="109"/>
      <c r="F505" s="111">
        <v>100</v>
      </c>
      <c r="G505" s="369">
        <v>0</v>
      </c>
      <c r="H505" s="369"/>
      <c r="I505" s="369">
        <f t="shared" si="355"/>
        <v>0</v>
      </c>
      <c r="J505" s="369">
        <v>0</v>
      </c>
      <c r="K505" s="286"/>
      <c r="L505" s="286">
        <f t="shared" si="356"/>
        <v>0</v>
      </c>
    </row>
    <row r="506" spans="1:12" ht="47.25" x14ac:dyDescent="0.2">
      <c r="A506" s="113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IF(B506&gt;0,VLOOKUP(B506,КВСР!A242:B1407,2),IF(C506&gt;0,VLOOKUP(C506,КФСР!A242:B1754,2),IF(D506&gt;0,VLOOKUP(D506,Программа!A$1:B$5124,2),IF(F506&gt;0,VLOOKUP(F506,КВР!A$1:B$5001,2),IF(E506&gt;0,VLOOKUP(E506,Направление!A$1:B$4812,2))))))</f>
        <v>Расходы на социальную поддержку отдельных категорий граждан в части ежемесячного пособия на ребенка</v>
      </c>
      <c r="B506" s="114"/>
      <c r="C506" s="109"/>
      <c r="D506" s="110"/>
      <c r="E506" s="109">
        <v>73040</v>
      </c>
      <c r="F506" s="111"/>
      <c r="G506" s="369">
        <v>29440000</v>
      </c>
      <c r="H506" s="369">
        <f t="shared" ref="H506:L506" si="362">H507+H508</f>
        <v>0</v>
      </c>
      <c r="I506" s="369">
        <f t="shared" si="362"/>
        <v>29440000</v>
      </c>
      <c r="J506" s="369">
        <v>29440000</v>
      </c>
      <c r="K506" s="369">
        <f t="shared" si="362"/>
        <v>0</v>
      </c>
      <c r="L506" s="369">
        <f t="shared" si="362"/>
        <v>29440000</v>
      </c>
    </row>
    <row r="507" spans="1:12" ht="63" x14ac:dyDescent="0.2">
      <c r="A507" s="113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IF(B507&gt;0,VLOOKUP(B507,КВСР!A243:B1408,2),IF(C507&gt;0,VLOOKUP(C507,КФСР!A243:B1755,2),IF(D507&gt;0,VLOOKUP(D507,Программа!A$1:B$5124,2),IF(F507&gt;0,VLOOKUP(F507,КВР!A$1:B$5001,2),IF(E507&gt;0,VLOOKUP(E507,Направление!A$1:B$4812,2))))))</f>
        <v xml:space="preserve">Закупка товаров, работ и услуг для обеспечения государственных (муниципальных) нужд
</v>
      </c>
      <c r="B507" s="114"/>
      <c r="C507" s="109"/>
      <c r="D507" s="110"/>
      <c r="E507" s="109"/>
      <c r="F507" s="111">
        <v>200</v>
      </c>
      <c r="G507" s="369">
        <v>2100</v>
      </c>
      <c r="H507" s="369"/>
      <c r="I507" s="369">
        <f>G507+H507</f>
        <v>2100</v>
      </c>
      <c r="J507" s="369">
        <v>2100</v>
      </c>
      <c r="K507" s="286"/>
      <c r="L507" s="286">
        <f>J507+K507</f>
        <v>2100</v>
      </c>
    </row>
    <row r="508" spans="1:12" ht="31.5" x14ac:dyDescent="0.2">
      <c r="A508" s="113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IF(B508&gt;0,VLOOKUP(B508,КВСР!A244:B1409,2),IF(C508&gt;0,VLOOKUP(C508,КФСР!A244:B1756,2),IF(D508&gt;0,VLOOKUP(D508,Программа!A$1:B$5124,2),IF(F508&gt;0,VLOOKUP(F508,КВР!A$1:B$5001,2),IF(E508&gt;0,VLOOKUP(E508,Направление!A$1:B$4812,2))))))</f>
        <v>Социальное обеспечение и иные выплаты населению</v>
      </c>
      <c r="B508" s="114"/>
      <c r="C508" s="109"/>
      <c r="D508" s="110"/>
      <c r="E508" s="109"/>
      <c r="F508" s="111">
        <v>300</v>
      </c>
      <c r="G508" s="369">
        <v>29437900</v>
      </c>
      <c r="H508" s="369"/>
      <c r="I508" s="369">
        <f>G508+H508</f>
        <v>29437900</v>
      </c>
      <c r="J508" s="369">
        <v>29437900</v>
      </c>
      <c r="K508" s="286"/>
      <c r="L508" s="286">
        <f>J508+K508</f>
        <v>29437900</v>
      </c>
    </row>
    <row r="509" spans="1:12" ht="94.5" hidden="1" x14ac:dyDescent="0.2">
      <c r="A509" s="113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14"/>
      <c r="C509" s="109"/>
      <c r="D509" s="110"/>
      <c r="E509" s="109">
        <v>75480</v>
      </c>
      <c r="F509" s="111"/>
      <c r="G509" s="369">
        <v>0</v>
      </c>
      <c r="H509" s="369">
        <f t="shared" ref="H509:L509" si="363">H510</f>
        <v>0</v>
      </c>
      <c r="I509" s="369">
        <f t="shared" si="363"/>
        <v>0</v>
      </c>
      <c r="J509" s="369">
        <v>0</v>
      </c>
      <c r="K509" s="286">
        <f t="shared" si="363"/>
        <v>0</v>
      </c>
      <c r="L509" s="286">
        <f t="shared" si="363"/>
        <v>0</v>
      </c>
    </row>
    <row r="510" spans="1:12" ht="63" hidden="1" x14ac:dyDescent="0.2">
      <c r="A510" s="113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IF(B510&gt;0,VLOOKUP(B510,КВСР!A241:B1406,2),IF(C510&gt;0,VLOOKUP(C510,КФСР!A241:B1753,2),IF(D510&gt;0,VLOOKUP(D510,Программа!A$1:B$5124,2),IF(F510&gt;0,VLOOKUP(F510,КВР!A$1:B$5001,2),IF(E510&gt;0,VLOOKUP(E510,Направление!A$1:B$4812,2))))))</f>
        <v xml:space="preserve">Закупка товаров, работ и услуг для обеспечения государственных (муниципальных) нужд
</v>
      </c>
      <c r="B510" s="114"/>
      <c r="C510" s="109"/>
      <c r="D510" s="110"/>
      <c r="E510" s="109"/>
      <c r="F510" s="111">
        <v>200</v>
      </c>
      <c r="G510" s="369">
        <v>0</v>
      </c>
      <c r="H510" s="369"/>
      <c r="I510" s="369">
        <f t="shared" si="355"/>
        <v>0</v>
      </c>
      <c r="J510" s="369">
        <v>0</v>
      </c>
      <c r="K510" s="286"/>
      <c r="L510" s="286">
        <f t="shared" si="356"/>
        <v>0</v>
      </c>
    </row>
    <row r="511" spans="1:12" ht="47.25" x14ac:dyDescent="0.2">
      <c r="A511" s="113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IF(B511&gt;0,VLOOKUP(B511,КВСР!A238:B1403,2),IF(C511&gt;0,VLOOKUP(C511,КФСР!A238:B1750,2),IF(D511&gt;0,VLOOKUP(D511,Программа!A$1:B$5124,2),IF(F511&gt;0,VLOOKUP(F511,КВР!A$1:B$5001,2),IF(E511&gt;0,VLOOKUP(E511,Направление!A$1:B$4812,2))))))</f>
        <v>Ежемесячная выплата на детей в возрасте от трех до семи лет включительно в части расходов по доставке</v>
      </c>
      <c r="B511" s="114"/>
      <c r="C511" s="109"/>
      <c r="D511" s="110"/>
      <c r="E511" s="109">
        <v>75510</v>
      </c>
      <c r="F511" s="111"/>
      <c r="G511" s="369">
        <v>1707913</v>
      </c>
      <c r="H511" s="369">
        <f t="shared" ref="H511:I511" si="364">H513+H512</f>
        <v>0</v>
      </c>
      <c r="I511" s="369">
        <f t="shared" si="364"/>
        <v>1707913</v>
      </c>
      <c r="J511" s="369">
        <v>1893689</v>
      </c>
      <c r="K511" s="286">
        <f t="shared" ref="K511:L511" si="365">K513+K512</f>
        <v>0</v>
      </c>
      <c r="L511" s="286">
        <f t="shared" si="365"/>
        <v>1893689</v>
      </c>
    </row>
    <row r="512" spans="1:12" ht="63" x14ac:dyDescent="0.2">
      <c r="A512" s="113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IF(B512&gt;0,VLOOKUP(B512,КВСР!A239:B1404,2),IF(C512&gt;0,VLOOKUP(C512,КФСР!A239:B1751,2),IF(D512&gt;0,VLOOKUP(D512,Программа!A$1:B$5124,2),IF(F512&gt;0,VLOOKUP(F512,КВР!A$1:B$5001,2),IF(E512&gt;0,VLOOKUP(E512,Направление!A$1:B$4812,2))))))</f>
        <v xml:space="preserve">Закупка товаров, работ и услуг для обеспечения государственных (муниципальных) нужд
</v>
      </c>
      <c r="B512" s="114"/>
      <c r="C512" s="109"/>
      <c r="D512" s="110"/>
      <c r="E512" s="109"/>
      <c r="F512" s="111">
        <v>200</v>
      </c>
      <c r="G512" s="369">
        <v>1707913</v>
      </c>
      <c r="H512" s="369"/>
      <c r="I512" s="369">
        <f t="shared" si="355"/>
        <v>1707913</v>
      </c>
      <c r="J512" s="369">
        <v>1893689</v>
      </c>
      <c r="K512" s="286"/>
      <c r="L512" s="286">
        <f t="shared" si="356"/>
        <v>1893689</v>
      </c>
    </row>
    <row r="513" spans="1:12" ht="31.5" hidden="1" x14ac:dyDescent="0.2">
      <c r="A513" s="113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IF(B513&gt;0,VLOOKUP(B513,КВСР!A239:B1404,2),IF(C513&gt;0,VLOOKUP(C513,КФСР!A239:B1751,2),IF(D513&gt;0,VLOOKUP(D513,Программа!A$1:B$5124,2),IF(F513&gt;0,VLOOKUP(F513,КВР!A$1:B$5001,2),IF(E513&gt;0,VLOOKUP(E513,Направление!A$1:B$4812,2))))))</f>
        <v>Социальное обеспечение и иные выплаты населению</v>
      </c>
      <c r="B513" s="114"/>
      <c r="C513" s="109"/>
      <c r="D513" s="110"/>
      <c r="E513" s="109"/>
      <c r="F513" s="111">
        <v>300</v>
      </c>
      <c r="G513" s="369">
        <v>0</v>
      </c>
      <c r="H513" s="369"/>
      <c r="I513" s="369">
        <f t="shared" si="355"/>
        <v>0</v>
      </c>
      <c r="J513" s="369">
        <v>0</v>
      </c>
      <c r="K513" s="286"/>
      <c r="L513" s="286">
        <f t="shared" si="356"/>
        <v>0</v>
      </c>
    </row>
    <row r="514" spans="1:12" ht="31.5" x14ac:dyDescent="0.2">
      <c r="A514" s="113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IF(B514&gt;0,VLOOKUP(B514,КВСР!A240:B1405,2),IF(C514&gt;0,VLOOKUP(C514,КФСР!A240:B1752,2),IF(D514&gt;0,VLOOKUP(D514,Программа!A$1:B$5124,2),IF(F514&gt;0,VLOOKUP(F514,КВР!A$1:B$5001,2),IF(E514&gt;0,VLOOKUP(E514,Направление!A$1:B$4812,2))))))</f>
        <v>Ежемесячная выплата на детей в возрасте от 3 до 7 лет включительно</v>
      </c>
      <c r="B514" s="114"/>
      <c r="C514" s="109"/>
      <c r="D514" s="110"/>
      <c r="E514" s="109" t="s">
        <v>1516</v>
      </c>
      <c r="F514" s="111"/>
      <c r="G514" s="369">
        <v>136433748</v>
      </c>
      <c r="H514" s="369">
        <f t="shared" ref="H514:L514" si="366">H515</f>
        <v>0</v>
      </c>
      <c r="I514" s="369">
        <f t="shared" si="366"/>
        <v>136433748</v>
      </c>
      <c r="J514" s="369">
        <v>151115300</v>
      </c>
      <c r="K514" s="369">
        <f t="shared" si="366"/>
        <v>0</v>
      </c>
      <c r="L514" s="369">
        <f t="shared" si="366"/>
        <v>151115300</v>
      </c>
    </row>
    <row r="515" spans="1:12" ht="31.5" x14ac:dyDescent="0.2">
      <c r="A515" s="113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IF(B515&gt;0,VLOOKUP(B515,КВСР!A241:B1406,2),IF(C515&gt;0,VLOOKUP(C515,КФСР!A241:B1753,2),IF(D515&gt;0,VLOOKUP(D515,Программа!A$1:B$5124,2),IF(F515&gt;0,VLOOKUP(F515,КВР!A$1:B$5001,2),IF(E515&gt;0,VLOOKUP(E515,Направление!A$1:B$4812,2))))))</f>
        <v>Социальное обеспечение и иные выплаты населению</v>
      </c>
      <c r="B515" s="114"/>
      <c r="C515" s="109"/>
      <c r="D515" s="110"/>
      <c r="E515" s="109"/>
      <c r="F515" s="111">
        <v>300</v>
      </c>
      <c r="G515" s="369">
        <v>136433748</v>
      </c>
      <c r="H515" s="369"/>
      <c r="I515" s="369">
        <f>G515+H515</f>
        <v>136433748</v>
      </c>
      <c r="J515" s="369">
        <v>151115300</v>
      </c>
      <c r="K515" s="286"/>
      <c r="L515" s="286">
        <f>J515+K515</f>
        <v>151115300</v>
      </c>
    </row>
    <row r="516" spans="1:12" ht="31.5" x14ac:dyDescent="0.2">
      <c r="A516" s="113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IF(B516&gt;0,VLOOKUP(B516,КВСР!A240:B1405,2),IF(C516&gt;0,VLOOKUP(C516,КФСР!A240:B1752,2),IF(D516&gt;0,VLOOKUP(D516,Программа!A$1:B$5124,2),IF(F516&gt;0,VLOOKUP(F516,КВР!A$1:B$5001,2),IF(E516&gt;0,VLOOKUP(E516,Направление!A$1:B$4812,2))))))</f>
        <v>Федеральный проект "Финансовая поддержка семей при рождении детей"</v>
      </c>
      <c r="B516" s="114"/>
      <c r="C516" s="109"/>
      <c r="D516" s="110" t="s">
        <v>1323</v>
      </c>
      <c r="E516" s="109"/>
      <c r="F516" s="111"/>
      <c r="G516" s="369">
        <v>108535180</v>
      </c>
      <c r="H516" s="369">
        <f>H517+H519+H521</f>
        <v>0</v>
      </c>
      <c r="I516" s="369">
        <f>I517+I519+I521</f>
        <v>108535180</v>
      </c>
      <c r="J516" s="369">
        <v>116994123</v>
      </c>
      <c r="K516" s="369">
        <f t="shared" ref="K516" si="367">K517+K519+K521</f>
        <v>0</v>
      </c>
      <c r="L516" s="369">
        <f t="shared" ref="L516" si="368">L517+L519+L521</f>
        <v>116994123</v>
      </c>
    </row>
    <row r="517" spans="1:12" ht="63" x14ac:dyDescent="0.2">
      <c r="A517" s="113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14"/>
      <c r="C517" s="109"/>
      <c r="D517" s="110"/>
      <c r="E517" s="109">
        <v>50840</v>
      </c>
      <c r="F517" s="111"/>
      <c r="G517" s="369">
        <v>52131216</v>
      </c>
      <c r="H517" s="369">
        <f t="shared" ref="H517:I517" si="369">H518</f>
        <v>0</v>
      </c>
      <c r="I517" s="369">
        <f t="shared" si="369"/>
        <v>52131216</v>
      </c>
      <c r="J517" s="369">
        <v>55281996</v>
      </c>
      <c r="K517" s="286">
        <f t="shared" ref="K517:L517" si="370">K518</f>
        <v>0</v>
      </c>
      <c r="L517" s="286">
        <f t="shared" si="370"/>
        <v>55281996</v>
      </c>
    </row>
    <row r="518" spans="1:12" ht="31.5" x14ac:dyDescent="0.2">
      <c r="A518" s="113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IF(B518&gt;0,VLOOKUP(B518,КВСР!A239:B1404,2),IF(C518&gt;0,VLOOKUP(C518,КФСР!A239:B1751,2),IF(D518&gt;0,VLOOKUP(D518,Программа!A$1:B$5124,2),IF(F518&gt;0,VLOOKUP(F518,КВР!A$1:B$5001,2),IF(E518&gt;0,VLOOKUP(E518,Направление!A$1:B$4812,2))))))</f>
        <v>Социальное обеспечение и иные выплаты населению</v>
      </c>
      <c r="B518" s="114"/>
      <c r="C518" s="109"/>
      <c r="D518" s="110"/>
      <c r="E518" s="109"/>
      <c r="F518" s="111">
        <v>300</v>
      </c>
      <c r="G518" s="369">
        <v>52131216</v>
      </c>
      <c r="H518" s="369"/>
      <c r="I518" s="369">
        <f t="shared" si="355"/>
        <v>52131216</v>
      </c>
      <c r="J518" s="369">
        <v>55281996</v>
      </c>
      <c r="K518" s="286"/>
      <c r="L518" s="286">
        <f t="shared" si="356"/>
        <v>55281996</v>
      </c>
    </row>
    <row r="519" spans="1:12" ht="47.25" x14ac:dyDescent="0.2">
      <c r="A519" s="113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IF(B519&gt;0,VLOOKUP(B519,КВСР!A240:B1405,2),IF(C519&gt;0,VLOOKUP(C519,КФСР!A240:B1752,2),IF(D519&gt;0,VLOOKUP(D519,Программа!A$1:B$5124,2),IF(F519&gt;0,VLOOKUP(F519,КВР!A$1:B$5001,2),IF(E519&gt;0,VLOOKUP(E519,Направление!A$1:B$4812,2))))))</f>
        <v xml:space="preserve">Расходы по осуществлению ежемесячной выплаты в связи с рождением (усыновлением) первого ребенка </v>
      </c>
      <c r="B519" s="114"/>
      <c r="C519" s="109"/>
      <c r="D519" s="110"/>
      <c r="E519" s="109">
        <v>55730</v>
      </c>
      <c r="F519" s="111"/>
      <c r="G519" s="369">
        <v>55756964</v>
      </c>
      <c r="H519" s="369">
        <f t="shared" ref="H519:I519" si="371">H520</f>
        <v>0</v>
      </c>
      <c r="I519" s="369">
        <f t="shared" si="371"/>
        <v>55756964</v>
      </c>
      <c r="J519" s="369">
        <v>60982127</v>
      </c>
      <c r="K519" s="369">
        <f t="shared" ref="K519:L519" si="372">K520</f>
        <v>0</v>
      </c>
      <c r="L519" s="369">
        <f t="shared" si="372"/>
        <v>60982127</v>
      </c>
    </row>
    <row r="520" spans="1:12" ht="31.5" x14ac:dyDescent="0.2">
      <c r="A520" s="113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IF(B520&gt;0,VLOOKUP(B520,КВСР!A241:B1406,2),IF(C520&gt;0,VLOOKUP(C520,КФСР!A241:B1753,2),IF(D520&gt;0,VLOOKUP(D520,Программа!A$1:B$5124,2),IF(F520&gt;0,VLOOKUP(F520,КВР!A$1:B$5001,2),IF(E520&gt;0,VLOOKUP(E520,Направление!A$1:B$4812,2))))))</f>
        <v>Социальное обеспечение и иные выплаты населению</v>
      </c>
      <c r="B520" s="114"/>
      <c r="C520" s="109"/>
      <c r="D520" s="110"/>
      <c r="E520" s="109"/>
      <c r="F520" s="111">
        <v>300</v>
      </c>
      <c r="G520" s="369">
        <v>55756964</v>
      </c>
      <c r="H520" s="369"/>
      <c r="I520" s="369">
        <f>G520+H520</f>
        <v>55756964</v>
      </c>
      <c r="J520" s="369">
        <v>60982127</v>
      </c>
      <c r="K520" s="286"/>
      <c r="L520" s="286">
        <f>J520+K520</f>
        <v>60982127</v>
      </c>
    </row>
    <row r="521" spans="1:12" ht="94.5" x14ac:dyDescent="0.2">
      <c r="A521" s="113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IF(B521&gt;0,VLOOKUP(B521,КВСР!A242:B1407,2),IF(C521&gt;0,VLOOKUP(C521,КФСР!A242:B1754,2),IF(D521&gt;0,VLOOKUP(D521,Программа!A$1:B$5124,2),IF(F521&gt;0,VLOOKUP(F521,КВР!A$1:B$5001,2),IF(E521&gt;0,VLOOKUP(E521,Направление!A$1:B$4812,2))))))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14"/>
      <c r="C521" s="109"/>
      <c r="D521" s="110"/>
      <c r="E521" s="109">
        <v>75480</v>
      </c>
      <c r="F521" s="111"/>
      <c r="G521" s="369">
        <v>647000</v>
      </c>
      <c r="H521" s="369">
        <f t="shared" ref="H521:L521" si="373">H522</f>
        <v>0</v>
      </c>
      <c r="I521" s="369">
        <f t="shared" si="373"/>
        <v>647000</v>
      </c>
      <c r="J521" s="369">
        <v>730000</v>
      </c>
      <c r="K521" s="369">
        <f t="shared" si="373"/>
        <v>0</v>
      </c>
      <c r="L521" s="369">
        <f t="shared" si="373"/>
        <v>730000</v>
      </c>
    </row>
    <row r="522" spans="1:12" ht="63" x14ac:dyDescent="0.2">
      <c r="A522" s="113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IF(B522&gt;0,VLOOKUP(B522,КВСР!A243:B1408,2),IF(C522&gt;0,VLOOKUP(C522,КФСР!A243:B1755,2),IF(D522&gt;0,VLOOKUP(D522,Программа!A$1:B$5124,2),IF(F522&gt;0,VLOOKUP(F522,КВР!A$1:B$5001,2),IF(E522&gt;0,VLOOKUP(E522,Направление!A$1:B$4812,2))))))</f>
        <v xml:space="preserve">Закупка товаров, работ и услуг для обеспечения государственных (муниципальных) нужд
</v>
      </c>
      <c r="B522" s="114"/>
      <c r="C522" s="109"/>
      <c r="D522" s="110"/>
      <c r="E522" s="109"/>
      <c r="F522" s="111">
        <v>200</v>
      </c>
      <c r="G522" s="369">
        <v>647000</v>
      </c>
      <c r="H522" s="369"/>
      <c r="I522" s="369">
        <f t="shared" ref="I522" si="374">G522+H522</f>
        <v>647000</v>
      </c>
      <c r="J522" s="369">
        <v>730000</v>
      </c>
      <c r="K522" s="286"/>
      <c r="L522" s="286">
        <f t="shared" ref="L522" si="375">J522+K522</f>
        <v>730000</v>
      </c>
    </row>
    <row r="523" spans="1:12" ht="31.5" x14ac:dyDescent="0.2">
      <c r="A523" s="113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IF(B523&gt;0,VLOOKUP(B523,КВСР!A238:B1403,2),IF(C523&gt;0,VLOOKUP(C523,КФСР!A238:B1750,2),IF(D523&gt;0,VLOOKUP(D523,Программа!A$1:B$5124,2),IF(F523&gt;0,VLOOKUP(F523,КВР!A$1:B$5001,2),IF(E523&gt;0,VLOOKUP(E523,Направление!A$1:B$4812,2))))))</f>
        <v>Другие вопросы в области социальной политики</v>
      </c>
      <c r="B523" s="114"/>
      <c r="C523" s="109">
        <v>1006</v>
      </c>
      <c r="D523" s="110"/>
      <c r="E523" s="109"/>
      <c r="F523" s="111"/>
      <c r="G523" s="369">
        <v>15965520</v>
      </c>
      <c r="H523" s="369">
        <f t="shared" ref="H523:I524" si="376">H524</f>
        <v>0</v>
      </c>
      <c r="I523" s="369">
        <f t="shared" si="376"/>
        <v>15965520</v>
      </c>
      <c r="J523" s="369">
        <v>15695520</v>
      </c>
      <c r="K523" s="286">
        <f t="shared" ref="K523:L524" si="377">K524</f>
        <v>0</v>
      </c>
      <c r="L523" s="286">
        <f t="shared" si="377"/>
        <v>15695520</v>
      </c>
    </row>
    <row r="524" spans="1:12" ht="47.25" x14ac:dyDescent="0.2">
      <c r="A524" s="113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IF(B524&gt;0,VLOOKUP(B524,КВСР!A239:B1404,2),IF(C524&gt;0,VLOOKUP(C524,КФСР!A239:B1751,2),IF(D524&gt;0,VLOOKUP(D524,Программа!A$1:B$5124,2),IF(F524&gt;0,VLOOKUP(F524,КВР!A$1:B$5001,2),IF(E524&gt;0,VLOOKUP(E524,Направление!A$1:B$4812,2))))))</f>
        <v>Муниципальная программа "Социальная поддержка населения Тутаевского муниципального района"</v>
      </c>
      <c r="B524" s="114"/>
      <c r="C524" s="109"/>
      <c r="D524" s="110" t="s">
        <v>376</v>
      </c>
      <c r="E524" s="109"/>
      <c r="F524" s="111"/>
      <c r="G524" s="369">
        <v>15965520</v>
      </c>
      <c r="H524" s="369">
        <f t="shared" si="376"/>
        <v>0</v>
      </c>
      <c r="I524" s="369">
        <f t="shared" si="376"/>
        <v>15965520</v>
      </c>
      <c r="J524" s="369">
        <v>15695520</v>
      </c>
      <c r="K524" s="286">
        <f t="shared" si="377"/>
        <v>0</v>
      </c>
      <c r="L524" s="286">
        <f t="shared" si="377"/>
        <v>15695520</v>
      </c>
    </row>
    <row r="525" spans="1:12" ht="47.25" x14ac:dyDescent="0.2">
      <c r="A525" s="113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IF(B525&gt;0,VLOOKUP(B525,КВСР!A240:B1405,2),IF(C525&gt;0,VLOOKUP(C525,КФСР!A240:B1752,2),IF(D525&gt;0,VLOOKUP(D525,Программа!A$1:B$5124,2),IF(F525&gt;0,VLOOKUP(F525,КВР!A$1:B$5001,2),IF(E525&gt;0,VLOOKUP(E525,Направление!A$1:B$4812,2))))))</f>
        <v xml:space="preserve">Ведомственная целевая программа «Социальная поддержка населения Тутаевского муниципального района» </v>
      </c>
      <c r="B525" s="114"/>
      <c r="C525" s="109"/>
      <c r="D525" s="110" t="s">
        <v>446</v>
      </c>
      <c r="E525" s="109"/>
      <c r="F525" s="111"/>
      <c r="G525" s="369">
        <v>15965520</v>
      </c>
      <c r="H525" s="369">
        <f t="shared" ref="H525:I525" si="378">H526+H533</f>
        <v>0</v>
      </c>
      <c r="I525" s="369">
        <f t="shared" si="378"/>
        <v>15965520</v>
      </c>
      <c r="J525" s="369">
        <v>15695520</v>
      </c>
      <c r="K525" s="286">
        <f t="shared" ref="K525:L525" si="379">K526+K533</f>
        <v>0</v>
      </c>
      <c r="L525" s="286">
        <f t="shared" si="379"/>
        <v>15695520</v>
      </c>
    </row>
    <row r="526" spans="1:12" ht="47.25" x14ac:dyDescent="0.2">
      <c r="A526" s="113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IF(B526&gt;0,VLOOKUP(B526,КВСР!A241:B1406,2),IF(C526&gt;0,VLOOKUP(C526,КФСР!A241:B1753,2),IF(D526&gt;0,VLOOKUP(D526,Программа!A$1:B$5124,2),IF(F526&gt;0,VLOOKUP(F526,КВР!A$1:B$5001,2),IF(E526&gt;0,VLOOKUP(E526,Направление!A$1:B$4812,2))))))</f>
        <v>Исполнение публичных обязательств по предоставлению выплат, пособий и компенсаций</v>
      </c>
      <c r="B526" s="114"/>
      <c r="C526" s="109"/>
      <c r="D526" s="110" t="s">
        <v>448</v>
      </c>
      <c r="E526" s="109"/>
      <c r="F526" s="111"/>
      <c r="G526" s="369">
        <v>15234520</v>
      </c>
      <c r="H526" s="369">
        <f t="shared" ref="H526:I526" si="380">H527+H529</f>
        <v>0</v>
      </c>
      <c r="I526" s="369">
        <f t="shared" si="380"/>
        <v>15234520</v>
      </c>
      <c r="J526" s="369">
        <v>14964520</v>
      </c>
      <c r="K526" s="286">
        <f t="shared" ref="K526:L526" si="381">K527+K529</f>
        <v>0</v>
      </c>
      <c r="L526" s="286">
        <f t="shared" si="381"/>
        <v>14964520</v>
      </c>
    </row>
    <row r="527" spans="1:12" ht="15.75" x14ac:dyDescent="0.2">
      <c r="A527" s="113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IF(B527&gt;0,VLOOKUP(B527,КВСР!A242:B1407,2),IF(C527&gt;0,VLOOKUP(C527,КФСР!A242:B1754,2),IF(D527&gt;0,VLOOKUP(D527,Программа!A$1:B$5124,2),IF(F527&gt;0,VLOOKUP(F527,КВР!A$1:B$5001,2),IF(E527&gt;0,VLOOKUP(E527,Направление!A$1:B$4812,2))))))</f>
        <v>Содержание центрального аппарата</v>
      </c>
      <c r="B527" s="114"/>
      <c r="C527" s="109"/>
      <c r="D527" s="110"/>
      <c r="E527" s="109">
        <v>12010</v>
      </c>
      <c r="F527" s="111"/>
      <c r="G527" s="369">
        <v>270000</v>
      </c>
      <c r="H527" s="369">
        <f t="shared" ref="H527:I527" si="382">H528</f>
        <v>0</v>
      </c>
      <c r="I527" s="369">
        <f t="shared" si="382"/>
        <v>270000</v>
      </c>
      <c r="J527" s="369">
        <v>0</v>
      </c>
      <c r="K527" s="286">
        <f t="shared" ref="K527:L527" si="383">K528</f>
        <v>0</v>
      </c>
      <c r="L527" s="286">
        <f t="shared" si="383"/>
        <v>0</v>
      </c>
    </row>
    <row r="528" spans="1:12" ht="110.25" x14ac:dyDescent="0.2">
      <c r="A528" s="113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14"/>
      <c r="C528" s="109"/>
      <c r="D528" s="110"/>
      <c r="E528" s="109"/>
      <c r="F528" s="111">
        <v>100</v>
      </c>
      <c r="G528" s="369">
        <v>270000</v>
      </c>
      <c r="H528" s="369"/>
      <c r="I528" s="369">
        <f t="shared" si="355"/>
        <v>270000</v>
      </c>
      <c r="J528" s="369">
        <v>0</v>
      </c>
      <c r="K528" s="369"/>
      <c r="L528" s="286">
        <f t="shared" si="356"/>
        <v>0</v>
      </c>
    </row>
    <row r="529" spans="1:12" ht="63" x14ac:dyDescent="0.2">
      <c r="A529" s="113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14"/>
      <c r="C529" s="109"/>
      <c r="D529" s="110"/>
      <c r="E529" s="109">
        <v>70870</v>
      </c>
      <c r="F529" s="111"/>
      <c r="G529" s="369">
        <v>14964520</v>
      </c>
      <c r="H529" s="369">
        <f t="shared" ref="H529:I529" si="384">H530+H531+H532</f>
        <v>0</v>
      </c>
      <c r="I529" s="369">
        <f t="shared" si="384"/>
        <v>14964520</v>
      </c>
      <c r="J529" s="369">
        <v>14964520</v>
      </c>
      <c r="K529" s="286">
        <f t="shared" ref="K529:L529" si="385">K530+K531+K532</f>
        <v>0</v>
      </c>
      <c r="L529" s="286">
        <f t="shared" si="385"/>
        <v>14964520</v>
      </c>
    </row>
    <row r="530" spans="1:12" ht="110.25" x14ac:dyDescent="0.2">
      <c r="A530" s="113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14"/>
      <c r="C530" s="109"/>
      <c r="D530" s="110"/>
      <c r="E530" s="109"/>
      <c r="F530" s="111">
        <v>100</v>
      </c>
      <c r="G530" s="369">
        <v>12792520</v>
      </c>
      <c r="H530" s="369"/>
      <c r="I530" s="369">
        <f t="shared" si="355"/>
        <v>12792520</v>
      </c>
      <c r="J530" s="369">
        <v>12792520</v>
      </c>
      <c r="K530" s="286"/>
      <c r="L530" s="286">
        <f t="shared" si="356"/>
        <v>12792520</v>
      </c>
    </row>
    <row r="531" spans="1:12" ht="63" x14ac:dyDescent="0.2">
      <c r="A531" s="113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IF(B531&gt;0,VLOOKUP(B531,КВСР!A246:B1411,2),IF(C531&gt;0,VLOOKUP(C531,КФСР!A246:B1758,2),IF(D531&gt;0,VLOOKUP(D531,Программа!A$1:B$5124,2),IF(F531&gt;0,VLOOKUP(F531,КВР!A$1:B$5001,2),IF(E531&gt;0,VLOOKUP(E531,Направление!A$1:B$4812,2))))))</f>
        <v xml:space="preserve">Закупка товаров, работ и услуг для обеспечения государственных (муниципальных) нужд
</v>
      </c>
      <c r="B531" s="114"/>
      <c r="C531" s="109"/>
      <c r="D531" s="110"/>
      <c r="E531" s="109"/>
      <c r="F531" s="111">
        <v>200</v>
      </c>
      <c r="G531" s="369">
        <v>2164000</v>
      </c>
      <c r="H531" s="369"/>
      <c r="I531" s="369">
        <f t="shared" si="355"/>
        <v>2164000</v>
      </c>
      <c r="J531" s="369">
        <v>2164000</v>
      </c>
      <c r="K531" s="369"/>
      <c r="L531" s="286">
        <f t="shared" si="356"/>
        <v>2164000</v>
      </c>
    </row>
    <row r="532" spans="1:12" ht="15.75" x14ac:dyDescent="0.2">
      <c r="A532" s="113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IF(B532&gt;0,VLOOKUP(B532,КВСР!A247:B1412,2),IF(C532&gt;0,VLOOKUP(C532,КФСР!A247:B1759,2),IF(D532&gt;0,VLOOKUP(D532,Программа!A$1:B$5124,2),IF(F532&gt;0,VLOOKUP(F532,КВР!A$1:B$5001,2),IF(E532&gt;0,VLOOKUP(E532,Направление!A$1:B$4812,2))))))</f>
        <v>Иные бюджетные ассигнования</v>
      </c>
      <c r="B532" s="114"/>
      <c r="C532" s="109"/>
      <c r="D532" s="110"/>
      <c r="E532" s="109"/>
      <c r="F532" s="111">
        <v>800</v>
      </c>
      <c r="G532" s="369">
        <v>8000</v>
      </c>
      <c r="H532" s="369"/>
      <c r="I532" s="369">
        <f t="shared" si="355"/>
        <v>8000</v>
      </c>
      <c r="J532" s="369">
        <v>8000</v>
      </c>
      <c r="K532" s="369"/>
      <c r="L532" s="286">
        <f t="shared" si="356"/>
        <v>8000</v>
      </c>
    </row>
    <row r="533" spans="1:12" ht="31.5" x14ac:dyDescent="0.2">
      <c r="A533" s="113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IF(B533&gt;0,VLOOKUP(B533,КВСР!A248:B1413,2),IF(C533&gt;0,VLOOKUP(C533,КФСР!A248:B1760,2),IF(D533&gt;0,VLOOKUP(D533,Программа!A$1:B$5124,2),IF(F533&gt;0,VLOOKUP(F533,КВР!A$1:B$5001,2),IF(E533&gt;0,VLOOKUP(E533,Направление!A$1:B$4812,2))))))</f>
        <v>Информационное обеспечение реализации мероприятий программы</v>
      </c>
      <c r="B533" s="114"/>
      <c r="C533" s="109"/>
      <c r="D533" s="110" t="s">
        <v>1167</v>
      </c>
      <c r="E533" s="109"/>
      <c r="F533" s="111"/>
      <c r="G533" s="369">
        <v>731000</v>
      </c>
      <c r="H533" s="369">
        <f t="shared" ref="H533:I534" si="386">H534</f>
        <v>0</v>
      </c>
      <c r="I533" s="369">
        <f t="shared" si="386"/>
        <v>731000</v>
      </c>
      <c r="J533" s="369">
        <v>731000</v>
      </c>
      <c r="K533" s="286">
        <f t="shared" ref="K533:L534" si="387">K534</f>
        <v>0</v>
      </c>
      <c r="L533" s="286">
        <f t="shared" si="387"/>
        <v>731000</v>
      </c>
    </row>
    <row r="534" spans="1:12" ht="63" x14ac:dyDescent="0.2">
      <c r="A534" s="113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IF(B534&gt;0,VLOOKUP(B534,КВСР!A249:B1414,2),IF(C534&gt;0,VLOOKUP(C534,КФСР!A249:B1761,2),IF(D534&gt;0,VLOOKUP(D534,Программа!A$1:B$5124,2),IF(F534&gt;0,VLOOKUP(F534,КВР!A$1:B$5001,2),IF(E534&gt;0,VLOOKUP(E534,Направление!A$1:B$4812,2))))))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14"/>
      <c r="C534" s="109"/>
      <c r="D534" s="110"/>
      <c r="E534" s="109">
        <v>70870</v>
      </c>
      <c r="F534" s="111"/>
      <c r="G534" s="369">
        <v>731000</v>
      </c>
      <c r="H534" s="369">
        <f t="shared" si="386"/>
        <v>0</v>
      </c>
      <c r="I534" s="369">
        <f t="shared" si="386"/>
        <v>731000</v>
      </c>
      <c r="J534" s="369">
        <v>731000</v>
      </c>
      <c r="K534" s="286">
        <f t="shared" si="387"/>
        <v>0</v>
      </c>
      <c r="L534" s="286">
        <f t="shared" si="387"/>
        <v>731000</v>
      </c>
    </row>
    <row r="535" spans="1:12" ht="63" x14ac:dyDescent="0.2">
      <c r="A535" s="113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IF(B535&gt;0,VLOOKUP(B535,КВСР!A250:B1415,2),IF(C535&gt;0,VLOOKUP(C535,КФСР!A250:B1762,2),IF(D535&gt;0,VLOOKUP(D535,Программа!A$1:B$5124,2),IF(F535&gt;0,VLOOKUP(F535,КВР!A$1:B$5001,2),IF(E535&gt;0,VLOOKUP(E535,Направление!A$1:B$4812,2))))))</f>
        <v xml:space="preserve">Закупка товаров, работ и услуг для обеспечения государственных (муниципальных) нужд
</v>
      </c>
      <c r="B535" s="114"/>
      <c r="C535" s="109"/>
      <c r="D535" s="110"/>
      <c r="E535" s="109"/>
      <c r="F535" s="111">
        <v>200</v>
      </c>
      <c r="G535" s="369">
        <v>731000</v>
      </c>
      <c r="H535" s="369"/>
      <c r="I535" s="369">
        <f t="shared" si="355"/>
        <v>731000</v>
      </c>
      <c r="J535" s="369">
        <v>731000</v>
      </c>
      <c r="K535" s="369"/>
      <c r="L535" s="286">
        <f t="shared" si="356"/>
        <v>731000</v>
      </c>
    </row>
    <row r="536" spans="1:12" ht="31.5" x14ac:dyDescent="0.2">
      <c r="A536" s="107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IF(B536&gt;0,VLOOKUP(B536,КВСР!A247:B1412,2),IF(C536&gt;0,VLOOKUP(C536,КФСР!A247:B1759,2),IF(D536&gt;0,VLOOKUP(D536,Программа!A$1:B$5124,2),IF(F536&gt;0,VLOOKUP(F536,КВР!A$1:B$5001,2),IF(E536&gt;0,VLOOKUP(E536,Направление!A$1:B$4812,2))))))</f>
        <v>Департамент финансов администрации ТМР</v>
      </c>
      <c r="B536" s="108">
        <v>955</v>
      </c>
      <c r="C536" s="109"/>
      <c r="D536" s="110"/>
      <c r="E536" s="109"/>
      <c r="F536" s="111"/>
      <c r="G536" s="372">
        <v>15000000</v>
      </c>
      <c r="H536" s="372">
        <f t="shared" ref="H536:L536" si="388">H537+H559+H563+H555+H546</f>
        <v>0</v>
      </c>
      <c r="I536" s="372">
        <f t="shared" si="388"/>
        <v>15000000</v>
      </c>
      <c r="J536" s="372">
        <v>0</v>
      </c>
      <c r="K536" s="368">
        <f t="shared" si="388"/>
        <v>0</v>
      </c>
      <c r="L536" s="368">
        <f t="shared" si="388"/>
        <v>0</v>
      </c>
    </row>
    <row r="537" spans="1:12" ht="63" x14ac:dyDescent="0.2">
      <c r="A537" s="113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14"/>
      <c r="C537" s="109">
        <v>106</v>
      </c>
      <c r="D537" s="110"/>
      <c r="E537" s="109"/>
      <c r="F537" s="111"/>
      <c r="G537" s="369">
        <v>8900000</v>
      </c>
      <c r="H537" s="369">
        <f t="shared" ref="H537:L537" si="389">H538</f>
        <v>0</v>
      </c>
      <c r="I537" s="369">
        <f t="shared" si="389"/>
        <v>8900000</v>
      </c>
      <c r="J537" s="369">
        <v>0</v>
      </c>
      <c r="K537" s="286">
        <f t="shared" si="389"/>
        <v>0</v>
      </c>
      <c r="L537" s="286">
        <f t="shared" si="389"/>
        <v>0</v>
      </c>
    </row>
    <row r="538" spans="1:12" ht="15.75" x14ac:dyDescent="0.2">
      <c r="A538" s="113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IF(B538&gt;0,VLOOKUP(B538,КВСР!A249:B1414,2),IF(C538&gt;0,VLOOKUP(C538,КФСР!A249:B1761,2),IF(D538&gt;0,VLOOKUP(D538,Программа!A$1:B$5124,2),IF(F538&gt;0,VLOOKUP(F538,КВР!A$1:B$5001,2),IF(E538&gt;0,VLOOKUP(E538,Направление!A$1:B$4812,2))))))</f>
        <v>Непрограммные расходы бюджета</v>
      </c>
      <c r="B538" s="114"/>
      <c r="C538" s="109"/>
      <c r="D538" s="110" t="s">
        <v>311</v>
      </c>
      <c r="E538" s="109"/>
      <c r="F538" s="111"/>
      <c r="G538" s="369">
        <v>8900000</v>
      </c>
      <c r="H538" s="369">
        <f t="shared" ref="H538:L538" si="390">H539</f>
        <v>0</v>
      </c>
      <c r="I538" s="369">
        <f t="shared" si="390"/>
        <v>8900000</v>
      </c>
      <c r="J538" s="369">
        <v>0</v>
      </c>
      <c r="K538" s="286">
        <f t="shared" si="390"/>
        <v>0</v>
      </c>
      <c r="L538" s="286">
        <f t="shared" si="390"/>
        <v>0</v>
      </c>
    </row>
    <row r="539" spans="1:12" ht="15.75" x14ac:dyDescent="0.2">
      <c r="A539" s="113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IF(B539&gt;0,VLOOKUP(B539,КВСР!A252:B1417,2),IF(C539&gt;0,VLOOKUP(C539,КФСР!A252:B1764,2),IF(D539&gt;0,VLOOKUP(D539,Программа!A$1:B$5124,2),IF(F539&gt;0,VLOOKUP(F539,КВР!A$1:B$5001,2),IF(E539&gt;0,VLOOKUP(E539,Направление!A$1:B$4812,2))))))</f>
        <v>Содержание центрального аппарата</v>
      </c>
      <c r="B539" s="114"/>
      <c r="C539" s="109"/>
      <c r="D539" s="110"/>
      <c r="E539" s="109">
        <v>12010</v>
      </c>
      <c r="F539" s="111"/>
      <c r="G539" s="369">
        <v>8900000</v>
      </c>
      <c r="H539" s="369">
        <f t="shared" ref="H539:L539" si="391">H540+H541+H542</f>
        <v>0</v>
      </c>
      <c r="I539" s="369">
        <f t="shared" si="391"/>
        <v>8900000</v>
      </c>
      <c r="J539" s="369">
        <v>0</v>
      </c>
      <c r="K539" s="286">
        <f t="shared" si="391"/>
        <v>0</v>
      </c>
      <c r="L539" s="286">
        <f t="shared" si="391"/>
        <v>0</v>
      </c>
    </row>
    <row r="540" spans="1:12" ht="110.25" x14ac:dyDescent="0.2">
      <c r="A540" s="113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14"/>
      <c r="C540" s="109"/>
      <c r="D540" s="110"/>
      <c r="E540" s="109"/>
      <c r="F540" s="111">
        <v>100</v>
      </c>
      <c r="G540" s="369">
        <v>7900000</v>
      </c>
      <c r="H540" s="369"/>
      <c r="I540" s="369">
        <f t="shared" si="355"/>
        <v>7900000</v>
      </c>
      <c r="J540" s="369">
        <v>0</v>
      </c>
      <c r="K540" s="286"/>
      <c r="L540" s="286">
        <f t="shared" si="356"/>
        <v>0</v>
      </c>
    </row>
    <row r="541" spans="1:12" ht="63" x14ac:dyDescent="0.2">
      <c r="A541" s="113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IF(B541&gt;0,VLOOKUP(B541,КВСР!A252:B1417,2),IF(C541&gt;0,VLOOKUP(C541,КФСР!A252:B1764,2),IF(D541&gt;0,VLOOKUP(D541,Программа!A$1:B$5124,2),IF(F541&gt;0,VLOOKUP(F541,КВР!A$1:B$5001,2),IF(E541&gt;0,VLOOKUP(E541,Направление!A$1:B$4812,2))))))</f>
        <v xml:space="preserve">Закупка товаров, работ и услуг для обеспечения государственных (муниципальных) нужд
</v>
      </c>
      <c r="B541" s="114"/>
      <c r="C541" s="109"/>
      <c r="D541" s="110"/>
      <c r="E541" s="109"/>
      <c r="F541" s="111">
        <v>200</v>
      </c>
      <c r="G541" s="369">
        <v>1000000</v>
      </c>
      <c r="H541" s="369"/>
      <c r="I541" s="369">
        <f t="shared" si="355"/>
        <v>1000000</v>
      </c>
      <c r="J541" s="369">
        <v>0</v>
      </c>
      <c r="K541" s="286"/>
      <c r="L541" s="286">
        <f t="shared" si="356"/>
        <v>0</v>
      </c>
    </row>
    <row r="542" spans="1:12" ht="15.75" hidden="1" x14ac:dyDescent="0.2">
      <c r="A542" s="113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IF(B542&gt;0,VLOOKUP(B542,КВСР!A253:B1418,2),IF(C542&gt;0,VLOOKUP(C542,КФСР!A253:B1765,2),IF(D542&gt;0,VLOOKUP(D542,Программа!A$1:B$5124,2),IF(F542&gt;0,VLOOKUP(F542,КВР!A$1:B$5001,2),IF(E542&gt;0,VLOOKUP(E542,Направление!A$1:B$4812,2))))))</f>
        <v>Иные бюджетные ассигнования</v>
      </c>
      <c r="B542" s="114"/>
      <c r="C542" s="109"/>
      <c r="D542" s="110"/>
      <c r="E542" s="109"/>
      <c r="F542" s="111">
        <v>800</v>
      </c>
      <c r="G542" s="369">
        <v>0</v>
      </c>
      <c r="H542" s="369"/>
      <c r="I542" s="369">
        <f t="shared" si="355"/>
        <v>0</v>
      </c>
      <c r="J542" s="369">
        <v>0</v>
      </c>
      <c r="K542" s="286"/>
      <c r="L542" s="286">
        <f t="shared" si="356"/>
        <v>0</v>
      </c>
    </row>
    <row r="543" spans="1:12" ht="47.25" hidden="1" x14ac:dyDescent="0.2">
      <c r="A543" s="113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IF(B543&gt;0,VLOOKUP(B543,КВСР!A252:B1417,2),IF(C543&gt;0,VLOOKUP(C543,КФСР!A252:B1764,2),IF(D543&gt;0,VLOOKUP(D543,Программа!A$1:B$5124,2),IF(F543&gt;0,VLOOKUP(F543,КВР!A$1:B$5001,2),IF(E543&gt;0,VLOOKUP(E543,Направление!A$1:B$4812,2))))))</f>
        <v>Содержание органов местного самоуправления за счет средств поселений</v>
      </c>
      <c r="B543" s="114"/>
      <c r="C543" s="109"/>
      <c r="D543" s="110"/>
      <c r="E543" s="109">
        <v>29016</v>
      </c>
      <c r="F543" s="111"/>
      <c r="G543" s="369">
        <v>0</v>
      </c>
      <c r="H543" s="369">
        <f t="shared" ref="H543" si="392">H544+H545</f>
        <v>0</v>
      </c>
      <c r="I543" s="369">
        <f t="shared" si="355"/>
        <v>0</v>
      </c>
      <c r="J543" s="369">
        <v>0</v>
      </c>
      <c r="K543" s="286">
        <f t="shared" ref="K543" si="393">K544+K545</f>
        <v>0</v>
      </c>
      <c r="L543" s="286">
        <f t="shared" si="356"/>
        <v>0</v>
      </c>
    </row>
    <row r="544" spans="1:12" ht="110.25" hidden="1" x14ac:dyDescent="0.2">
      <c r="A544" s="113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4"/>
      <c r="C544" s="109"/>
      <c r="D544" s="110"/>
      <c r="E544" s="109"/>
      <c r="F544" s="111">
        <v>100</v>
      </c>
      <c r="G544" s="369">
        <v>0</v>
      </c>
      <c r="H544" s="369"/>
      <c r="I544" s="369">
        <f t="shared" si="355"/>
        <v>0</v>
      </c>
      <c r="J544" s="369">
        <v>0</v>
      </c>
      <c r="K544" s="286"/>
      <c r="L544" s="286">
        <f t="shared" si="356"/>
        <v>0</v>
      </c>
    </row>
    <row r="545" spans="1:12" ht="63" hidden="1" x14ac:dyDescent="0.2">
      <c r="A545" s="113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IF(B545&gt;0,VLOOKUP(B545,КВСР!A254:B1419,2),IF(C545&gt;0,VLOOKUP(C545,КФСР!A254:B1766,2),IF(D545&gt;0,VLOOKUP(D545,Программа!A$1:B$5124,2),IF(F545&gt;0,VLOOKUP(F545,КВР!A$1:B$5001,2),IF(E545&gt;0,VLOOKUP(E545,Направление!A$1:B$4812,2))))))</f>
        <v xml:space="preserve">Закупка товаров, работ и услуг для обеспечения государственных (муниципальных) нужд
</v>
      </c>
      <c r="B545" s="114"/>
      <c r="C545" s="109"/>
      <c r="D545" s="110"/>
      <c r="E545" s="109"/>
      <c r="F545" s="111">
        <v>200</v>
      </c>
      <c r="G545" s="369">
        <v>0</v>
      </c>
      <c r="H545" s="369"/>
      <c r="I545" s="369">
        <f t="shared" si="355"/>
        <v>0</v>
      </c>
      <c r="J545" s="369">
        <v>0</v>
      </c>
      <c r="K545" s="286"/>
      <c r="L545" s="286">
        <f t="shared" si="356"/>
        <v>0</v>
      </c>
    </row>
    <row r="546" spans="1:12" ht="15.75" x14ac:dyDescent="0.2">
      <c r="A546" s="113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IF(B546&gt;0,VLOOKUP(B546,КВСР!A255:B1420,2),IF(C546&gt;0,VLOOKUP(C546,КФСР!A255:B1767,2),IF(D546&gt;0,VLOOKUP(D546,Программа!A$1:B$5124,2),IF(F546&gt;0,VLOOKUP(F546,КВР!A$1:B$5001,2),IF(E546&gt;0,VLOOKUP(E546,Направление!A$1:B$4812,2))))))</f>
        <v>Другие общегосударственные вопросы</v>
      </c>
      <c r="B546" s="114"/>
      <c r="C546" s="109">
        <v>113</v>
      </c>
      <c r="D546" s="110"/>
      <c r="E546" s="109"/>
      <c r="F546" s="111"/>
      <c r="G546" s="369">
        <v>6000000</v>
      </c>
      <c r="H546" s="369">
        <f t="shared" ref="H546:L546" si="394">H547+H551</f>
        <v>0</v>
      </c>
      <c r="I546" s="369">
        <f t="shared" si="394"/>
        <v>6000000</v>
      </c>
      <c r="J546" s="369">
        <v>0</v>
      </c>
      <c r="K546" s="286">
        <f t="shared" si="394"/>
        <v>0</v>
      </c>
      <c r="L546" s="286">
        <f t="shared" si="394"/>
        <v>0</v>
      </c>
    </row>
    <row r="547" spans="1:12" ht="63" x14ac:dyDescent="0.2">
      <c r="A547" s="113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IF(B547&gt;0,VLOOKUP(B547,КВСР!A256:B1421,2),IF(C547&gt;0,VLOOKUP(C547,КФСР!A256:B1768,2),IF(D547&gt;0,VLOOKUP(D547,Программа!A$1:B$5124,2),IF(F547&gt;0,VLOOKUP(F547,КВР!A$1:B$5001,2),IF(E547&gt;0,VLOOKUP(E547,Направление!A$1:B$4812,2))))))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14"/>
      <c r="C547" s="109"/>
      <c r="D547" s="110" t="s">
        <v>326</v>
      </c>
      <c r="E547" s="109"/>
      <c r="F547" s="111"/>
      <c r="G547" s="369">
        <v>1000000</v>
      </c>
      <c r="H547" s="369">
        <f t="shared" ref="H547:L549" si="395">H548</f>
        <v>0</v>
      </c>
      <c r="I547" s="369">
        <f t="shared" si="395"/>
        <v>1000000</v>
      </c>
      <c r="J547" s="369">
        <v>0</v>
      </c>
      <c r="K547" s="286">
        <f t="shared" si="395"/>
        <v>0</v>
      </c>
      <c r="L547" s="286">
        <f t="shared" si="395"/>
        <v>0</v>
      </c>
    </row>
    <row r="548" spans="1:12" ht="31.5" x14ac:dyDescent="0.2">
      <c r="A548" s="113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IF(B548&gt;0,VLOOKUP(B548,КВСР!A257:B1422,2),IF(C548&gt;0,VLOOKUP(C548,КФСР!A257:B1769,2),IF(D548&gt;0,VLOOKUP(D548,Программа!A$1:B$5124,2),IF(F548&gt;0,VLOOKUP(F548,КВР!A$1:B$5001,2),IF(E548&gt;0,VLOOKUP(E548,Направление!A$1:B$4812,2))))))</f>
        <v>Бесперебойное функционирование информационных систем</v>
      </c>
      <c r="B548" s="114"/>
      <c r="C548" s="109"/>
      <c r="D548" s="110" t="s">
        <v>360</v>
      </c>
      <c r="E548" s="109"/>
      <c r="F548" s="111"/>
      <c r="G548" s="369">
        <v>1000000</v>
      </c>
      <c r="H548" s="369">
        <f t="shared" si="395"/>
        <v>0</v>
      </c>
      <c r="I548" s="369">
        <f t="shared" si="395"/>
        <v>1000000</v>
      </c>
      <c r="J548" s="369">
        <v>0</v>
      </c>
      <c r="K548" s="286">
        <f t="shared" si="395"/>
        <v>0</v>
      </c>
      <c r="L548" s="286">
        <f t="shared" si="395"/>
        <v>0</v>
      </c>
    </row>
    <row r="549" spans="1:12" ht="31.5" x14ac:dyDescent="0.2">
      <c r="A549" s="113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IF(B549&gt;0,VLOOKUP(B549,КВСР!A258:B1423,2),IF(C549&gt;0,VLOOKUP(C549,КФСР!A258:B1770,2),IF(D549&gt;0,VLOOKUP(D549,Программа!A$1:B$5124,2),IF(F549&gt;0,VLOOKUP(F549,КВР!A$1:B$5001,2),IF(E549&gt;0,VLOOKUP(E549,Направление!A$1:B$4812,2))))))</f>
        <v>Расходы на проведение мероприятий по информатизации</v>
      </c>
      <c r="B549" s="114"/>
      <c r="C549" s="109"/>
      <c r="D549" s="110"/>
      <c r="E549" s="109">
        <v>12210</v>
      </c>
      <c r="F549" s="111"/>
      <c r="G549" s="369">
        <v>1000000</v>
      </c>
      <c r="H549" s="369">
        <f t="shared" si="395"/>
        <v>0</v>
      </c>
      <c r="I549" s="369">
        <f t="shared" si="395"/>
        <v>1000000</v>
      </c>
      <c r="J549" s="369">
        <v>0</v>
      </c>
      <c r="K549" s="286">
        <f t="shared" si="395"/>
        <v>0</v>
      </c>
      <c r="L549" s="286">
        <f t="shared" si="395"/>
        <v>0</v>
      </c>
    </row>
    <row r="550" spans="1:12" ht="63" x14ac:dyDescent="0.2">
      <c r="A550" s="113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IF(B550&gt;0,VLOOKUP(B550,КВСР!A258:B1423,2),IF(C550&gt;0,VLOOKUP(C550,КФСР!A258:B1770,2),IF(D550&gt;0,VLOOKUP(D550,Программа!A$1:B$5124,2),IF(F550&gt;0,VLOOKUP(F550,КВР!A$1:B$5001,2),IF(E550&gt;0,VLOOKUP(E550,Направление!A$1:B$4812,2))))))</f>
        <v xml:space="preserve">Закупка товаров, работ и услуг для обеспечения государственных (муниципальных) нужд
</v>
      </c>
      <c r="B550" s="114"/>
      <c r="C550" s="109"/>
      <c r="D550" s="110"/>
      <c r="E550" s="109"/>
      <c r="F550" s="111">
        <v>200</v>
      </c>
      <c r="G550" s="369">
        <v>1000000</v>
      </c>
      <c r="H550" s="369"/>
      <c r="I550" s="369">
        <f t="shared" si="355"/>
        <v>1000000</v>
      </c>
      <c r="J550" s="369">
        <v>0</v>
      </c>
      <c r="K550" s="286"/>
      <c r="L550" s="286">
        <f t="shared" si="356"/>
        <v>0</v>
      </c>
    </row>
    <row r="551" spans="1:12" ht="15.75" x14ac:dyDescent="0.2">
      <c r="A551" s="113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IF(B551&gt;0,VLOOKUP(B551,КВСР!A259:B1424,2),IF(C551&gt;0,VLOOKUP(C551,КФСР!A259:B1771,2),IF(D551&gt;0,VLOOKUP(D551,Программа!A$1:B$5124,2),IF(F551&gt;0,VLOOKUP(F551,КВР!A$1:B$5001,2),IF(E551&gt;0,VLOOKUP(E551,Направление!A$1:B$4812,2))))))</f>
        <v>Непрограммные расходы бюджета</v>
      </c>
      <c r="B551" s="114"/>
      <c r="C551" s="109"/>
      <c r="D551" s="110" t="s">
        <v>311</v>
      </c>
      <c r="E551" s="109"/>
      <c r="F551" s="111"/>
      <c r="G551" s="369">
        <v>5000000</v>
      </c>
      <c r="H551" s="369">
        <f t="shared" ref="H551:K551" si="396">H552</f>
        <v>0</v>
      </c>
      <c r="I551" s="369">
        <f t="shared" si="396"/>
        <v>5000000</v>
      </c>
      <c r="J551" s="369">
        <v>0</v>
      </c>
      <c r="K551" s="286">
        <f t="shared" si="396"/>
        <v>0</v>
      </c>
      <c r="L551" s="286">
        <f t="shared" si="356"/>
        <v>0</v>
      </c>
    </row>
    <row r="552" spans="1:12" ht="47.25" x14ac:dyDescent="0.2">
      <c r="A552" s="113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IF(B552&gt;0,VLOOKUP(B552,КВСР!A260:B1425,2),IF(C552&gt;0,VLOOKUP(C552,КФСР!A260:B1772,2),IF(D552&gt;0,VLOOKUP(D552,Программа!A$1:B$5124,2),IF(F552&gt;0,VLOOKUP(F552,КВР!A$1:B$5001,2),IF(E552&gt;0,VLOOKUP(E552,Направление!A$1:B$4812,2))))))</f>
        <v>Обеспечение деятельности подведомственных учреждений органов местного самоуправления</v>
      </c>
      <c r="B552" s="114"/>
      <c r="C552" s="109"/>
      <c r="D552" s="110"/>
      <c r="E552" s="109">
        <v>12100</v>
      </c>
      <c r="F552" s="111"/>
      <c r="G552" s="369">
        <v>5000000</v>
      </c>
      <c r="H552" s="369">
        <f t="shared" ref="H552:K552" si="397">H553+H554</f>
        <v>0</v>
      </c>
      <c r="I552" s="369">
        <f t="shared" ref="I552" si="398">I553+I554</f>
        <v>5000000</v>
      </c>
      <c r="J552" s="369">
        <v>0</v>
      </c>
      <c r="K552" s="286">
        <f t="shared" si="397"/>
        <v>0</v>
      </c>
      <c r="L552" s="286">
        <f t="shared" si="356"/>
        <v>0</v>
      </c>
    </row>
    <row r="553" spans="1:12" ht="110.25" x14ac:dyDescent="0.2">
      <c r="A553" s="113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14"/>
      <c r="C553" s="109"/>
      <c r="D553" s="110"/>
      <c r="E553" s="109"/>
      <c r="F553" s="111">
        <v>100</v>
      </c>
      <c r="G553" s="369">
        <v>4400000</v>
      </c>
      <c r="H553" s="369"/>
      <c r="I553" s="369">
        <f t="shared" si="355"/>
        <v>4400000</v>
      </c>
      <c r="J553" s="369">
        <v>0</v>
      </c>
      <c r="K553" s="286"/>
      <c r="L553" s="286">
        <f t="shared" si="356"/>
        <v>0</v>
      </c>
    </row>
    <row r="554" spans="1:12" ht="63" x14ac:dyDescent="0.2">
      <c r="A554" s="113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IF(B554&gt;0,VLOOKUP(B554,КВСР!A262:B1427,2),IF(C554&gt;0,VLOOKUP(C554,КФСР!A262:B1774,2),IF(D554&gt;0,VLOOKUP(D554,Программа!A$1:B$5124,2),IF(F554&gt;0,VLOOKUP(F554,КВР!A$1:B$5001,2),IF(E554&gt;0,VLOOKUP(E554,Направление!A$1:B$4812,2))))))</f>
        <v xml:space="preserve">Закупка товаров, работ и услуг для обеспечения государственных (муниципальных) нужд
</v>
      </c>
      <c r="B554" s="114"/>
      <c r="C554" s="109"/>
      <c r="D554" s="110"/>
      <c r="E554" s="109"/>
      <c r="F554" s="111">
        <v>200</v>
      </c>
      <c r="G554" s="369">
        <v>600000</v>
      </c>
      <c r="H554" s="369"/>
      <c r="I554" s="369">
        <f t="shared" si="355"/>
        <v>600000</v>
      </c>
      <c r="J554" s="369">
        <v>0</v>
      </c>
      <c r="K554" s="286"/>
      <c r="L554" s="286">
        <f t="shared" si="356"/>
        <v>0</v>
      </c>
    </row>
    <row r="555" spans="1:12" ht="31.5" hidden="1" x14ac:dyDescent="0.2">
      <c r="A555" s="113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IF(B555&gt;0,VLOOKUP(B555,КВСР!A258:B1423,2),IF(C555&gt;0,VLOOKUP(C555,КФСР!A258:B1770,2),IF(D555&gt;0,VLOOKUP(D555,Программа!A$1:B$5124,2),IF(F555&gt;0,VLOOKUP(F555,КВР!A$1:B$5001,2),IF(E555&gt;0,VLOOKUP(E555,Направление!A$1:B$4812,2))))))</f>
        <v>Мобилизационная и вневойсковая подготовка</v>
      </c>
      <c r="B555" s="114"/>
      <c r="C555" s="109">
        <v>203</v>
      </c>
      <c r="D555" s="110"/>
      <c r="E555" s="109"/>
      <c r="F555" s="111"/>
      <c r="G555" s="369">
        <v>0</v>
      </c>
      <c r="H555" s="369">
        <f t="shared" ref="H555:H557" si="399">H556</f>
        <v>0</v>
      </c>
      <c r="I555" s="369">
        <f t="shared" si="355"/>
        <v>0</v>
      </c>
      <c r="J555" s="369">
        <v>0</v>
      </c>
      <c r="K555" s="286">
        <f t="shared" ref="K555:K557" si="400">K556</f>
        <v>0</v>
      </c>
      <c r="L555" s="286">
        <f t="shared" si="356"/>
        <v>0</v>
      </c>
    </row>
    <row r="556" spans="1:12" ht="31.5" hidden="1" x14ac:dyDescent="0.2">
      <c r="A556" s="113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IF(B556&gt;0,VLOOKUP(B556,КВСР!A259:B1424,2),IF(C556&gt;0,VLOOKUP(C556,КФСР!A259:B1771,2),IF(D556&gt;0,VLOOKUP(D556,Программа!A$1:B$5124,2),IF(F556&gt;0,VLOOKUP(F556,КВР!A$1:B$5001,2),IF(E556&gt;0,VLOOKUP(E556,Направление!A$1:B$4812,2))))))</f>
        <v>Межбюджетные трансферты  поселениям района</v>
      </c>
      <c r="B556" s="114"/>
      <c r="C556" s="109"/>
      <c r="D556" s="110" t="s">
        <v>478</v>
      </c>
      <c r="E556" s="109"/>
      <c r="F556" s="111"/>
      <c r="G556" s="369">
        <v>0</v>
      </c>
      <c r="H556" s="369">
        <f t="shared" si="399"/>
        <v>0</v>
      </c>
      <c r="I556" s="369">
        <f t="shared" si="355"/>
        <v>0</v>
      </c>
      <c r="J556" s="369">
        <v>0</v>
      </c>
      <c r="K556" s="286">
        <f t="shared" si="400"/>
        <v>0</v>
      </c>
      <c r="L556" s="286">
        <f t="shared" si="356"/>
        <v>0</v>
      </c>
    </row>
    <row r="557" spans="1:12" ht="47.25" hidden="1" x14ac:dyDescent="0.2">
      <c r="A557" s="113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IF(B557&gt;0,VLOOKUP(B557,КВСР!A260:B1425,2),IF(C557&gt;0,VLOOKUP(C557,КФСР!A260:B1772,2),IF(D557&gt;0,VLOOKUP(D557,Программа!A$1:B$5124,2),IF(F557&gt;0,VLOOKUP(F557,КВР!A$1:B$5001,2),IF(E557&gt;0,VLOOKUP(E557,Направление!A$1:B$4812,2))))))</f>
        <v>Субвенция  на осуществление первичного воинского учета на территориях, где отсутствуют военные комиссариаты</v>
      </c>
      <c r="B557" s="114"/>
      <c r="C557" s="109"/>
      <c r="D557" s="110"/>
      <c r="E557" s="109">
        <v>51180</v>
      </c>
      <c r="F557" s="111"/>
      <c r="G557" s="369">
        <v>0</v>
      </c>
      <c r="H557" s="369">
        <f t="shared" si="399"/>
        <v>0</v>
      </c>
      <c r="I557" s="369">
        <f t="shared" si="355"/>
        <v>0</v>
      </c>
      <c r="J557" s="369">
        <v>0</v>
      </c>
      <c r="K557" s="286">
        <f t="shared" si="400"/>
        <v>0</v>
      </c>
      <c r="L557" s="286">
        <f t="shared" si="356"/>
        <v>0</v>
      </c>
    </row>
    <row r="558" spans="1:12" ht="15.75" hidden="1" x14ac:dyDescent="0.2">
      <c r="A558" s="113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IF(B558&gt;0,VLOOKUP(B558,КВСР!A261:B1426,2),IF(C558&gt;0,VLOOKUP(C558,КФСР!A261:B1773,2),IF(D558&gt;0,VLOOKUP(D558,Программа!A$1:B$5124,2),IF(F558&gt;0,VLOOKUP(F558,КВР!A$1:B$5001,2),IF(E558&gt;0,VLOOKUP(E558,Направление!A$1:B$4812,2))))))</f>
        <v xml:space="preserve"> Межбюджетные трансферты</v>
      </c>
      <c r="B558" s="114"/>
      <c r="C558" s="109"/>
      <c r="D558" s="111"/>
      <c r="E558" s="109"/>
      <c r="F558" s="111">
        <v>500</v>
      </c>
      <c r="G558" s="369">
        <v>0</v>
      </c>
      <c r="H558" s="369"/>
      <c r="I558" s="369">
        <f t="shared" si="355"/>
        <v>0</v>
      </c>
      <c r="J558" s="369">
        <v>0</v>
      </c>
      <c r="K558" s="286"/>
      <c r="L558" s="286">
        <f t="shared" si="356"/>
        <v>0</v>
      </c>
    </row>
    <row r="559" spans="1:12" ht="31.5" x14ac:dyDescent="0.2">
      <c r="A559" s="113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IF(B559&gt;0,VLOOKUP(B559,КВСР!A262:B1427,2),IF(C559&gt;0,VLOOKUP(C559,КФСР!A262:B1774,2),IF(D559&gt;0,VLOOKUP(D559,Программа!A$1:B$5124,2),IF(F559&gt;0,VLOOKUP(F559,КВР!A$1:B$5001,2),IF(E559&gt;0,VLOOKUP(E559,Направление!A$1:B$4812,2))))))</f>
        <v>Обслуживание государственного (муниципального) внутреннего долга</v>
      </c>
      <c r="B559" s="114"/>
      <c r="C559" s="109">
        <v>1301</v>
      </c>
      <c r="D559" s="110"/>
      <c r="E559" s="109"/>
      <c r="F559" s="111"/>
      <c r="G559" s="369">
        <v>100000</v>
      </c>
      <c r="H559" s="369">
        <f t="shared" ref="H559:I560" si="401">H560</f>
        <v>0</v>
      </c>
      <c r="I559" s="369">
        <f t="shared" si="401"/>
        <v>100000</v>
      </c>
      <c r="J559" s="369">
        <v>0</v>
      </c>
      <c r="K559" s="286">
        <f t="shared" ref="K559:L561" si="402">K560</f>
        <v>0</v>
      </c>
      <c r="L559" s="286">
        <f t="shared" si="402"/>
        <v>0</v>
      </c>
    </row>
    <row r="560" spans="1:12" ht="15.75" x14ac:dyDescent="0.2">
      <c r="A560" s="113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IF(B560&gt;0,VLOOKUP(B560,КВСР!A263:B1428,2),IF(C560&gt;0,VLOOKUP(C560,КФСР!A263:B1775,2),IF(D560&gt;0,VLOOKUP(D560,Программа!A$1:B$5124,2),IF(F560&gt;0,VLOOKUP(F560,КВР!A$1:B$5001,2),IF(E560&gt;0,VLOOKUP(E560,Направление!A$1:B$4812,2))))))</f>
        <v>Непрограммные расходы бюджета</v>
      </c>
      <c r="B560" s="114"/>
      <c r="C560" s="109"/>
      <c r="D560" s="110" t="s">
        <v>311</v>
      </c>
      <c r="E560" s="109"/>
      <c r="F560" s="111"/>
      <c r="G560" s="369">
        <v>100000</v>
      </c>
      <c r="H560" s="369">
        <f t="shared" si="401"/>
        <v>0</v>
      </c>
      <c r="I560" s="369">
        <f t="shared" si="401"/>
        <v>100000</v>
      </c>
      <c r="J560" s="369">
        <v>0</v>
      </c>
      <c r="K560" s="286">
        <f t="shared" si="402"/>
        <v>0</v>
      </c>
      <c r="L560" s="286">
        <f t="shared" si="402"/>
        <v>0</v>
      </c>
    </row>
    <row r="561" spans="1:12" ht="31.5" x14ac:dyDescent="0.2">
      <c r="A561" s="113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IF(B561&gt;0,VLOOKUP(B561,КВСР!A264:B1429,2),IF(C561&gt;0,VLOOKUP(C561,КФСР!A264:B1776,2),IF(D561&gt;0,VLOOKUP(D561,Программа!A$1:B$5124,2),IF(F561&gt;0,VLOOKUP(F561,КВР!A$1:B$5001,2),IF(E561&gt;0,VLOOKUP(E561,Направление!A$1:B$4812,2))))))</f>
        <v>Процентные платежи по обслуживанию муниципального долга</v>
      </c>
      <c r="B561" s="114"/>
      <c r="C561" s="109"/>
      <c r="D561" s="110"/>
      <c r="E561" s="109">
        <v>12800</v>
      </c>
      <c r="F561" s="111"/>
      <c r="G561" s="369">
        <v>100000</v>
      </c>
      <c r="H561" s="369">
        <f t="shared" ref="H561:I561" si="403">H562</f>
        <v>0</v>
      </c>
      <c r="I561" s="369">
        <f t="shared" si="403"/>
        <v>100000</v>
      </c>
      <c r="J561" s="369">
        <v>0</v>
      </c>
      <c r="K561" s="286">
        <f t="shared" si="402"/>
        <v>0</v>
      </c>
      <c r="L561" s="286">
        <f t="shared" si="402"/>
        <v>0</v>
      </c>
    </row>
    <row r="562" spans="1:12" ht="31.5" x14ac:dyDescent="0.2">
      <c r="A562" s="113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IF(B562&gt;0,VLOOKUP(B562,КВСР!A265:B1430,2),IF(C562&gt;0,VLOOKUP(C562,КФСР!A265:B1777,2),IF(D562&gt;0,VLOOKUP(D562,Программа!A$1:B$5124,2),IF(F562&gt;0,VLOOKUP(F562,КВР!A$1:B$5001,2),IF(E562&gt;0,VLOOKUP(E562,Направление!A$1:B$4812,2))))))</f>
        <v>Обслуживание государственного долга Российской Федерации</v>
      </c>
      <c r="B562" s="114"/>
      <c r="C562" s="109"/>
      <c r="D562" s="110"/>
      <c r="E562" s="109"/>
      <c r="F562" s="111">
        <v>700</v>
      </c>
      <c r="G562" s="369">
        <v>100000</v>
      </c>
      <c r="H562" s="369"/>
      <c r="I562" s="369">
        <f t="shared" si="355"/>
        <v>100000</v>
      </c>
      <c r="J562" s="369">
        <v>0</v>
      </c>
      <c r="K562" s="286"/>
      <c r="L562" s="286">
        <f t="shared" si="356"/>
        <v>0</v>
      </c>
    </row>
    <row r="563" spans="1:12" ht="63" hidden="1" x14ac:dyDescent="0.2">
      <c r="A563" s="113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IF(B563&gt;0,VLOOKUP(B563,КВСР!A265:B1430,2),IF(C563&gt;0,VLOOKUP(C563,КФСР!A265:B1777,2),IF(D563&gt;0,VLOOKUP(D563,Программа!A$1:B$5124,2),IF(F563&gt;0,VLOOKUP(F563,КВР!A$1:B$5001,2),IF(E563&gt;0,VLOOKUP(E563,Направление!A$1:B$4812,2))))))</f>
        <v>Дотации на выравнивание бюджетной обеспеченности субъектов Российской Федерации и муниципальных образований</v>
      </c>
      <c r="B563" s="114"/>
      <c r="C563" s="109">
        <v>1401</v>
      </c>
      <c r="D563" s="110"/>
      <c r="E563" s="109"/>
      <c r="F563" s="111"/>
      <c r="G563" s="369">
        <v>0</v>
      </c>
      <c r="H563" s="374">
        <f t="shared" ref="H563" si="404">H564</f>
        <v>0</v>
      </c>
      <c r="I563" s="374">
        <f t="shared" si="355"/>
        <v>0</v>
      </c>
      <c r="J563" s="374">
        <v>0</v>
      </c>
      <c r="K563" s="275">
        <f t="shared" ref="K563" si="405">K564</f>
        <v>0</v>
      </c>
      <c r="L563" s="275">
        <f t="shared" si="356"/>
        <v>0</v>
      </c>
    </row>
    <row r="564" spans="1:12" ht="31.5" hidden="1" x14ac:dyDescent="0.2">
      <c r="A564" s="113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IF(B564&gt;0,VLOOKUP(B564,КВСР!A270:B1435,2),IF(C564&gt;0,VLOOKUP(C564,КФСР!A270:B1782,2),IF(D564&gt;0,VLOOKUP(D564,Программа!A$1:B$5124,2),IF(F564&gt;0,VLOOKUP(F564,КВР!A$1:B$5001,2),IF(E564&gt;0,VLOOKUP(E564,Направление!A$1:B$4812,2))))))</f>
        <v>Межбюджетные трансферты  поселениям района</v>
      </c>
      <c r="B564" s="114"/>
      <c r="C564" s="109"/>
      <c r="D564" s="110" t="s">
        <v>478</v>
      </c>
      <c r="E564" s="109"/>
      <c r="F564" s="111"/>
      <c r="G564" s="369">
        <v>0</v>
      </c>
      <c r="H564" s="374"/>
      <c r="I564" s="374">
        <f t="shared" si="355"/>
        <v>0</v>
      </c>
      <c r="J564" s="374">
        <v>0</v>
      </c>
      <c r="K564" s="275">
        <f t="shared" ref="K564" si="406">K565+K567</f>
        <v>0</v>
      </c>
      <c r="L564" s="275">
        <f t="shared" si="356"/>
        <v>0</v>
      </c>
    </row>
    <row r="565" spans="1:12" ht="47.25" hidden="1" x14ac:dyDescent="0.2">
      <c r="A565" s="113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IF(B565&gt;0,VLOOKUP(B565,КВСР!A272:B1437,2),IF(C565&gt;0,VLOOKUP(C565,КФСР!A272:B1784,2),IF(D565&gt;0,VLOOKUP(D565,Программа!A$1:B$5124,2),IF(F565&gt;0,VLOOKUP(F565,КВР!A$1:B$5001,2),IF(E565&gt;0,VLOOKUP(E565,Направление!A$1:B$4812,2))))))</f>
        <v>Дотации поселениям района  на выравнивание бюджетной обеспеченности</v>
      </c>
      <c r="B565" s="114"/>
      <c r="C565" s="109"/>
      <c r="D565" s="110"/>
      <c r="E565" s="109">
        <v>10800</v>
      </c>
      <c r="F565" s="111"/>
      <c r="G565" s="369">
        <v>0</v>
      </c>
      <c r="H565" s="374">
        <f t="shared" ref="H565" si="407">H566</f>
        <v>0</v>
      </c>
      <c r="I565" s="374">
        <f t="shared" si="355"/>
        <v>0</v>
      </c>
      <c r="J565" s="374">
        <v>0</v>
      </c>
      <c r="K565" s="275">
        <f t="shared" ref="K565" si="408">K566</f>
        <v>0</v>
      </c>
      <c r="L565" s="275">
        <f t="shared" si="356"/>
        <v>0</v>
      </c>
    </row>
    <row r="566" spans="1:12" ht="15.75" hidden="1" x14ac:dyDescent="0.2">
      <c r="A566" s="113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IF(B566&gt;0,VLOOKUP(B566,КВСР!A273:B1438,2),IF(C566&gt;0,VLOOKUP(C566,КФСР!A273:B1785,2),IF(D566&gt;0,VLOOKUP(D566,Программа!A$1:B$5124,2),IF(F566&gt;0,VLOOKUP(F566,КВР!A$1:B$5001,2),IF(E566&gt;0,VLOOKUP(E566,Направление!A$1:B$4812,2))))))</f>
        <v xml:space="preserve"> Межбюджетные трансферты</v>
      </c>
      <c r="B566" s="114"/>
      <c r="C566" s="109"/>
      <c r="D566" s="110"/>
      <c r="E566" s="109"/>
      <c r="F566" s="111">
        <v>500</v>
      </c>
      <c r="G566" s="528">
        <v>0</v>
      </c>
      <c r="H566" s="374"/>
      <c r="I566" s="374">
        <f t="shared" si="355"/>
        <v>0</v>
      </c>
      <c r="J566" s="374">
        <v>0</v>
      </c>
      <c r="K566" s="275"/>
      <c r="L566" s="275">
        <f t="shared" si="356"/>
        <v>0</v>
      </c>
    </row>
    <row r="567" spans="1:12" ht="47.25" hidden="1" x14ac:dyDescent="0.2">
      <c r="A567" s="113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IF(B567&gt;0,VLOOKUP(B567,КВСР!A271:B1436,2),IF(C567&gt;0,VLOOKUP(C567,КФСР!A271:B1783,2),IF(D567&gt;0,VLOOKUP(D567,Программа!A$1:B$5124,2),IF(F567&gt;0,VLOOKUP(F567,КВР!A$1:B$5001,2),IF(E567&gt;0,VLOOKUP(E567,Направление!A$1:B$4812,2))))))</f>
        <v>Дотации поселениям Ярославской области на выравнивание бюджетной обеспеченности</v>
      </c>
      <c r="B567" s="114"/>
      <c r="C567" s="109"/>
      <c r="D567" s="110"/>
      <c r="E567" s="109">
        <v>72970</v>
      </c>
      <c r="F567" s="111"/>
      <c r="G567" s="369">
        <v>0</v>
      </c>
      <c r="H567" s="374">
        <f t="shared" ref="H567" si="409">H568</f>
        <v>0</v>
      </c>
      <c r="I567" s="374">
        <f t="shared" si="355"/>
        <v>0</v>
      </c>
      <c r="J567" s="374">
        <v>0</v>
      </c>
      <c r="K567" s="275">
        <f t="shared" ref="K567" si="410">K568</f>
        <v>0</v>
      </c>
      <c r="L567" s="275">
        <f t="shared" si="356"/>
        <v>0</v>
      </c>
    </row>
    <row r="568" spans="1:12" ht="15.75" hidden="1" x14ac:dyDescent="0.2">
      <c r="A568" s="113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IF(B568&gt;0,VLOOKUP(B568,КВСР!A272:B1437,2),IF(C568&gt;0,VLOOKUP(C568,КФСР!A272:B1784,2),IF(D568&gt;0,VLOOKUP(D568,Программа!A$1:B$5124,2),IF(F568&gt;0,VLOOKUP(F568,КВР!A$1:B$5001,2),IF(E568&gt;0,VLOOKUP(E568,Направление!A$1:B$4812,2))))))</f>
        <v xml:space="preserve"> Межбюджетные трансферты</v>
      </c>
      <c r="B568" s="114"/>
      <c r="C568" s="109"/>
      <c r="D568" s="110"/>
      <c r="E568" s="109"/>
      <c r="F568" s="111">
        <v>500</v>
      </c>
      <c r="G568" s="369">
        <v>0</v>
      </c>
      <c r="H568" s="374"/>
      <c r="I568" s="374">
        <f t="shared" si="355"/>
        <v>0</v>
      </c>
      <c r="J568" s="374">
        <v>0</v>
      </c>
      <c r="K568" s="275"/>
      <c r="L568" s="275">
        <f t="shared" si="356"/>
        <v>0</v>
      </c>
    </row>
    <row r="569" spans="1:12" ht="47.25" x14ac:dyDescent="0.2">
      <c r="A569" s="107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IF(B569&gt;0,VLOOKUP(B569,КВСР!A276:B1441,2),IF(C569&gt;0,VLOOKUP(C569,КФСР!A276:B1788,2),IF(D569&gt;0,VLOOKUP(D569,Программа!A$1:B$5124,2),IF(F569&gt;0,VLOOKUP(F569,КВР!A$1:B$5001,2),IF(E569&gt;0,VLOOKUP(E569,Направление!A$1:B$4812,2))))))</f>
        <v>Департамент культуры, туризма и молодежной политики Администрации ТМР</v>
      </c>
      <c r="B569" s="108">
        <v>956</v>
      </c>
      <c r="C569" s="109"/>
      <c r="D569" s="110"/>
      <c r="E569" s="109"/>
      <c r="F569" s="111"/>
      <c r="G569" s="372">
        <v>144227391</v>
      </c>
      <c r="H569" s="372">
        <f>H575+H588+H598+H628+H643+H570</f>
        <v>0</v>
      </c>
      <c r="I569" s="372">
        <f>I575+I588+I598+I628+I643+I570</f>
        <v>144227391</v>
      </c>
      <c r="J569" s="372">
        <v>113202391</v>
      </c>
      <c r="K569" s="372">
        <f>K575+K588+K598+K628+K643+K570</f>
        <v>0</v>
      </c>
      <c r="L569" s="372">
        <f>L575+L588+L598+L628+L643+L570</f>
        <v>113202391</v>
      </c>
    </row>
    <row r="570" spans="1:12" ht="47.25" x14ac:dyDescent="0.2">
      <c r="A570" s="113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IF(B570&gt;0,VLOOKUP(B570,КВСР!A277:B1442,2),IF(C570&gt;0,VLOOKUP(C570,КФСР!A277:B1789,2),IF(D570&gt;0,VLOOKUP(D570,Программа!A$1:B$5124,2),IF(F570&gt;0,VLOOKUP(F570,КВР!A$1:B$5001,2),IF(E570&gt;0,VLOOKUP(E570,Направление!A$1:B$4812,2))))))</f>
        <v>Другие вопросы в области национальной безопасности и правоохранительной деятельности</v>
      </c>
      <c r="B570" s="108"/>
      <c r="C570" s="109">
        <v>314</v>
      </c>
      <c r="D570" s="110"/>
      <c r="E570" s="109"/>
      <c r="F570" s="111"/>
      <c r="G570" s="430">
        <v>200000</v>
      </c>
      <c r="H570" s="430">
        <f t="shared" ref="H570:L573" si="411">H571</f>
        <v>0</v>
      </c>
      <c r="I570" s="430">
        <f t="shared" si="411"/>
        <v>200000</v>
      </c>
      <c r="J570" s="430">
        <v>200000</v>
      </c>
      <c r="K570" s="430">
        <f t="shared" si="411"/>
        <v>0</v>
      </c>
      <c r="L570" s="430">
        <f t="shared" si="411"/>
        <v>200000</v>
      </c>
    </row>
    <row r="571" spans="1:12" ht="63" x14ac:dyDescent="0.2">
      <c r="A571" s="113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IF(B571&gt;0,VLOOKUP(B571,КВСР!A278:B1443,2),IF(C571&gt;0,VLOOKUP(C571,КФСР!A278:B1790,2),IF(D571&gt;0,VLOOKUP(D571,Программа!A$1:B$5124,2),IF(F571&gt;0,VLOOKUP(F571,КВР!A$1:B$5001,2),IF(E571&gt;0,VLOOKUP(E571,Направление!A$1:B$4812,2))))))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8"/>
      <c r="C571" s="109"/>
      <c r="D571" s="110" t="s">
        <v>426</v>
      </c>
      <c r="E571" s="109"/>
      <c r="F571" s="111"/>
      <c r="G571" s="430">
        <v>200000</v>
      </c>
      <c r="H571" s="430">
        <f t="shared" si="411"/>
        <v>0</v>
      </c>
      <c r="I571" s="430">
        <f t="shared" si="411"/>
        <v>200000</v>
      </c>
      <c r="J571" s="430">
        <v>200000</v>
      </c>
      <c r="K571" s="430">
        <f t="shared" si="411"/>
        <v>0</v>
      </c>
      <c r="L571" s="430">
        <f t="shared" si="411"/>
        <v>200000</v>
      </c>
    </row>
    <row r="572" spans="1:12" ht="31.5" x14ac:dyDescent="0.2">
      <c r="A572" s="113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IF(B572&gt;0,VLOOKUP(B572,КВСР!A279:B1444,2),IF(C572&gt;0,VLOOKUP(C572,КФСР!A279:B1791,2),IF(D572&gt;0,VLOOKUP(D572,Программа!A$1:B$5124,2),IF(F572&gt;0,VLOOKUP(F572,КВР!A$1:B$5001,2),IF(E572&gt;0,VLOOKUP(E572,Направление!A$1:B$4812,2))))))</f>
        <v>Реализация мероприятий по профилактике правонарушений</v>
      </c>
      <c r="B572" s="108"/>
      <c r="C572" s="109"/>
      <c r="D572" s="110" t="s">
        <v>428</v>
      </c>
      <c r="E572" s="109"/>
      <c r="F572" s="111"/>
      <c r="G572" s="430">
        <v>200000</v>
      </c>
      <c r="H572" s="430">
        <f t="shared" si="411"/>
        <v>0</v>
      </c>
      <c r="I572" s="430">
        <f t="shared" si="411"/>
        <v>200000</v>
      </c>
      <c r="J572" s="430">
        <v>200000</v>
      </c>
      <c r="K572" s="430">
        <f t="shared" si="411"/>
        <v>0</v>
      </c>
      <c r="L572" s="430">
        <f t="shared" si="411"/>
        <v>200000</v>
      </c>
    </row>
    <row r="573" spans="1:12" ht="31.5" x14ac:dyDescent="0.2">
      <c r="A573" s="113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IF(B573&gt;0,VLOOKUP(B573,КВСР!A280:B1445,2),IF(C573&gt;0,VLOOKUP(C573,КФСР!A280:B1792,2),IF(D573&gt;0,VLOOKUP(D573,Программа!A$1:B$5124,2),IF(F573&gt;0,VLOOKUP(F573,КВР!A$1:B$5001,2),IF(E573&gt;0,VLOOKUP(E573,Направление!A$1:B$4812,2))))))</f>
        <v>Обеспечение деятельности народных дружин</v>
      </c>
      <c r="B573" s="108"/>
      <c r="C573" s="109"/>
      <c r="D573" s="110"/>
      <c r="E573" s="109">
        <v>29486</v>
      </c>
      <c r="F573" s="111"/>
      <c r="G573" s="430">
        <v>200000</v>
      </c>
      <c r="H573" s="430">
        <f t="shared" si="411"/>
        <v>0</v>
      </c>
      <c r="I573" s="430">
        <f t="shared" si="411"/>
        <v>200000</v>
      </c>
      <c r="J573" s="430">
        <v>200000</v>
      </c>
      <c r="K573" s="430">
        <f t="shared" si="411"/>
        <v>0</v>
      </c>
      <c r="L573" s="430">
        <f t="shared" si="411"/>
        <v>200000</v>
      </c>
    </row>
    <row r="574" spans="1:12" ht="47.25" x14ac:dyDescent="0.2">
      <c r="A574" s="113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IF(B574&gt;0,VLOOKUP(B574,КВСР!A281:B1446,2),IF(C574&gt;0,VLOOKUP(C574,КФСР!A281:B1793,2),IF(D574&gt;0,VLOOKUP(D574,Программа!A$1:B$5124,2),IF(F574&gt;0,VLOOKUP(F574,КВР!A$1:B$5001,2),IF(E574&gt;0,VLOOKUP(E574,Направление!A$1:B$4812,2))))))</f>
        <v>Предоставление субсидий бюджетным, автономным учреждениям и иным некоммерческим организациям</v>
      </c>
      <c r="B574" s="108"/>
      <c r="C574" s="109"/>
      <c r="D574" s="110"/>
      <c r="E574" s="109"/>
      <c r="F574" s="111">
        <v>600</v>
      </c>
      <c r="G574" s="430">
        <v>200000</v>
      </c>
      <c r="H574" s="430"/>
      <c r="I574" s="430">
        <f>G574+H574</f>
        <v>200000</v>
      </c>
      <c r="J574" s="430">
        <v>200000</v>
      </c>
      <c r="K574" s="430"/>
      <c r="L574" s="430">
        <f>J574+K574</f>
        <v>200000</v>
      </c>
    </row>
    <row r="575" spans="1:12" ht="15.75" x14ac:dyDescent="0.2">
      <c r="A575" s="113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IF(B575&gt;0,VLOOKUP(B575,КВСР!A282:B1447,2),IF(C575&gt;0,VLOOKUP(C575,КФСР!A282:B1794,2),IF(D575&gt;0,VLOOKUP(D575,Программа!A$1:B$5124,2),IF(F575&gt;0,VLOOKUP(F575,КВР!A$1:B$5001,2),IF(E575&gt;0,VLOOKUP(E575,Направление!A$1:B$4812,2))))))</f>
        <v>Дополнительное образование детей</v>
      </c>
      <c r="B575" s="114"/>
      <c r="C575" s="109">
        <v>703</v>
      </c>
      <c r="D575" s="110"/>
      <c r="E575" s="109"/>
      <c r="F575" s="111"/>
      <c r="G575" s="369">
        <v>23318609</v>
      </c>
      <c r="H575" s="369">
        <f>H576</f>
        <v>0</v>
      </c>
      <c r="I575" s="369">
        <f>I576</f>
        <v>23318609</v>
      </c>
      <c r="J575" s="369">
        <v>20716221</v>
      </c>
      <c r="K575" s="286">
        <f t="shared" ref="K575:L576" si="412">K576</f>
        <v>0</v>
      </c>
      <c r="L575" s="286">
        <f t="shared" si="412"/>
        <v>20716221</v>
      </c>
    </row>
    <row r="576" spans="1:12" ht="63" x14ac:dyDescent="0.2">
      <c r="A576" s="113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576" s="114"/>
      <c r="C576" s="109"/>
      <c r="D576" s="123" t="s">
        <v>396</v>
      </c>
      <c r="E576" s="121"/>
      <c r="F576" s="111"/>
      <c r="G576" s="369">
        <v>23318609</v>
      </c>
      <c r="H576" s="369">
        <f>H577</f>
        <v>0</v>
      </c>
      <c r="I576" s="369">
        <f>I577</f>
        <v>23318609</v>
      </c>
      <c r="J576" s="369">
        <v>20716221</v>
      </c>
      <c r="K576" s="369">
        <f t="shared" si="412"/>
        <v>0</v>
      </c>
      <c r="L576" s="369">
        <f t="shared" si="412"/>
        <v>20716221</v>
      </c>
    </row>
    <row r="577" spans="1:12" ht="47.25" x14ac:dyDescent="0.2">
      <c r="A577" s="113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IF(B577&gt;0,VLOOKUP(B577,КВСР!A284:B1449,2),IF(C577&gt;0,VLOOKUP(C577,КФСР!A284:B1796,2),IF(D577&gt;0,VLOOKUP(D577,Программа!A$1:B$5124,2),IF(F577&gt;0,VLOOKUP(F577,КВР!A$1:B$5001,2),IF(E577&gt;0,VLOOKUP(E577,Направление!A$1:B$4812,2))))))</f>
        <v>Ведомственная целевая программа «Сохранение и развитие культуры Тутаевского муниципального района»</v>
      </c>
      <c r="B577" s="114"/>
      <c r="C577" s="109"/>
      <c r="D577" s="123" t="s">
        <v>494</v>
      </c>
      <c r="E577" s="121"/>
      <c r="F577" s="111"/>
      <c r="G577" s="369">
        <v>23318609</v>
      </c>
      <c r="H577" s="369">
        <f>H578+H585</f>
        <v>0</v>
      </c>
      <c r="I577" s="369">
        <f>I578+I585</f>
        <v>23318609</v>
      </c>
      <c r="J577" s="369">
        <v>20716221</v>
      </c>
      <c r="K577" s="369">
        <f t="shared" ref="K577" si="413">K578+K585</f>
        <v>0</v>
      </c>
      <c r="L577" s="369">
        <f t="shared" ref="L577" si="414">L578+L585</f>
        <v>20716221</v>
      </c>
    </row>
    <row r="578" spans="1:12" ht="47.25" x14ac:dyDescent="0.2">
      <c r="A578" s="113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IF(B578&gt;0,VLOOKUP(B578,КВСР!A285:B1450,2),IF(C578&gt;0,VLOOKUP(C578,КФСР!A285:B1797,2),IF(D578&gt;0,VLOOKUP(D578,Программа!A$1:B$5124,2),IF(F578&gt;0,VLOOKUP(F578,КВР!A$1:B$5001,2),IF(E578&gt;0,VLOOKUP(E578,Направление!A$1:B$4812,2))))))</f>
        <v>Реализация дополнительных образовательных программ в сфере культуры</v>
      </c>
      <c r="B578" s="114"/>
      <c r="C578" s="109"/>
      <c r="D578" s="110" t="s">
        <v>496</v>
      </c>
      <c r="E578" s="109"/>
      <c r="F578" s="111"/>
      <c r="G578" s="369">
        <v>23318609</v>
      </c>
      <c r="H578" s="369">
        <f>H579+H581+H583</f>
        <v>0</v>
      </c>
      <c r="I578" s="369">
        <f t="shared" ref="I578:L578" si="415">I579+I581+I583</f>
        <v>23318609</v>
      </c>
      <c r="J578" s="369">
        <v>20716221</v>
      </c>
      <c r="K578" s="369">
        <f t="shared" si="415"/>
        <v>0</v>
      </c>
      <c r="L578" s="369">
        <f t="shared" si="415"/>
        <v>20716221</v>
      </c>
    </row>
    <row r="579" spans="1:12" ht="31.5" x14ac:dyDescent="0.2">
      <c r="A579" s="113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IF(B579&gt;0,VLOOKUP(B579,КВСР!A285:B1450,2),IF(C579&gt;0,VLOOKUP(C579,КФСР!A285:B1797,2),IF(D579&gt;0,VLOOKUP(D579,Программа!A$1:B$5124,2),IF(F579&gt;0,VLOOKUP(F579,КВР!A$1:B$5001,2),IF(E579&gt;0,VLOOKUP(E579,Направление!A$1:B$4812,2))))))</f>
        <v>Обеспечение деятельности учреждений дополнительного образования</v>
      </c>
      <c r="B579" s="114"/>
      <c r="C579" s="109"/>
      <c r="D579" s="110"/>
      <c r="E579" s="109">
        <v>13210</v>
      </c>
      <c r="F579" s="111"/>
      <c r="G579" s="369">
        <v>4534244</v>
      </c>
      <c r="H579" s="369">
        <f t="shared" ref="H579:I579" si="416">H580</f>
        <v>0</v>
      </c>
      <c r="I579" s="369">
        <f t="shared" si="416"/>
        <v>4534244</v>
      </c>
      <c r="J579" s="369">
        <v>1931856</v>
      </c>
      <c r="K579" s="286">
        <f t="shared" ref="K579:L579" si="417">K580</f>
        <v>0</v>
      </c>
      <c r="L579" s="286">
        <f t="shared" si="417"/>
        <v>1931856</v>
      </c>
    </row>
    <row r="580" spans="1:12" ht="47.25" x14ac:dyDescent="0.2">
      <c r="A580" s="113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IF(B580&gt;0,VLOOKUP(B580,КВСР!A286:B1451,2),IF(C580&gt;0,VLOOKUP(C580,КФСР!A286:B1798,2),IF(D580&gt;0,VLOOKUP(D580,Программа!A$1:B$5124,2),IF(F580&gt;0,VLOOKUP(F580,КВР!A$1:B$5001,2),IF(E580&gt;0,VLOOKUP(E580,Направление!A$1:B$4812,2))))))</f>
        <v>Предоставление субсидий бюджетным, автономным учреждениям и иным некоммерческим организациям</v>
      </c>
      <c r="B580" s="114"/>
      <c r="C580" s="109"/>
      <c r="D580" s="110"/>
      <c r="E580" s="109"/>
      <c r="F580" s="111">
        <v>600</v>
      </c>
      <c r="G580" s="369">
        <v>4534244</v>
      </c>
      <c r="H580" s="369"/>
      <c r="I580" s="369">
        <f t="shared" si="355"/>
        <v>4534244</v>
      </c>
      <c r="J580" s="369">
        <v>1931856</v>
      </c>
      <c r="K580" s="286"/>
      <c r="L580" s="286">
        <f t="shared" si="356"/>
        <v>1931856</v>
      </c>
    </row>
    <row r="581" spans="1:12" ht="47.25" x14ac:dyDescent="0.2">
      <c r="A581" s="113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IF(B581&gt;0,VLOOKUP(B581,КВСР!A287:B1452,2),IF(C581&gt;0,VLOOKUP(C581,КФСР!A287:B1799,2),IF(D581&gt;0,VLOOKUP(D581,Программа!A$1:B$5124,2),IF(F581&gt;0,VLOOKUP(F581,КВР!A$1:B$5001,2),IF(E581&gt;0,VLOOKUP(E581,Направление!A$1:B$4812,2))))))</f>
        <v>Расходы на повышение оплаты труда работников муниципальных учреждений в сфере культуры</v>
      </c>
      <c r="B581" s="114"/>
      <c r="C581" s="109"/>
      <c r="D581" s="110"/>
      <c r="E581" s="109">
        <v>15900</v>
      </c>
      <c r="F581" s="111"/>
      <c r="G581" s="369">
        <v>12514144</v>
      </c>
      <c r="H581" s="369">
        <f>H582</f>
        <v>0</v>
      </c>
      <c r="I581" s="369">
        <f t="shared" ref="I581:L581" si="418">I582</f>
        <v>12514144</v>
      </c>
      <c r="J581" s="369">
        <v>12514144</v>
      </c>
      <c r="K581" s="369">
        <f t="shared" si="418"/>
        <v>0</v>
      </c>
      <c r="L581" s="369">
        <f t="shared" si="418"/>
        <v>12514144</v>
      </c>
    </row>
    <row r="582" spans="1:12" ht="47.25" x14ac:dyDescent="0.2">
      <c r="A582" s="113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IF(B582&gt;0,VLOOKUP(B582,КВСР!A288:B1453,2),IF(C582&gt;0,VLOOKUP(C582,КФСР!A288:B1800,2),IF(D582&gt;0,VLOOKUP(D582,Программа!A$1:B$5124,2),IF(F582&gt;0,VLOOKUP(F582,КВР!A$1:B$5001,2),IF(E582&gt;0,VLOOKUP(E582,Направление!A$1:B$4812,2))))))</f>
        <v>Предоставление субсидий бюджетным, автономным учреждениям и иным некоммерческим организациям</v>
      </c>
      <c r="B582" s="114"/>
      <c r="C582" s="109"/>
      <c r="D582" s="110"/>
      <c r="E582" s="109"/>
      <c r="F582" s="111">
        <v>600</v>
      </c>
      <c r="G582" s="369">
        <v>12514144</v>
      </c>
      <c r="H582" s="369"/>
      <c r="I582" s="369">
        <f t="shared" si="355"/>
        <v>12514144</v>
      </c>
      <c r="J582" s="369">
        <v>12514144</v>
      </c>
      <c r="K582" s="286"/>
      <c r="L582" s="286">
        <f t="shared" si="356"/>
        <v>12514144</v>
      </c>
    </row>
    <row r="583" spans="1:12" ht="47.25" x14ac:dyDescent="0.2">
      <c r="A583" s="113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IF(B583&gt;0,VLOOKUP(B583,КВСР!A289:B1454,2),IF(C583&gt;0,VLOOKUP(C583,КФСР!A289:B1801,2),IF(D583&gt;0,VLOOKUP(D583,Программа!A$1:B$5124,2),IF(F583&gt;0,VLOOKUP(F583,КВР!A$1:B$5001,2),IF(E583&gt;0,VLOOKUP(E583,Направление!A$1:B$4812,2))))))</f>
        <v>Расходы на повышение оплаты труда работников муниципальных учреждений в сфере культуры</v>
      </c>
      <c r="B583" s="114"/>
      <c r="C583" s="109"/>
      <c r="D583" s="110"/>
      <c r="E583" s="109">
        <v>75900</v>
      </c>
      <c r="F583" s="111"/>
      <c r="G583" s="369">
        <v>6270221</v>
      </c>
      <c r="H583" s="369">
        <f>H584</f>
        <v>0</v>
      </c>
      <c r="I583" s="369">
        <f t="shared" ref="I583:L583" si="419">I584</f>
        <v>6270221</v>
      </c>
      <c r="J583" s="369">
        <v>6270221</v>
      </c>
      <c r="K583" s="369">
        <f t="shared" si="419"/>
        <v>0</v>
      </c>
      <c r="L583" s="369">
        <f t="shared" si="419"/>
        <v>6270221</v>
      </c>
    </row>
    <row r="584" spans="1:12" ht="47.25" x14ac:dyDescent="0.2">
      <c r="A584" s="113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IF(B584&gt;0,VLOOKUP(B584,КВСР!A290:B1455,2),IF(C584&gt;0,VLOOKUP(C584,КФСР!A290:B1802,2),IF(D584&gt;0,VLOOKUP(D584,Программа!A$1:B$5124,2),IF(F584&gt;0,VLOOKUP(F584,КВР!A$1:B$5001,2),IF(E584&gt;0,VLOOKUP(E584,Направление!A$1:B$4812,2))))))</f>
        <v>Предоставление субсидий бюджетным, автономным учреждениям и иным некоммерческим организациям</v>
      </c>
      <c r="B584" s="114"/>
      <c r="C584" s="109"/>
      <c r="D584" s="110"/>
      <c r="E584" s="109"/>
      <c r="F584" s="111">
        <v>600</v>
      </c>
      <c r="G584" s="369">
        <v>6270221</v>
      </c>
      <c r="H584" s="369"/>
      <c r="I584" s="369">
        <f t="shared" si="355"/>
        <v>6270221</v>
      </c>
      <c r="J584" s="369">
        <v>6270221</v>
      </c>
      <c r="K584" s="286"/>
      <c r="L584" s="286">
        <f t="shared" si="356"/>
        <v>6270221</v>
      </c>
    </row>
    <row r="585" spans="1:12" ht="15.75" hidden="1" x14ac:dyDescent="0.2">
      <c r="A585" s="113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IF(B585&gt;0,VLOOKUP(B585,КВСР!A287:B1452,2),IF(C585&gt;0,VLOOKUP(C585,КФСР!A287:B1799,2),IF(D585&gt;0,VLOOKUP(D585,Программа!A$1:B$5124,2),IF(F585&gt;0,VLOOKUP(F585,КВР!A$1:B$5001,2),IF(E585&gt;0,VLOOKUP(E585,Направление!A$1:B$4812,2))))))</f>
        <v>Федеральный проект "Культурная среда"</v>
      </c>
      <c r="B585" s="114"/>
      <c r="C585" s="109"/>
      <c r="D585" s="110" t="s">
        <v>1424</v>
      </c>
      <c r="E585" s="109"/>
      <c r="F585" s="111"/>
      <c r="G585" s="369">
        <v>0</v>
      </c>
      <c r="H585" s="369">
        <f t="shared" ref="H585:L585" si="420">H586</f>
        <v>0</v>
      </c>
      <c r="I585" s="369">
        <f t="shared" si="420"/>
        <v>0</v>
      </c>
      <c r="J585" s="369">
        <v>0</v>
      </c>
      <c r="K585" s="369">
        <f t="shared" si="420"/>
        <v>0</v>
      </c>
      <c r="L585" s="369">
        <f t="shared" si="420"/>
        <v>0</v>
      </c>
    </row>
    <row r="586" spans="1:12" ht="78.75" hidden="1" x14ac:dyDescent="0.2">
      <c r="A586" s="113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IF(B586&gt;0,VLOOKUP(B586,КВСР!A288:B1453,2),IF(C586&gt;0,VLOOKUP(C586,КФСР!A288:B1800,2),IF(D586&gt;0,VLOOKUP(D586,Программа!A$1:B$5124,2),IF(F586&gt;0,VLOOKUP(F586,КВР!A$1:B$5001,2),IF(E586&gt;0,VLOOKUP(E586,Направление!A$1:B$4812,2))))))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14"/>
      <c r="C586" s="109"/>
      <c r="D586" s="110"/>
      <c r="E586" s="109">
        <v>55191</v>
      </c>
      <c r="F586" s="111"/>
      <c r="G586" s="369">
        <v>0</v>
      </c>
      <c r="H586" s="369">
        <f t="shared" ref="H586:L586" si="421">H587</f>
        <v>0</v>
      </c>
      <c r="I586" s="369">
        <f t="shared" si="421"/>
        <v>0</v>
      </c>
      <c r="J586" s="369">
        <v>0</v>
      </c>
      <c r="K586" s="369">
        <f t="shared" si="421"/>
        <v>0</v>
      </c>
      <c r="L586" s="369">
        <f t="shared" si="421"/>
        <v>0</v>
      </c>
    </row>
    <row r="587" spans="1:12" ht="47.25" hidden="1" x14ac:dyDescent="0.2">
      <c r="A587" s="113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IF(B587&gt;0,VLOOKUP(B587,КВСР!A289:B1454,2),IF(C587&gt;0,VLOOKUP(C587,КФСР!A289:B1801,2),IF(D587&gt;0,VLOOKUP(D587,Программа!A$1:B$5124,2),IF(F587&gt;0,VLOOKUP(F587,КВР!A$1:B$5001,2),IF(E587&gt;0,VLOOKUP(E587,Направление!A$1:B$4812,2))))))</f>
        <v>Предоставление субсидий бюджетным, автономным учреждениям и иным некоммерческим организациям</v>
      </c>
      <c r="B587" s="114"/>
      <c r="C587" s="109"/>
      <c r="D587" s="110"/>
      <c r="E587" s="109"/>
      <c r="F587" s="111">
        <v>600</v>
      </c>
      <c r="G587" s="369">
        <v>0</v>
      </c>
      <c r="H587" s="369"/>
      <c r="I587" s="369">
        <f>H587+G587</f>
        <v>0</v>
      </c>
      <c r="J587" s="369">
        <v>0</v>
      </c>
      <c r="K587" s="286"/>
      <c r="L587" s="286">
        <f>K587+J587</f>
        <v>0</v>
      </c>
    </row>
    <row r="588" spans="1:12" ht="15.75" x14ac:dyDescent="0.2">
      <c r="A588" s="113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IF(B588&gt;0,VLOOKUP(B588,КВСР!A286:B1451,2),IF(C588&gt;0,VLOOKUP(C588,КФСР!A286:B1798,2),IF(D588&gt;0,VLOOKUP(D588,Программа!A$1:B$5124,2),IF(F588&gt;0,VLOOKUP(F588,КВР!A$1:B$5001,2),IF(E588&gt;0,VLOOKUP(E588,Направление!A$1:B$4812,2))))))</f>
        <v>Молодежная политика</v>
      </c>
      <c r="B588" s="114"/>
      <c r="C588" s="109">
        <v>707</v>
      </c>
      <c r="D588" s="110"/>
      <c r="E588" s="109"/>
      <c r="F588" s="111"/>
      <c r="G588" s="369">
        <v>8000000</v>
      </c>
      <c r="H588" s="369">
        <f t="shared" ref="H588:I588" si="422">H589</f>
        <v>0</v>
      </c>
      <c r="I588" s="369">
        <f t="shared" si="422"/>
        <v>8000000</v>
      </c>
      <c r="J588" s="369">
        <v>5644928</v>
      </c>
      <c r="K588" s="286">
        <f t="shared" ref="K588:L588" si="423">K589</f>
        <v>0</v>
      </c>
      <c r="L588" s="286">
        <f t="shared" si="423"/>
        <v>5644928</v>
      </c>
    </row>
    <row r="589" spans="1:12" ht="63" x14ac:dyDescent="0.2">
      <c r="A589" s="113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589" s="114"/>
      <c r="C589" s="109"/>
      <c r="D589" s="110" t="s">
        <v>396</v>
      </c>
      <c r="E589" s="109"/>
      <c r="F589" s="111"/>
      <c r="G589" s="369">
        <v>8000000</v>
      </c>
      <c r="H589" s="369">
        <f t="shared" ref="H589:I589" si="424">H591</f>
        <v>0</v>
      </c>
      <c r="I589" s="369">
        <f t="shared" si="424"/>
        <v>8000000</v>
      </c>
      <c r="J589" s="369">
        <v>5644928</v>
      </c>
      <c r="K589" s="286">
        <f t="shared" ref="K589:L589" si="425">K591</f>
        <v>0</v>
      </c>
      <c r="L589" s="286">
        <f t="shared" si="425"/>
        <v>5644928</v>
      </c>
    </row>
    <row r="590" spans="1:12" ht="31.5" x14ac:dyDescent="0.2">
      <c r="A590" s="113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IF(B590&gt;0,VLOOKUP(B590,КВСР!A288:B1453,2),IF(C590&gt;0,VLOOKUP(C590,КФСР!A288:B1800,2),IF(D590&gt;0,VLOOKUP(D590,Программа!A$1:B$5124,2),IF(F590&gt;0,VLOOKUP(F590,КВР!A$1:B$5001,2),IF(E590&gt;0,VLOOKUP(E590,Направление!A$1:B$4812,2))))))</f>
        <v>Ведомственная целевая программа «Молодежь»</v>
      </c>
      <c r="B590" s="114"/>
      <c r="C590" s="109"/>
      <c r="D590" s="110" t="s">
        <v>499</v>
      </c>
      <c r="E590" s="109"/>
      <c r="F590" s="111"/>
      <c r="G590" s="369">
        <v>8000000</v>
      </c>
      <c r="H590" s="369">
        <f t="shared" ref="H590:I590" si="426">H591</f>
        <v>0</v>
      </c>
      <c r="I590" s="369">
        <f t="shared" si="426"/>
        <v>8000000</v>
      </c>
      <c r="J590" s="369">
        <v>5644928</v>
      </c>
      <c r="K590" s="286">
        <f t="shared" ref="K590:L590" si="427">K591</f>
        <v>0</v>
      </c>
      <c r="L590" s="286">
        <f t="shared" si="427"/>
        <v>5644928</v>
      </c>
    </row>
    <row r="591" spans="1:12" ht="63" x14ac:dyDescent="0.2">
      <c r="A591" s="113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IF(B591&gt;0,VLOOKUP(B591,КВСР!A289:B1454,2),IF(C591&gt;0,VLOOKUP(C591,КФСР!A289:B1801,2),IF(D591&gt;0,VLOOKUP(D591,Программа!A$1:B$5124,2),IF(F591&gt;0,VLOOKUP(F591,КВР!A$1:B$5001,2),IF(E591&gt;0,VLOOKUP(E591,Направление!A$1:B$4812,2))))))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14"/>
      <c r="C591" s="109"/>
      <c r="D591" s="110" t="s">
        <v>501</v>
      </c>
      <c r="E591" s="109"/>
      <c r="F591" s="111"/>
      <c r="G591" s="369">
        <v>8000000</v>
      </c>
      <c r="H591" s="369">
        <f t="shared" ref="H591:I591" si="428">H592+H594+H596</f>
        <v>0</v>
      </c>
      <c r="I591" s="369">
        <f t="shared" si="428"/>
        <v>8000000</v>
      </c>
      <c r="J591" s="369">
        <v>5644928</v>
      </c>
      <c r="K591" s="286">
        <f t="shared" ref="K591:L591" si="429">K592+K594+K596</f>
        <v>0</v>
      </c>
      <c r="L591" s="286">
        <f t="shared" si="429"/>
        <v>5644928</v>
      </c>
    </row>
    <row r="592" spans="1:12" ht="31.5" x14ac:dyDescent="0.2">
      <c r="A592" s="113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IF(B592&gt;0,VLOOKUP(B592,КВСР!A289:B1454,2),IF(C592&gt;0,VLOOKUP(C592,КФСР!A289:B1801,2),IF(D592&gt;0,VLOOKUP(D592,Программа!A$1:B$5124,2),IF(F592&gt;0,VLOOKUP(F592,КВР!A$1:B$5001,2),IF(E592&gt;0,VLOOKUP(E592,Направление!A$1:B$4812,2))))))</f>
        <v xml:space="preserve">Обеспечение деятельности учреждений в сфере молодежной политики </v>
      </c>
      <c r="B592" s="114"/>
      <c r="C592" s="109"/>
      <c r="D592" s="110"/>
      <c r="E592" s="109">
        <v>14510</v>
      </c>
      <c r="F592" s="111"/>
      <c r="G592" s="369">
        <v>8000000</v>
      </c>
      <c r="H592" s="369">
        <f t="shared" ref="H592:I592" si="430">H593</f>
        <v>0</v>
      </c>
      <c r="I592" s="369">
        <f t="shared" si="430"/>
        <v>8000000</v>
      </c>
      <c r="J592" s="369">
        <v>5644928</v>
      </c>
      <c r="K592" s="286">
        <f t="shared" ref="K592:L592" si="431">K593</f>
        <v>0</v>
      </c>
      <c r="L592" s="286">
        <f t="shared" si="431"/>
        <v>5644928</v>
      </c>
    </row>
    <row r="593" spans="1:12" ht="47.25" x14ac:dyDescent="0.2">
      <c r="A593" s="113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IF(B593&gt;0,VLOOKUP(B593,КВСР!A290:B1455,2),IF(C593&gt;0,VLOOKUP(C593,КФСР!A290:B1802,2),IF(D593&gt;0,VLOOKUP(D593,Программа!A$1:B$5124,2),IF(F593&gt;0,VLOOKUP(F593,КВР!A$1:B$5001,2),IF(E593&gt;0,VLOOKUP(E593,Направление!A$1:B$4812,2))))))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10"/>
      <c r="E593" s="109"/>
      <c r="F593" s="111">
        <v>600</v>
      </c>
      <c r="G593" s="369">
        <v>8000000</v>
      </c>
      <c r="H593" s="369"/>
      <c r="I593" s="369">
        <f t="shared" si="355"/>
        <v>8000000</v>
      </c>
      <c r="J593" s="369">
        <v>5644928</v>
      </c>
      <c r="K593" s="286"/>
      <c r="L593" s="286">
        <f t="shared" si="356"/>
        <v>5644928</v>
      </c>
    </row>
    <row r="594" spans="1:12" ht="63" hidden="1" x14ac:dyDescent="0.2">
      <c r="A594" s="113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14"/>
      <c r="C594" s="109"/>
      <c r="D594" s="110"/>
      <c r="E594" s="109" t="s">
        <v>505</v>
      </c>
      <c r="F594" s="111"/>
      <c r="G594" s="369">
        <v>0</v>
      </c>
      <c r="H594" s="369">
        <f t="shared" ref="H594" si="432">H595</f>
        <v>0</v>
      </c>
      <c r="I594" s="369">
        <f t="shared" ref="I594:I646" si="433">SUM(G594:H594)</f>
        <v>0</v>
      </c>
      <c r="J594" s="369">
        <v>0</v>
      </c>
      <c r="K594" s="286">
        <f t="shared" ref="K594" si="434">K595</f>
        <v>0</v>
      </c>
      <c r="L594" s="286">
        <f t="shared" ref="L594:L646" si="435">SUM(J594:K594)</f>
        <v>0</v>
      </c>
    </row>
    <row r="595" spans="1:12" ht="47.25" hidden="1" x14ac:dyDescent="0.2">
      <c r="A595" s="113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IF(B595&gt;0,VLOOKUP(B595,КВСР!A292:B1457,2),IF(C595&gt;0,VLOOKUP(C595,КФСР!A292:B1804,2),IF(D595&gt;0,VLOOKUP(D595,Программа!A$1:B$5124,2),IF(F595&gt;0,VLOOKUP(F595,КВР!A$1:B$5001,2),IF(E595&gt;0,VLOOKUP(E595,Направление!A$1:B$4812,2))))))</f>
        <v>Предоставление субсидий бюджетным, автономным учреждениям и иным некоммерческим организациям</v>
      </c>
      <c r="B595" s="114"/>
      <c r="C595" s="109"/>
      <c r="D595" s="110"/>
      <c r="E595" s="109"/>
      <c r="F595" s="111">
        <v>600</v>
      </c>
      <c r="G595" s="369">
        <v>0</v>
      </c>
      <c r="H595" s="369"/>
      <c r="I595" s="369">
        <f t="shared" si="433"/>
        <v>0</v>
      </c>
      <c r="J595" s="369">
        <v>0</v>
      </c>
      <c r="K595" s="286"/>
      <c r="L595" s="286">
        <f t="shared" si="435"/>
        <v>0</v>
      </c>
    </row>
    <row r="596" spans="1:12" ht="63" hidden="1" x14ac:dyDescent="0.2">
      <c r="A596" s="113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IF(B596&gt;0,VLOOKUP(B596,КВСР!A293:B1458,2),IF(C596&gt;0,VLOOKUP(C596,КФСР!A293:B1805,2),IF(D596&gt;0,VLOOKUP(D596,Программа!A$1:B$5124,2),IF(F596&gt;0,VLOOKUP(F596,КВР!A$1:B$5001,2),IF(E596&gt;0,VLOOKUP(E596,Направление!A$1:B$4812,2))))))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14"/>
      <c r="C596" s="109"/>
      <c r="D596" s="110"/>
      <c r="E596" s="109">
        <v>70650</v>
      </c>
      <c r="F596" s="111"/>
      <c r="G596" s="369">
        <v>0</v>
      </c>
      <c r="H596" s="369">
        <f t="shared" ref="H596" si="436">H597</f>
        <v>0</v>
      </c>
      <c r="I596" s="369">
        <f t="shared" si="433"/>
        <v>0</v>
      </c>
      <c r="J596" s="369">
        <v>0</v>
      </c>
      <c r="K596" s="286">
        <f t="shared" ref="K596" si="437">K597</f>
        <v>0</v>
      </c>
      <c r="L596" s="286">
        <f t="shared" si="435"/>
        <v>0</v>
      </c>
    </row>
    <row r="597" spans="1:12" ht="47.25" hidden="1" x14ac:dyDescent="0.2">
      <c r="A597" s="113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IF(B597&gt;0,VLOOKUP(B597,КВСР!A294:B1459,2),IF(C597&gt;0,VLOOKUP(C597,КФСР!A294:B1806,2),IF(D597&gt;0,VLOOKUP(D597,Программа!A$1:B$5124,2),IF(F597&gt;0,VLOOKUP(F597,КВР!A$1:B$5001,2),IF(E597&gt;0,VLOOKUP(E597,Направление!A$1:B$4812,2))))))</f>
        <v>Предоставление субсидий бюджетным, автономным учреждениям и иным некоммерческим организациям</v>
      </c>
      <c r="B597" s="114"/>
      <c r="C597" s="109"/>
      <c r="D597" s="110"/>
      <c r="E597" s="109"/>
      <c r="F597" s="111">
        <v>600</v>
      </c>
      <c r="G597" s="369">
        <v>0</v>
      </c>
      <c r="H597" s="369"/>
      <c r="I597" s="369">
        <f t="shared" si="433"/>
        <v>0</v>
      </c>
      <c r="J597" s="369">
        <v>0</v>
      </c>
      <c r="K597" s="286"/>
      <c r="L597" s="286">
        <f t="shared" si="435"/>
        <v>0</v>
      </c>
    </row>
    <row r="598" spans="1:12" ht="15.75" x14ac:dyDescent="0.2">
      <c r="A598" s="113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IF(B598&gt;0,VLOOKUP(B598,КВСР!A309:B1474,2),IF(C598&gt;0,VLOOKUP(C598,КФСР!A309:B1821,2),IF(D598&gt;0,VLOOKUP(D598,Программа!A$1:B$5124,2),IF(F598&gt;0,VLOOKUP(F598,КВР!A$1:B$5001,2),IF(E598&gt;0,VLOOKUP(E598,Направление!A$1:B$4812,2))))))</f>
        <v>Культура</v>
      </c>
      <c r="B598" s="114"/>
      <c r="C598" s="109">
        <v>801</v>
      </c>
      <c r="D598" s="123"/>
      <c r="E598" s="121"/>
      <c r="F598" s="122"/>
      <c r="G598" s="369">
        <v>100408782</v>
      </c>
      <c r="H598" s="369">
        <f t="shared" ref="H598:I598" si="438">H599</f>
        <v>0</v>
      </c>
      <c r="I598" s="369">
        <f t="shared" si="438"/>
        <v>100408782</v>
      </c>
      <c r="J598" s="369">
        <v>86641242</v>
      </c>
      <c r="K598" s="286">
        <f t="shared" ref="K598:L598" si="439">K599</f>
        <v>0</v>
      </c>
      <c r="L598" s="286">
        <f t="shared" si="439"/>
        <v>86641242</v>
      </c>
    </row>
    <row r="599" spans="1:12" ht="63" x14ac:dyDescent="0.2">
      <c r="A599" s="113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599" s="114"/>
      <c r="C599" s="109"/>
      <c r="D599" s="123" t="s">
        <v>396</v>
      </c>
      <c r="E599" s="121"/>
      <c r="F599" s="122"/>
      <c r="G599" s="369">
        <v>100408782</v>
      </c>
      <c r="H599" s="369">
        <f>H604+H600</f>
        <v>0</v>
      </c>
      <c r="I599" s="369">
        <f t="shared" ref="I599:L599" si="440">I604+I600</f>
        <v>100408782</v>
      </c>
      <c r="J599" s="369">
        <v>86641242</v>
      </c>
      <c r="K599" s="369">
        <f t="shared" si="440"/>
        <v>0</v>
      </c>
      <c r="L599" s="369">
        <f t="shared" si="440"/>
        <v>86641242</v>
      </c>
    </row>
    <row r="600" spans="1:12" ht="78.75" x14ac:dyDescent="0.2">
      <c r="A600" s="113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IF(B600&gt;0,VLOOKUP(B600,КВСР!A311:B1476,2),IF(C600&gt;0,VLOOKUP(C600,КФСР!A311:B1823,2),IF(D600&gt;0,VLOOKUP(D600,Программа!A$1:B$5124,2),IF(F600&gt;0,VLOOKUP(F600,КВР!A$1:B$5001,2),IF(E600&gt;0,VLOOKUP(E600,Направление!A$1:B$4812,2))))))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14"/>
      <c r="C600" s="109"/>
      <c r="D600" s="123" t="s">
        <v>398</v>
      </c>
      <c r="E600" s="121"/>
      <c r="F600" s="122"/>
      <c r="G600" s="369">
        <v>320000</v>
      </c>
      <c r="H600" s="369">
        <f t="shared" ref="H600:L602" si="441">H601</f>
        <v>0</v>
      </c>
      <c r="I600" s="369">
        <f t="shared" si="441"/>
        <v>320000</v>
      </c>
      <c r="J600" s="369">
        <v>340000</v>
      </c>
      <c r="K600" s="369">
        <f t="shared" si="441"/>
        <v>0</v>
      </c>
      <c r="L600" s="369">
        <f t="shared" si="441"/>
        <v>340000</v>
      </c>
    </row>
    <row r="601" spans="1:12" ht="78.75" x14ac:dyDescent="0.2">
      <c r="A601" s="113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IF(B601&gt;0,VLOOKUP(B601,КВСР!A312:B1477,2),IF(C601&gt;0,VLOOKUP(C601,КФСР!A312:B1824,2),IF(D601&gt;0,VLOOKUP(D601,Программа!A$1:B$5124,2),IF(F601&gt;0,VLOOKUP(F601,КВР!A$1:B$5001,2),IF(E601&gt;0,VLOOKUP(E601,Направление!A$1:B$4812,2))))))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14"/>
      <c r="C601" s="109"/>
      <c r="D601" s="123" t="s">
        <v>400</v>
      </c>
      <c r="E601" s="121"/>
      <c r="F601" s="122"/>
      <c r="G601" s="369">
        <v>320000</v>
      </c>
      <c r="H601" s="369">
        <f t="shared" si="441"/>
        <v>0</v>
      </c>
      <c r="I601" s="369">
        <f t="shared" si="441"/>
        <v>320000</v>
      </c>
      <c r="J601" s="369">
        <v>340000</v>
      </c>
      <c r="K601" s="369">
        <f t="shared" si="441"/>
        <v>0</v>
      </c>
      <c r="L601" s="369">
        <f t="shared" si="441"/>
        <v>340000</v>
      </c>
    </row>
    <row r="602" spans="1:12" ht="47.25" x14ac:dyDescent="0.2">
      <c r="A602" s="113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IF(B602&gt;0,VLOOKUP(B602,КВСР!A313:B1478,2),IF(C602&gt;0,VLOOKUP(C602,КФСР!A313:B1825,2),IF(D602&gt;0,VLOOKUP(D602,Программа!A$1:B$5124,2),IF(F602&gt;0,VLOOKUP(F602,КВР!A$1:B$5001,2),IF(E602&gt;0,VLOOKUP(E602,Направление!A$1:B$4812,2))))))</f>
        <v xml:space="preserve">Обеспечение мероприятий по содержанию  военно-мемориального комплекса </v>
      </c>
      <c r="B602" s="114"/>
      <c r="C602" s="109"/>
      <c r="D602" s="123"/>
      <c r="E602" s="121">
        <v>29686</v>
      </c>
      <c r="F602" s="122"/>
      <c r="G602" s="369">
        <v>320000</v>
      </c>
      <c r="H602" s="369">
        <f t="shared" si="441"/>
        <v>0</v>
      </c>
      <c r="I602" s="369">
        <f t="shared" si="441"/>
        <v>320000</v>
      </c>
      <c r="J602" s="369">
        <v>340000</v>
      </c>
      <c r="K602" s="369">
        <f t="shared" si="441"/>
        <v>0</v>
      </c>
      <c r="L602" s="369">
        <f t="shared" si="441"/>
        <v>340000</v>
      </c>
    </row>
    <row r="603" spans="1:12" ht="47.25" x14ac:dyDescent="0.2">
      <c r="A603" s="113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IF(B603&gt;0,VLOOKUP(B603,КВСР!A314:B1479,2),IF(C603&gt;0,VLOOKUP(C603,КФСР!A314:B1826,2),IF(D603&gt;0,VLOOKUP(D603,Программа!A$1:B$5124,2),IF(F603&gt;0,VLOOKUP(F603,КВР!A$1:B$5001,2),IF(E603&gt;0,VLOOKUP(E603,Направление!A$1:B$4812,2))))))</f>
        <v>Предоставление субсидий бюджетным, автономным учреждениям и иным некоммерческим организациям</v>
      </c>
      <c r="B603" s="114"/>
      <c r="C603" s="109"/>
      <c r="D603" s="123"/>
      <c r="E603" s="121"/>
      <c r="F603" s="122">
        <v>600</v>
      </c>
      <c r="G603" s="369">
        <v>320000</v>
      </c>
      <c r="H603" s="369"/>
      <c r="I603" s="369">
        <f>G603+H603</f>
        <v>320000</v>
      </c>
      <c r="J603" s="369">
        <v>340000</v>
      </c>
      <c r="K603" s="286"/>
      <c r="L603" s="286">
        <f>J603+K603</f>
        <v>340000</v>
      </c>
    </row>
    <row r="604" spans="1:12" ht="47.25" x14ac:dyDescent="0.2">
      <c r="A604" s="113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IF(B604&gt;0,VLOOKUP(B604,КВСР!A311:B1476,2),IF(C604&gt;0,VLOOKUP(C604,КФСР!A311:B1823,2),IF(D604&gt;0,VLOOKUP(D604,Программа!A$1:B$5124,2),IF(F604&gt;0,VLOOKUP(F604,КВР!A$1:B$5001,2),IF(E604&gt;0,VLOOKUP(E604,Направление!A$1:B$4812,2))))))</f>
        <v>Ведомственная целевая программа «Сохранение и развитие культуры Тутаевского муниципального района»</v>
      </c>
      <c r="B604" s="114"/>
      <c r="C604" s="109"/>
      <c r="D604" s="123" t="s">
        <v>494</v>
      </c>
      <c r="E604" s="121"/>
      <c r="F604" s="122"/>
      <c r="G604" s="369">
        <v>100088782</v>
      </c>
      <c r="H604" s="369">
        <f>H605+H616+H625</f>
        <v>0</v>
      </c>
      <c r="I604" s="369">
        <f t="shared" ref="I604:L604" si="442">I605+I616+I625</f>
        <v>100088782</v>
      </c>
      <c r="J604" s="369">
        <v>86301242</v>
      </c>
      <c r="K604" s="369">
        <f t="shared" si="442"/>
        <v>0</v>
      </c>
      <c r="L604" s="369">
        <f t="shared" si="442"/>
        <v>86301242</v>
      </c>
    </row>
    <row r="605" spans="1:12" ht="31.5" x14ac:dyDescent="0.2">
      <c r="A605" s="113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IF(B605&gt;0,VLOOKUP(B605,КВСР!A312:B1477,2),IF(C605&gt;0,VLOOKUP(C605,КФСР!A312:B1824,2),IF(D605&gt;0,VLOOKUP(D605,Программа!A$1:B$5124,2),IF(F605&gt;0,VLOOKUP(F605,КВР!A$1:B$5001,2),IF(E605&gt;0,VLOOKUP(E605,Направление!A$1:B$4812,2))))))</f>
        <v>Содействие доступу граждан к культурным ценностям</v>
      </c>
      <c r="B605" s="114"/>
      <c r="C605" s="109"/>
      <c r="D605" s="123" t="s">
        <v>512</v>
      </c>
      <c r="E605" s="121"/>
      <c r="F605" s="122"/>
      <c r="G605" s="369">
        <v>73077200</v>
      </c>
      <c r="H605" s="369">
        <f>H606+H608+H614+H610+H612</f>
        <v>0</v>
      </c>
      <c r="I605" s="369">
        <f t="shared" ref="I605:L605" si="443">I606+I608+I614+I610+I612</f>
        <v>73077200</v>
      </c>
      <c r="J605" s="369">
        <v>62874077</v>
      </c>
      <c r="K605" s="369">
        <f t="shared" si="443"/>
        <v>0</v>
      </c>
      <c r="L605" s="369">
        <f t="shared" si="443"/>
        <v>62874077</v>
      </c>
    </row>
    <row r="606" spans="1:12" ht="31.5" x14ac:dyDescent="0.2">
      <c r="A606" s="113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IF(B606&gt;0,VLOOKUP(B606,КВСР!A312:B1477,2),IF(C606&gt;0,VLOOKUP(C606,КФСР!A312:B1824,2),IF(D606&gt;0,VLOOKUP(D606,Программа!A$1:B$5124,2),IF(F606&gt;0,VLOOKUP(F606,КВР!A$1:B$5001,2),IF(E606&gt;0,VLOOKUP(E606,Направление!A$1:B$4812,2))))))</f>
        <v>Обеспечение деятельности учреждений по организации досуга в сфере культуры</v>
      </c>
      <c r="B606" s="114"/>
      <c r="C606" s="109"/>
      <c r="D606" s="123"/>
      <c r="E606" s="121">
        <v>15010</v>
      </c>
      <c r="F606" s="122"/>
      <c r="G606" s="369">
        <v>13203123</v>
      </c>
      <c r="H606" s="369">
        <f t="shared" ref="H606:I606" si="444">H607</f>
        <v>0</v>
      </c>
      <c r="I606" s="369">
        <f t="shared" si="444"/>
        <v>13203123</v>
      </c>
      <c r="J606" s="369">
        <v>0</v>
      </c>
      <c r="K606" s="286">
        <f t="shared" ref="K606:L606" si="445">K607</f>
        <v>0</v>
      </c>
      <c r="L606" s="286">
        <f t="shared" si="445"/>
        <v>0</v>
      </c>
    </row>
    <row r="607" spans="1:12" ht="47.25" x14ac:dyDescent="0.2">
      <c r="A607" s="113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IF(B607&gt;0,VLOOKUP(B607,КВСР!A313:B1478,2),IF(C607&gt;0,VLOOKUP(C607,КФСР!A313:B1825,2),IF(D607&gt;0,VLOOKUP(D607,Программа!A$1:B$5124,2),IF(F607&gt;0,VLOOKUP(F607,КВР!A$1:B$5001,2),IF(E607&gt;0,VLOOKUP(E607,Направление!A$1:B$4812,2))))))</f>
        <v>Предоставление субсидий бюджетным, автономным учреждениям и иным некоммерческим организациям</v>
      </c>
      <c r="B607" s="114"/>
      <c r="C607" s="109"/>
      <c r="D607" s="123"/>
      <c r="E607" s="121"/>
      <c r="F607" s="122">
        <v>600</v>
      </c>
      <c r="G607" s="369">
        <v>13203123</v>
      </c>
      <c r="H607" s="369"/>
      <c r="I607" s="369">
        <f t="shared" si="433"/>
        <v>13203123</v>
      </c>
      <c r="J607" s="369">
        <v>0</v>
      </c>
      <c r="K607" s="286"/>
      <c r="L607" s="286">
        <f t="shared" si="435"/>
        <v>0</v>
      </c>
    </row>
    <row r="608" spans="1:12" ht="47.25" x14ac:dyDescent="0.2">
      <c r="A608" s="113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IF(B608&gt;0,VLOOKUP(B608,КВСР!A314:B1479,2),IF(C608&gt;0,VLOOKUP(C608,КФСР!A314:B1826,2),IF(D608&gt;0,VLOOKUP(D608,Программа!A$1:B$5124,2),IF(F608&gt;0,VLOOKUP(F608,КВР!A$1:B$5001,2),IF(E608&gt;0,VLOOKUP(E608,Направление!A$1:B$4812,2))))))</f>
        <v>Расходы на повышение оплаты труда работников муниципальных учреждений в сфере культуры</v>
      </c>
      <c r="B608" s="114"/>
      <c r="C608" s="109"/>
      <c r="D608" s="123"/>
      <c r="E608" s="121">
        <v>15900</v>
      </c>
      <c r="F608" s="122"/>
      <c r="G608" s="369">
        <v>39744877</v>
      </c>
      <c r="H608" s="369">
        <f t="shared" ref="H608:L608" si="446">H609</f>
        <v>0</v>
      </c>
      <c r="I608" s="369">
        <f t="shared" si="446"/>
        <v>39744877</v>
      </c>
      <c r="J608" s="369">
        <v>39744877</v>
      </c>
      <c r="K608" s="369">
        <f t="shared" si="446"/>
        <v>0</v>
      </c>
      <c r="L608" s="369">
        <f t="shared" si="446"/>
        <v>39744877</v>
      </c>
    </row>
    <row r="609" spans="1:12" ht="47.25" x14ac:dyDescent="0.2">
      <c r="A609" s="113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IF(B609&gt;0,VLOOKUP(B609,КВСР!A315:B1480,2),IF(C609&gt;0,VLOOKUP(C609,КФСР!A315:B1827,2),IF(D609&gt;0,VLOOKUP(D609,Программа!A$1:B$5124,2),IF(F609&gt;0,VLOOKUP(F609,КВР!A$1:B$5001,2),IF(E609&gt;0,VLOOKUP(E609,Направление!A$1:B$4812,2))))))</f>
        <v>Предоставление субсидий бюджетным, автономным учреждениям и иным некоммерческим организациям</v>
      </c>
      <c r="B609" s="114"/>
      <c r="C609" s="109"/>
      <c r="D609" s="123"/>
      <c r="E609" s="121"/>
      <c r="F609" s="122">
        <v>600</v>
      </c>
      <c r="G609" s="369">
        <v>39744877</v>
      </c>
      <c r="H609" s="369"/>
      <c r="I609" s="369">
        <f>G609+H609</f>
        <v>39744877</v>
      </c>
      <c r="J609" s="369">
        <v>39744877</v>
      </c>
      <c r="K609" s="286"/>
      <c r="L609" s="286">
        <f>J609+K609</f>
        <v>39744877</v>
      </c>
    </row>
    <row r="610" spans="1:12" ht="15.75" x14ac:dyDescent="0.2">
      <c r="A610" s="113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IF(B610&gt;0,VLOOKUP(B610,КВСР!A316:B1481,2),IF(C610&gt;0,VLOOKUP(C610,КФСР!A316:B1828,2),IF(D610&gt;0,VLOOKUP(D610,Программа!A$1:B$5124,2),IF(F610&gt;0,VLOOKUP(F610,КВР!A$1:B$5001,2),IF(E610&gt;0,VLOOKUP(E610,Направление!A$1:B$4812,2))))))</f>
        <v>Мероприятия в сфере культуры</v>
      </c>
      <c r="B610" s="114"/>
      <c r="C610" s="109"/>
      <c r="D610" s="123"/>
      <c r="E610" s="121">
        <v>29216</v>
      </c>
      <c r="F610" s="122"/>
      <c r="G610" s="369">
        <v>0</v>
      </c>
      <c r="H610" s="369">
        <f t="shared" ref="H610:L610" si="447">H611</f>
        <v>0</v>
      </c>
      <c r="I610" s="369">
        <f t="shared" si="447"/>
        <v>0</v>
      </c>
      <c r="J610" s="369">
        <v>3000000</v>
      </c>
      <c r="K610" s="369">
        <f t="shared" si="447"/>
        <v>0</v>
      </c>
      <c r="L610" s="369">
        <f t="shared" si="447"/>
        <v>3000000</v>
      </c>
    </row>
    <row r="611" spans="1:12" ht="47.25" x14ac:dyDescent="0.2">
      <c r="A611" s="113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IF(B611&gt;0,VLOOKUP(B611,КВСР!A317:B1482,2),IF(C611&gt;0,VLOOKUP(C611,КФСР!A317:B1829,2),IF(D611&gt;0,VLOOKUP(D611,Программа!A$1:B$5124,2),IF(F611&gt;0,VLOOKUP(F611,КВР!A$1:B$5001,2),IF(E611&gt;0,VLOOKUP(E611,Направление!A$1:B$4812,2))))))</f>
        <v>Предоставление субсидий бюджетным, автономным учреждениям и иным некоммерческим организациям</v>
      </c>
      <c r="B611" s="114"/>
      <c r="C611" s="109"/>
      <c r="D611" s="123"/>
      <c r="E611" s="121"/>
      <c r="F611" s="122">
        <v>600</v>
      </c>
      <c r="G611" s="369">
        <v>0</v>
      </c>
      <c r="H611" s="369"/>
      <c r="I611" s="369">
        <f t="shared" ref="I611:I613" si="448">G611+H611</f>
        <v>0</v>
      </c>
      <c r="J611" s="369">
        <v>3000000</v>
      </c>
      <c r="K611" s="286"/>
      <c r="L611" s="286">
        <f t="shared" ref="L611:L613" si="449">J611+K611</f>
        <v>3000000</v>
      </c>
    </row>
    <row r="612" spans="1:12" ht="63" x14ac:dyDescent="0.2">
      <c r="A612" s="113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IF(B612&gt;0,VLOOKUP(B612,КВСР!A318:B1483,2),IF(C612&gt;0,VLOOKUP(C612,КФСР!A318:B1830,2),IF(D612&gt;0,VLOOKUP(D612,Программа!A$1:B$5124,2),IF(F612&gt;0,VLOOKUP(F612,КВР!A$1:B$5001,2),IF(E612&gt;0,VLOOKUP(E612,Направление!A$1:B$4812,2))))))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14"/>
      <c r="C612" s="109"/>
      <c r="D612" s="123"/>
      <c r="E612" s="121">
        <v>29556</v>
      </c>
      <c r="F612" s="122"/>
      <c r="G612" s="369">
        <v>215000</v>
      </c>
      <c r="H612" s="369">
        <f t="shared" ref="H612:L612" si="450">H613</f>
        <v>0</v>
      </c>
      <c r="I612" s="369">
        <f t="shared" si="450"/>
        <v>215000</v>
      </c>
      <c r="J612" s="369">
        <v>215000</v>
      </c>
      <c r="K612" s="369">
        <f t="shared" si="450"/>
        <v>0</v>
      </c>
      <c r="L612" s="369">
        <f t="shared" si="450"/>
        <v>215000</v>
      </c>
    </row>
    <row r="613" spans="1:12" ht="47.25" x14ac:dyDescent="0.2">
      <c r="A613" s="113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IF(B613&gt;0,VLOOKUP(B613,КВСР!A319:B1484,2),IF(C613&gt;0,VLOOKUP(C613,КФСР!A319:B1831,2),IF(D613&gt;0,VLOOKUP(D613,Программа!A$1:B$5124,2),IF(F613&gt;0,VLOOKUP(F613,КВР!A$1:B$5001,2),IF(E613&gt;0,VLOOKUP(E613,Направление!A$1:B$4812,2))))))</f>
        <v>Предоставление субсидий бюджетным, автономным учреждениям и иным некоммерческим организациям</v>
      </c>
      <c r="B613" s="114"/>
      <c r="C613" s="109"/>
      <c r="D613" s="123"/>
      <c r="E613" s="121"/>
      <c r="F613" s="122">
        <v>600</v>
      </c>
      <c r="G613" s="369">
        <v>215000</v>
      </c>
      <c r="H613" s="369"/>
      <c r="I613" s="369">
        <f t="shared" si="448"/>
        <v>215000</v>
      </c>
      <c r="J613" s="369">
        <v>215000</v>
      </c>
      <c r="K613" s="286"/>
      <c r="L613" s="286">
        <f t="shared" si="449"/>
        <v>215000</v>
      </c>
    </row>
    <row r="614" spans="1:12" ht="47.25" x14ac:dyDescent="0.2">
      <c r="A614" s="113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IF(B614&gt;0,VLOOKUP(B614,КВСР!A316:B1481,2),IF(C614&gt;0,VLOOKUP(C614,КФСР!A316:B1828,2),IF(D614&gt;0,VLOOKUP(D614,Программа!A$1:B$5124,2),IF(F614&gt;0,VLOOKUP(F614,КВР!A$1:B$5001,2),IF(E614&gt;0,VLOOKUP(E614,Направление!A$1:B$4812,2))))))</f>
        <v>Расходы на повышение оплаты труда работников муниципальных учреждений в сфере культуры</v>
      </c>
      <c r="B614" s="114"/>
      <c r="C614" s="109"/>
      <c r="D614" s="123"/>
      <c r="E614" s="121">
        <v>75900</v>
      </c>
      <c r="F614" s="122"/>
      <c r="G614" s="369">
        <v>19914200</v>
      </c>
      <c r="H614" s="369">
        <f t="shared" ref="H614:L614" si="451">H615</f>
        <v>0</v>
      </c>
      <c r="I614" s="369">
        <f t="shared" si="451"/>
        <v>19914200</v>
      </c>
      <c r="J614" s="369">
        <v>19914200</v>
      </c>
      <c r="K614" s="369">
        <f t="shared" si="451"/>
        <v>0</v>
      </c>
      <c r="L614" s="369">
        <f t="shared" si="451"/>
        <v>19914200</v>
      </c>
    </row>
    <row r="615" spans="1:12" ht="47.25" x14ac:dyDescent="0.2">
      <c r="A615" s="113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IF(B615&gt;0,VLOOKUP(B615,КВСР!A317:B1482,2),IF(C615&gt;0,VLOOKUP(C615,КФСР!A317:B1829,2),IF(D615&gt;0,VLOOKUP(D615,Программа!A$1:B$5124,2),IF(F615&gt;0,VLOOKUP(F615,КВР!A$1:B$5001,2),IF(E615&gt;0,VLOOKUP(E615,Направление!A$1:B$4812,2))))))</f>
        <v>Предоставление субсидий бюджетным, автономным учреждениям и иным некоммерческим организациям</v>
      </c>
      <c r="B615" s="114"/>
      <c r="C615" s="109"/>
      <c r="D615" s="123"/>
      <c r="E615" s="121"/>
      <c r="F615" s="122">
        <v>600</v>
      </c>
      <c r="G615" s="369">
        <v>19914200</v>
      </c>
      <c r="H615" s="369"/>
      <c r="I615" s="369">
        <f>G615+H615</f>
        <v>19914200</v>
      </c>
      <c r="J615" s="369">
        <v>19914200</v>
      </c>
      <c r="K615" s="369"/>
      <c r="L615" s="286">
        <f>J615+K615</f>
        <v>19914200</v>
      </c>
    </row>
    <row r="616" spans="1:12" ht="31.5" x14ac:dyDescent="0.2">
      <c r="A616" s="113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IF(B616&gt;0,VLOOKUP(B616,КВСР!A314:B1479,2),IF(C616&gt;0,VLOOKUP(C616,КФСР!A314:B1826,2),IF(D616&gt;0,VLOOKUP(D616,Программа!A$1:B$5124,2),IF(F616&gt;0,VLOOKUP(F616,КВР!A$1:B$5001,2),IF(E616&gt;0,VLOOKUP(E616,Направление!A$1:B$4812,2))))))</f>
        <v>Поддержка доступа граждан к информационно-библиотечным ресурсам</v>
      </c>
      <c r="B616" s="114"/>
      <c r="C616" s="109"/>
      <c r="D616" s="123" t="s">
        <v>517</v>
      </c>
      <c r="E616" s="121"/>
      <c r="F616" s="122"/>
      <c r="G616" s="369">
        <v>22011582</v>
      </c>
      <c r="H616" s="369">
        <f>H617+H621+H623+H619</f>
        <v>0</v>
      </c>
      <c r="I616" s="369">
        <f t="shared" ref="I616:L616" si="452">I617+I621+I623+I619</f>
        <v>22011582</v>
      </c>
      <c r="J616" s="369">
        <v>23427165</v>
      </c>
      <c r="K616" s="369">
        <f t="shared" si="452"/>
        <v>0</v>
      </c>
      <c r="L616" s="369">
        <f t="shared" si="452"/>
        <v>23427165</v>
      </c>
    </row>
    <row r="617" spans="1:12" ht="15.75" x14ac:dyDescent="0.2">
      <c r="A617" s="113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IF(B617&gt;0,VLOOKUP(B617,КВСР!A315:B1480,2),IF(C617&gt;0,VLOOKUP(C617,КФСР!A315:B1827,2),IF(D617&gt;0,VLOOKUP(D617,Программа!A$1:B$5124,2),IF(F617&gt;0,VLOOKUP(F617,КВР!A$1:B$5001,2),IF(E617&gt;0,VLOOKUP(E617,Направление!A$1:B$4812,2))))))</f>
        <v>Обеспечение деятельности библиотек</v>
      </c>
      <c r="B617" s="114"/>
      <c r="C617" s="109"/>
      <c r="D617" s="123"/>
      <c r="E617" s="121">
        <v>15110</v>
      </c>
      <c r="F617" s="122"/>
      <c r="G617" s="369">
        <v>384417</v>
      </c>
      <c r="H617" s="369">
        <f t="shared" ref="H617:I617" si="453">H618</f>
        <v>0</v>
      </c>
      <c r="I617" s="369">
        <f t="shared" si="453"/>
        <v>384417</v>
      </c>
      <c r="J617" s="369">
        <v>1800000</v>
      </c>
      <c r="K617" s="286">
        <f t="shared" ref="K617:L617" si="454">K618</f>
        <v>0</v>
      </c>
      <c r="L617" s="286">
        <f t="shared" si="454"/>
        <v>1800000</v>
      </c>
    </row>
    <row r="618" spans="1:12" ht="47.25" x14ac:dyDescent="0.2">
      <c r="A618" s="113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IF(B618&gt;0,VLOOKUP(B618,КВСР!A316:B1481,2),IF(C618&gt;0,VLOOKUP(C618,КФСР!A316:B1828,2),IF(D618&gt;0,VLOOKUP(D618,Программа!A$1:B$5124,2),IF(F618&gt;0,VLOOKUP(F618,КВР!A$1:B$5001,2),IF(E618&gt;0,VLOOKUP(E618,Направление!A$1:B$4812,2))))))</f>
        <v>Предоставление субсидий бюджетным, автономным учреждениям и иным некоммерческим организациям</v>
      </c>
      <c r="B618" s="114"/>
      <c r="C618" s="109"/>
      <c r="D618" s="123"/>
      <c r="E618" s="121"/>
      <c r="F618" s="122">
        <v>600</v>
      </c>
      <c r="G618" s="369">
        <v>384417</v>
      </c>
      <c r="H618" s="369"/>
      <c r="I618" s="369">
        <f t="shared" si="433"/>
        <v>384417</v>
      </c>
      <c r="J618" s="369">
        <v>1800000</v>
      </c>
      <c r="K618" s="286"/>
      <c r="L618" s="286">
        <f t="shared" si="435"/>
        <v>1800000</v>
      </c>
    </row>
    <row r="619" spans="1:12" ht="47.25" x14ac:dyDescent="0.2">
      <c r="A619" s="113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IF(B619&gt;0,VLOOKUP(B619,КВСР!A317:B1482,2),IF(C619&gt;0,VLOOKUP(C619,КФСР!A317:B1829,2),IF(D619&gt;0,VLOOKUP(D619,Программа!A$1:B$5124,2),IF(F619&gt;0,VLOOKUP(F619,КВР!A$1:B$5001,2),IF(E619&gt;0,VLOOKUP(E619,Направление!A$1:B$4812,2))))))</f>
        <v>Расходы на повышение оплаты труда работников муниципальных учреждений в сфере культуры</v>
      </c>
      <c r="B619" s="114"/>
      <c r="C619" s="109"/>
      <c r="D619" s="123"/>
      <c r="E619" s="121">
        <v>15900</v>
      </c>
      <c r="F619" s="122"/>
      <c r="G619" s="369">
        <v>14290583</v>
      </c>
      <c r="H619" s="369">
        <f>H620</f>
        <v>0</v>
      </c>
      <c r="I619" s="369">
        <f t="shared" ref="I619:L619" si="455">I620</f>
        <v>14290583</v>
      </c>
      <c r="J619" s="369">
        <v>14290583</v>
      </c>
      <c r="K619" s="369">
        <f t="shared" si="455"/>
        <v>0</v>
      </c>
      <c r="L619" s="369">
        <f t="shared" si="455"/>
        <v>14290583</v>
      </c>
    </row>
    <row r="620" spans="1:12" ht="47.25" x14ac:dyDescent="0.2">
      <c r="A620" s="113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IF(B620&gt;0,VLOOKUP(B620,КВСР!A318:B1483,2),IF(C620&gt;0,VLOOKUP(C620,КФСР!A318:B1830,2),IF(D620&gt;0,VLOOKUP(D620,Программа!A$1:B$5124,2),IF(F620&gt;0,VLOOKUP(F620,КВР!A$1:B$5001,2),IF(E620&gt;0,VLOOKUP(E620,Направление!A$1:B$4812,2))))))</f>
        <v>Предоставление субсидий бюджетным, автономным учреждениям и иным некоммерческим организациям</v>
      </c>
      <c r="B620" s="114"/>
      <c r="C620" s="109"/>
      <c r="D620" s="123"/>
      <c r="E620" s="121"/>
      <c r="F620" s="122">
        <v>600</v>
      </c>
      <c r="G620" s="369">
        <v>14290583</v>
      </c>
      <c r="H620" s="369"/>
      <c r="I620" s="369">
        <f t="shared" si="433"/>
        <v>14290583</v>
      </c>
      <c r="J620" s="369">
        <v>14290583</v>
      </c>
      <c r="K620" s="286"/>
      <c r="L620" s="286">
        <f t="shared" si="435"/>
        <v>14290583</v>
      </c>
    </row>
    <row r="621" spans="1:12" ht="47.25" x14ac:dyDescent="0.2">
      <c r="A621" s="113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IF(B621&gt;0,VLOOKUP(B621,КВСР!A317:B1482,2),IF(C621&gt;0,VLOOKUP(C621,КФСР!A317:B1829,2),IF(D621&gt;0,VLOOKUP(D621,Программа!A$1:B$5124,2),IF(F621&gt;0,VLOOKUP(F621,КВР!A$1:B$5001,2),IF(E621&gt;0,VLOOKUP(E621,Направление!A$1:B$4812,2))))))</f>
        <v>Расходы на повышение оплаты труда работников муниципальных учреждений в сфере культуры</v>
      </c>
      <c r="B621" s="114"/>
      <c r="C621" s="109"/>
      <c r="D621" s="123"/>
      <c r="E621" s="121">
        <v>75900</v>
      </c>
      <c r="F621" s="122"/>
      <c r="G621" s="369">
        <v>7160307</v>
      </c>
      <c r="H621" s="369">
        <f t="shared" ref="H621:L621" si="456">H622</f>
        <v>0</v>
      </c>
      <c r="I621" s="369">
        <f t="shared" si="456"/>
        <v>7160307</v>
      </c>
      <c r="J621" s="369">
        <v>7160307</v>
      </c>
      <c r="K621" s="369">
        <f t="shared" si="456"/>
        <v>0</v>
      </c>
      <c r="L621" s="369">
        <f t="shared" si="456"/>
        <v>7160307</v>
      </c>
    </row>
    <row r="622" spans="1:12" ht="47.25" x14ac:dyDescent="0.2">
      <c r="A622" s="113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IF(B622&gt;0,VLOOKUP(B622,КВСР!A318:B1483,2),IF(C622&gt;0,VLOOKUP(C622,КФСР!A318:B1830,2),IF(D622&gt;0,VLOOKUP(D622,Программа!A$1:B$5124,2),IF(F622&gt;0,VLOOKUP(F622,КВР!A$1:B$5001,2),IF(E622&gt;0,VLOOKUP(E622,Направление!A$1:B$4812,2))))))</f>
        <v>Предоставление субсидий бюджетным, автономным учреждениям и иным некоммерческим организациям</v>
      </c>
      <c r="B622" s="114"/>
      <c r="C622" s="109"/>
      <c r="D622" s="123"/>
      <c r="E622" s="121"/>
      <c r="F622" s="122">
        <v>600</v>
      </c>
      <c r="G622" s="369">
        <v>7160307</v>
      </c>
      <c r="H622" s="369"/>
      <c r="I622" s="369">
        <f>G622+H622</f>
        <v>7160307</v>
      </c>
      <c r="J622" s="369">
        <v>7160307</v>
      </c>
      <c r="K622" s="369"/>
      <c r="L622" s="286">
        <f>J622+K622</f>
        <v>7160307</v>
      </c>
    </row>
    <row r="623" spans="1:12" ht="31.5" x14ac:dyDescent="0.2">
      <c r="A623" s="113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IF(B623&gt;0,VLOOKUP(B623,КВСР!A320:B1485,2),IF(C623&gt;0,VLOOKUP(C623,КФСР!A320:B1832,2),IF(D623&gt;0,VLOOKUP(D623,Программа!A$1:B$5124,2),IF(F623&gt;0,VLOOKUP(F623,КВР!A$1:B$5001,2),IF(E623&gt;0,VLOOKUP(E623,Направление!A$1:B$4812,2))))))</f>
        <v>Расходы на комплектование книжных фондов муниципальных библиотек</v>
      </c>
      <c r="B623" s="114"/>
      <c r="C623" s="109"/>
      <c r="D623" s="123"/>
      <c r="E623" s="121" t="s">
        <v>1755</v>
      </c>
      <c r="F623" s="122"/>
      <c r="G623" s="369">
        <v>176275</v>
      </c>
      <c r="H623" s="369">
        <f>H624</f>
        <v>0</v>
      </c>
      <c r="I623" s="369">
        <f t="shared" ref="I623:L623" si="457">I624</f>
        <v>176275</v>
      </c>
      <c r="J623" s="369">
        <v>176275</v>
      </c>
      <c r="K623" s="369">
        <f t="shared" si="457"/>
        <v>0</v>
      </c>
      <c r="L623" s="369">
        <f t="shared" si="457"/>
        <v>176275</v>
      </c>
    </row>
    <row r="624" spans="1:12" ht="47.25" x14ac:dyDescent="0.2">
      <c r="A624" s="113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IF(B624&gt;0,VLOOKUP(B624,КВСР!A321:B1486,2),IF(C624&gt;0,VLOOKUP(C624,КФСР!A321:B1833,2),IF(D624&gt;0,VLOOKUP(D624,Программа!A$1:B$5124,2),IF(F624&gt;0,VLOOKUP(F624,КВР!A$1:B$5001,2),IF(E624&gt;0,VLOOKUP(E624,Направление!A$1:B$4812,2))))))</f>
        <v>Предоставление субсидий бюджетным, автономным учреждениям и иным некоммерческим организациям</v>
      </c>
      <c r="B624" s="114"/>
      <c r="C624" s="109"/>
      <c r="D624" s="123"/>
      <c r="E624" s="121"/>
      <c r="F624" s="122">
        <v>600</v>
      </c>
      <c r="G624" s="369">
        <v>176275</v>
      </c>
      <c r="H624" s="369"/>
      <c r="I624" s="369">
        <f t="shared" ref="I624:I627" si="458">G624+H624</f>
        <v>176275</v>
      </c>
      <c r="J624" s="369">
        <v>176275</v>
      </c>
      <c r="K624" s="369"/>
      <c r="L624" s="286">
        <f t="shared" ref="L624:L627" si="459">J624+K624</f>
        <v>176275</v>
      </c>
    </row>
    <row r="625" spans="1:12" ht="15.75" x14ac:dyDescent="0.2">
      <c r="A625" s="113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IF(B625&gt;0,VLOOKUP(B625,КВСР!A322:B1487,2),IF(C625&gt;0,VLOOKUP(C625,КФСР!A322:B1834,2),IF(D625&gt;0,VLOOKUP(D625,Программа!A$1:B$5124,2),IF(F625&gt;0,VLOOKUP(F625,КВР!A$1:B$5001,2),IF(E625&gt;0,VLOOKUP(E625,Направление!A$1:B$4812,2))))))</f>
        <v>Федеральный проект "Культурная среда"</v>
      </c>
      <c r="B625" s="114"/>
      <c r="C625" s="109"/>
      <c r="D625" s="123" t="s">
        <v>1570</v>
      </c>
      <c r="E625" s="121"/>
      <c r="F625" s="122"/>
      <c r="G625" s="369">
        <v>5000000</v>
      </c>
      <c r="H625" s="369">
        <f t="shared" ref="H625:L626" si="460">H626</f>
        <v>0</v>
      </c>
      <c r="I625" s="369">
        <f t="shared" si="460"/>
        <v>5000000</v>
      </c>
      <c r="J625" s="369">
        <v>0</v>
      </c>
      <c r="K625" s="369">
        <f t="shared" si="460"/>
        <v>0</v>
      </c>
      <c r="L625" s="369">
        <f t="shared" si="460"/>
        <v>0</v>
      </c>
    </row>
    <row r="626" spans="1:12" ht="31.5" x14ac:dyDescent="0.2">
      <c r="A626" s="113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IF(B626&gt;0,VLOOKUP(B626,КВСР!A323:B1488,2),IF(C626&gt;0,VLOOKUP(C626,КФСР!A323:B1835,2),IF(D626&gt;0,VLOOKUP(D626,Программа!A$1:B$5124,2),IF(F626&gt;0,VLOOKUP(F626,КВР!A$1:B$5001,2),IF(E626&gt;0,VLOOKUP(E626,Направление!A$1:B$4812,2))))))</f>
        <v>Расходы на проведение капитального ремонта муниципальных библиотек</v>
      </c>
      <c r="B626" s="114"/>
      <c r="C626" s="109"/>
      <c r="D626" s="123"/>
      <c r="E626" s="121">
        <v>14540</v>
      </c>
      <c r="F626" s="122"/>
      <c r="G626" s="369">
        <v>5000000</v>
      </c>
      <c r="H626" s="369">
        <f t="shared" si="460"/>
        <v>0</v>
      </c>
      <c r="I626" s="369">
        <f t="shared" si="460"/>
        <v>5000000</v>
      </c>
      <c r="J626" s="369">
        <v>0</v>
      </c>
      <c r="K626" s="369">
        <f t="shared" si="460"/>
        <v>0</v>
      </c>
      <c r="L626" s="369">
        <f t="shared" si="460"/>
        <v>0</v>
      </c>
    </row>
    <row r="627" spans="1:12" ht="47.25" x14ac:dyDescent="0.2">
      <c r="A627" s="113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IF(B627&gt;0,VLOOKUP(B627,КВСР!A324:B1489,2),IF(C627&gt;0,VLOOKUP(C627,КФСР!A324:B1836,2),IF(D627&gt;0,VLOOKUP(D627,Программа!A$1:B$5124,2),IF(F627&gt;0,VLOOKUP(F627,КВР!A$1:B$5001,2),IF(E627&gt;0,VLOOKUP(E627,Направление!A$1:B$4812,2))))))</f>
        <v>Предоставление субсидий бюджетным, автономным учреждениям и иным некоммерческим организациям</v>
      </c>
      <c r="B627" s="114"/>
      <c r="C627" s="109"/>
      <c r="D627" s="123"/>
      <c r="E627" s="121"/>
      <c r="F627" s="122">
        <v>600</v>
      </c>
      <c r="G627" s="369">
        <v>5000000</v>
      </c>
      <c r="H627" s="369"/>
      <c r="I627" s="369">
        <f t="shared" si="458"/>
        <v>5000000</v>
      </c>
      <c r="J627" s="369">
        <v>0</v>
      </c>
      <c r="K627" s="369"/>
      <c r="L627" s="286">
        <f t="shared" si="459"/>
        <v>0</v>
      </c>
    </row>
    <row r="628" spans="1:12" ht="31.5" x14ac:dyDescent="0.2">
      <c r="A628" s="113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IF(B628&gt;0,VLOOKUP(B628,КВСР!A317:B1482,2),IF(C628&gt;0,VLOOKUP(C628,КФСР!A317:B1829,2),IF(D628&gt;0,VLOOKUP(D628,Программа!A$1:B$5124,2),IF(F628&gt;0,VLOOKUP(F628,КВР!A$1:B$5001,2),IF(E628&gt;0,VLOOKUP(E628,Направление!A$1:B$4812,2))))))</f>
        <v>Другие вопросы в области культуры, кинематографии</v>
      </c>
      <c r="B628" s="114"/>
      <c r="C628" s="109">
        <v>804</v>
      </c>
      <c r="D628" s="110"/>
      <c r="E628" s="109"/>
      <c r="F628" s="111"/>
      <c r="G628" s="369">
        <v>12300000</v>
      </c>
      <c r="H628" s="369">
        <f t="shared" ref="H628:I628" si="461">H629</f>
        <v>0</v>
      </c>
      <c r="I628" s="369">
        <f t="shared" si="461"/>
        <v>12300000</v>
      </c>
      <c r="J628" s="369">
        <v>0</v>
      </c>
      <c r="K628" s="286">
        <f t="shared" ref="K628:L628" si="462">K629</f>
        <v>0</v>
      </c>
      <c r="L628" s="286">
        <f t="shared" si="462"/>
        <v>0</v>
      </c>
    </row>
    <row r="629" spans="1:12" ht="63" x14ac:dyDescent="0.2">
      <c r="A629" s="113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IF(B629&gt;0,VLOOKUP(B629,КВСР!A329:B1494,2),IF(C629&gt;0,VLOOKUP(C629,КФСР!A329:B1841,2),IF(D629&gt;0,VLOOKUP(D629,Программа!A$1:B$5124,2),IF(F629&gt;0,VLOOKUP(F629,КВР!A$1:B$5001,2),IF(E629&gt;0,VLOOKUP(E629,Направление!A$1:B$4812,2))))))</f>
        <v>Муниципальная программа  "Развитие культуры, туризма и молодежной политики в Тутаевском муниципальном районе"</v>
      </c>
      <c r="B629" s="114"/>
      <c r="C629" s="109"/>
      <c r="D629" s="110" t="s">
        <v>396</v>
      </c>
      <c r="E629" s="109"/>
      <c r="F629" s="111"/>
      <c r="G629" s="369">
        <v>12300000</v>
      </c>
      <c r="H629" s="369">
        <f t="shared" ref="H629:I629" si="463">H631</f>
        <v>0</v>
      </c>
      <c r="I629" s="369">
        <f t="shared" si="463"/>
        <v>12300000</v>
      </c>
      <c r="J629" s="369">
        <v>0</v>
      </c>
      <c r="K629" s="286">
        <f t="shared" ref="K629:L629" si="464">K631</f>
        <v>0</v>
      </c>
      <c r="L629" s="286">
        <f t="shared" si="464"/>
        <v>0</v>
      </c>
    </row>
    <row r="630" spans="1:12" ht="47.25" x14ac:dyDescent="0.2">
      <c r="A630" s="113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IF(B630&gt;0,VLOOKUP(B630,КВСР!A330:B1495,2),IF(C630&gt;0,VLOOKUP(C630,КФСР!A330:B1842,2),IF(D630&gt;0,VLOOKUP(D630,Программа!A$1:B$5124,2),IF(F630&gt;0,VLOOKUP(F630,КВР!A$1:B$5001,2),IF(E630&gt;0,VLOOKUP(E630,Направление!A$1:B$4812,2))))))</f>
        <v>Ведомственная целевая программа «Сохранение и развитие культуры Тутаевского муниципального района»</v>
      </c>
      <c r="B630" s="114"/>
      <c r="C630" s="109"/>
      <c r="D630" s="110" t="s">
        <v>494</v>
      </c>
      <c r="E630" s="109"/>
      <c r="F630" s="111"/>
      <c r="G630" s="369">
        <v>12300000</v>
      </c>
      <c r="H630" s="369">
        <f t="shared" ref="H630:I630" si="465">H631</f>
        <v>0</v>
      </c>
      <c r="I630" s="369">
        <f t="shared" si="465"/>
        <v>12300000</v>
      </c>
      <c r="J630" s="369">
        <v>0</v>
      </c>
      <c r="K630" s="286">
        <f t="shared" ref="K630:L630" si="466">K631</f>
        <v>0</v>
      </c>
      <c r="L630" s="286">
        <f t="shared" si="466"/>
        <v>0</v>
      </c>
    </row>
    <row r="631" spans="1:12" ht="31.5" x14ac:dyDescent="0.2">
      <c r="A631" s="113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IF(B631&gt;0,VLOOKUP(B631,КВСР!A331:B1496,2),IF(C631&gt;0,VLOOKUP(C631,КФСР!A331:B1843,2),IF(D631&gt;0,VLOOKUP(D631,Программа!A$1:B$5124,2),IF(F631&gt;0,VLOOKUP(F631,КВР!A$1:B$5001,2),IF(E631&gt;0,VLOOKUP(E631,Направление!A$1:B$4812,2))))))</f>
        <v>Обеспечение эффективности управления системой культуры</v>
      </c>
      <c r="B631" s="114"/>
      <c r="C631" s="109"/>
      <c r="D631" s="110" t="s">
        <v>520</v>
      </c>
      <c r="E631" s="109"/>
      <c r="F631" s="111"/>
      <c r="G631" s="369">
        <v>12300000</v>
      </c>
      <c r="H631" s="369">
        <f>H632+H636+H640</f>
        <v>0</v>
      </c>
      <c r="I631" s="369">
        <f>I632+I636+I640</f>
        <v>12300000</v>
      </c>
      <c r="J631" s="369">
        <v>0</v>
      </c>
      <c r="K631" s="286">
        <f>K632+K636+K640</f>
        <v>0</v>
      </c>
      <c r="L631" s="286">
        <f>L632+L636+L640</f>
        <v>0</v>
      </c>
    </row>
    <row r="632" spans="1:12" ht="15.75" x14ac:dyDescent="0.2">
      <c r="A632" s="113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IF(B632&gt;0,VLOOKUP(B632,КВСР!A332:B1497,2),IF(C632&gt;0,VLOOKUP(C632,КФСР!A332:B1844,2),IF(D632&gt;0,VLOOKUP(D632,Программа!A$1:B$5124,2),IF(F632&gt;0,VLOOKUP(F632,КВР!A$1:B$5001,2),IF(E632&gt;0,VLOOKUP(E632,Направление!A$1:B$4812,2))))))</f>
        <v>Содержание центрального аппарата</v>
      </c>
      <c r="B632" s="114"/>
      <c r="C632" s="109"/>
      <c r="D632" s="110"/>
      <c r="E632" s="109">
        <v>12010</v>
      </c>
      <c r="F632" s="111"/>
      <c r="G632" s="369">
        <v>2100000</v>
      </c>
      <c r="H632" s="369">
        <f t="shared" ref="H632:K632" si="467">H633+H634+H635</f>
        <v>0</v>
      </c>
      <c r="I632" s="369">
        <f t="shared" ref="I632" si="468">I633+I634+I635</f>
        <v>2100000</v>
      </c>
      <c r="J632" s="369">
        <v>0</v>
      </c>
      <c r="K632" s="286">
        <f t="shared" si="467"/>
        <v>0</v>
      </c>
      <c r="L632" s="286">
        <f t="shared" ref="L632" si="469">L633+L634+L635</f>
        <v>0</v>
      </c>
    </row>
    <row r="633" spans="1:12" ht="110.25" x14ac:dyDescent="0.2">
      <c r="A633" s="113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4"/>
      <c r="C633" s="109"/>
      <c r="D633" s="110"/>
      <c r="E633" s="109"/>
      <c r="F633" s="111">
        <v>100</v>
      </c>
      <c r="G633" s="369">
        <v>2000000</v>
      </c>
      <c r="H633" s="369"/>
      <c r="I633" s="369">
        <f t="shared" si="433"/>
        <v>2000000</v>
      </c>
      <c r="J633" s="369">
        <v>0</v>
      </c>
      <c r="K633" s="286"/>
      <c r="L633" s="286">
        <f t="shared" si="435"/>
        <v>0</v>
      </c>
    </row>
    <row r="634" spans="1:12" ht="63" x14ac:dyDescent="0.2">
      <c r="A634" s="113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IF(B634&gt;0,VLOOKUP(B634,КВСР!A333:B1498,2),IF(C634&gt;0,VLOOKUP(C634,КФСР!A333:B1845,2),IF(D634&gt;0,VLOOKUP(D634,Программа!A$1:B$5124,2),IF(F634&gt;0,VLOOKUP(F634,КВР!A$1:B$5001,2),IF(E634&gt;0,VLOOKUP(E634,Направление!A$1:B$4812,2))))))</f>
        <v xml:space="preserve">Закупка товаров, работ и услуг для обеспечения государственных (муниципальных) нужд
</v>
      </c>
      <c r="B634" s="114"/>
      <c r="C634" s="109"/>
      <c r="D634" s="110"/>
      <c r="E634" s="109"/>
      <c r="F634" s="111">
        <v>200</v>
      </c>
      <c r="G634" s="369">
        <v>100000</v>
      </c>
      <c r="H634" s="369"/>
      <c r="I634" s="369">
        <f t="shared" si="433"/>
        <v>100000</v>
      </c>
      <c r="J634" s="369">
        <v>0</v>
      </c>
      <c r="K634" s="286"/>
      <c r="L634" s="286">
        <f t="shared" si="435"/>
        <v>0</v>
      </c>
    </row>
    <row r="635" spans="1:12" ht="15.75" x14ac:dyDescent="0.2">
      <c r="A635" s="113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IF(B635&gt;0,VLOOKUP(B635,КВСР!A334:B1499,2),IF(C635&gt;0,VLOOKUP(C635,КФСР!A334:B1846,2),IF(D635&gt;0,VLOOKUP(D635,Программа!A$1:B$5124,2),IF(F635&gt;0,VLOOKUP(F635,КВР!A$1:B$5001,2),IF(E635&gt;0,VLOOKUP(E635,Направление!A$1:B$4812,2))))))</f>
        <v>Иные бюджетные ассигнования</v>
      </c>
      <c r="B635" s="114"/>
      <c r="C635" s="109"/>
      <c r="D635" s="110"/>
      <c r="E635" s="109"/>
      <c r="F635" s="111">
        <v>800</v>
      </c>
      <c r="G635" s="369">
        <v>0</v>
      </c>
      <c r="H635" s="369"/>
      <c r="I635" s="369">
        <f t="shared" si="433"/>
        <v>0</v>
      </c>
      <c r="J635" s="369">
        <v>0</v>
      </c>
      <c r="K635" s="286"/>
      <c r="L635" s="286">
        <f t="shared" si="435"/>
        <v>0</v>
      </c>
    </row>
    <row r="636" spans="1:12" ht="31.5" x14ac:dyDescent="0.2">
      <c r="A636" s="113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IF(B636&gt;0,VLOOKUP(B636,КВСР!A333:B1498,2),IF(C636&gt;0,VLOOKUP(C636,КФСР!A333:B1845,2),IF(D636&gt;0,VLOOKUP(D636,Программа!A$1:B$5124,2),IF(F636&gt;0,VLOOKUP(F636,КВР!A$1:B$5001,2),IF(E636&gt;0,VLOOKUP(E636,Направление!A$1:B$4812,2))))))</f>
        <v>Обеспечение деятельности прочих учреждений в сфере культуры</v>
      </c>
      <c r="B636" s="114"/>
      <c r="C636" s="109"/>
      <c r="D636" s="110"/>
      <c r="E636" s="109">
        <v>15210</v>
      </c>
      <c r="F636" s="111"/>
      <c r="G636" s="369">
        <v>10200000</v>
      </c>
      <c r="H636" s="369">
        <f>H637+H638+H639</f>
        <v>0</v>
      </c>
      <c r="I636" s="369">
        <f>I637+I638+I639</f>
        <v>10200000</v>
      </c>
      <c r="J636" s="369">
        <v>0</v>
      </c>
      <c r="K636" s="286">
        <f>K637+K638+K639</f>
        <v>0</v>
      </c>
      <c r="L636" s="286">
        <f>L637+L638+L639</f>
        <v>0</v>
      </c>
    </row>
    <row r="637" spans="1:12" ht="110.25" x14ac:dyDescent="0.2">
      <c r="A637" s="113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14"/>
      <c r="C637" s="109"/>
      <c r="D637" s="110"/>
      <c r="E637" s="109"/>
      <c r="F637" s="111">
        <v>100</v>
      </c>
      <c r="G637" s="369">
        <v>10000000</v>
      </c>
      <c r="H637" s="369"/>
      <c r="I637" s="369">
        <f t="shared" si="433"/>
        <v>10000000</v>
      </c>
      <c r="J637" s="369">
        <v>0</v>
      </c>
      <c r="K637" s="286"/>
      <c r="L637" s="286">
        <f t="shared" si="435"/>
        <v>0</v>
      </c>
    </row>
    <row r="638" spans="1:12" ht="63" x14ac:dyDescent="0.2">
      <c r="A638" s="113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IF(B638&gt;0,VLOOKUP(B638,КВСР!A335:B1500,2),IF(C638&gt;0,VLOOKUP(C638,КФСР!A335:B1847,2),IF(D638&gt;0,VLOOKUP(D638,Программа!A$1:B$5124,2),IF(F638&gt;0,VLOOKUP(F638,КВР!A$1:B$5001,2),IF(E638&gt;0,VLOOKUP(E638,Направление!A$1:B$4812,2))))))</f>
        <v xml:space="preserve">Закупка товаров, работ и услуг для обеспечения государственных (муниципальных) нужд
</v>
      </c>
      <c r="B638" s="114"/>
      <c r="C638" s="109"/>
      <c r="D638" s="110"/>
      <c r="E638" s="109"/>
      <c r="F638" s="111">
        <v>200</v>
      </c>
      <c r="G638" s="369">
        <v>200000</v>
      </c>
      <c r="H638" s="369"/>
      <c r="I638" s="369">
        <f t="shared" si="433"/>
        <v>200000</v>
      </c>
      <c r="J638" s="369">
        <v>0</v>
      </c>
      <c r="K638" s="286"/>
      <c r="L638" s="286">
        <f t="shared" si="435"/>
        <v>0</v>
      </c>
    </row>
    <row r="639" spans="1:12" ht="15.75" hidden="1" x14ac:dyDescent="0.2">
      <c r="A639" s="113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IF(B639&gt;0,VLOOKUP(B639,КВСР!A336:B1501,2),IF(C639&gt;0,VLOOKUP(C639,КФСР!A336:B1848,2),IF(D639&gt;0,VLOOKUP(D639,Программа!A$1:B$5124,2),IF(F639&gt;0,VLOOKUP(F639,КВР!A$1:B$5001,2),IF(E639&gt;0,VLOOKUP(E639,Направление!A$1:B$4812,2))))))</f>
        <v>Иные бюджетные ассигнования</v>
      </c>
      <c r="B639" s="114"/>
      <c r="C639" s="109"/>
      <c r="D639" s="110"/>
      <c r="E639" s="109"/>
      <c r="F639" s="111">
        <v>800</v>
      </c>
      <c r="G639" s="369">
        <v>0</v>
      </c>
      <c r="H639" s="369"/>
      <c r="I639" s="369">
        <f t="shared" si="433"/>
        <v>0</v>
      </c>
      <c r="J639" s="369">
        <v>0</v>
      </c>
      <c r="K639" s="286"/>
      <c r="L639" s="286">
        <f t="shared" si="435"/>
        <v>0</v>
      </c>
    </row>
    <row r="640" spans="1:12" ht="47.25" hidden="1" x14ac:dyDescent="0.2">
      <c r="A640" s="113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IF(B640&gt;0,VLOOKUP(B640,КВСР!A335:B1500,2),IF(C640&gt;0,VLOOKUP(C640,КФСР!A335:B1847,2),IF(D640&gt;0,VLOOKUP(D640,Программа!A$1:B$5124,2),IF(F640&gt;0,VLOOKUP(F640,КВР!A$1:B$5001,2),IF(E640&gt;0,VLOOKUP(E640,Направление!A$1:B$4812,2))))))</f>
        <v>Содержание органов местного самоуправления за счет средств поселений</v>
      </c>
      <c r="B640" s="114"/>
      <c r="C640" s="109"/>
      <c r="D640" s="110"/>
      <c r="E640" s="109">
        <v>29016</v>
      </c>
      <c r="F640" s="111"/>
      <c r="G640" s="369">
        <v>0</v>
      </c>
      <c r="H640" s="369">
        <f t="shared" ref="H640" si="470">H641+H642</f>
        <v>0</v>
      </c>
      <c r="I640" s="369">
        <f t="shared" si="433"/>
        <v>0</v>
      </c>
      <c r="J640" s="369">
        <v>0</v>
      </c>
      <c r="K640" s="286">
        <f t="shared" ref="K640" si="471">K641+K642</f>
        <v>0</v>
      </c>
      <c r="L640" s="286">
        <f t="shared" si="435"/>
        <v>0</v>
      </c>
    </row>
    <row r="641" spans="1:13" ht="110.25" hidden="1" x14ac:dyDescent="0.2">
      <c r="A641" s="113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14"/>
      <c r="C641" s="109"/>
      <c r="D641" s="110"/>
      <c r="E641" s="109"/>
      <c r="F641" s="111">
        <v>100</v>
      </c>
      <c r="G641" s="369">
        <v>0</v>
      </c>
      <c r="H641" s="369"/>
      <c r="I641" s="369">
        <f t="shared" si="433"/>
        <v>0</v>
      </c>
      <c r="J641" s="369">
        <v>0</v>
      </c>
      <c r="K641" s="286"/>
      <c r="L641" s="286">
        <f t="shared" si="435"/>
        <v>0</v>
      </c>
    </row>
    <row r="642" spans="1:13" ht="63" hidden="1" x14ac:dyDescent="0.2">
      <c r="A642" s="113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IF(B642&gt;0,VLOOKUP(B642,КВСР!A337:B1502,2),IF(C642&gt;0,VLOOKUP(C642,КФСР!A337:B1849,2),IF(D642&gt;0,VLOOKUP(D642,Программа!A$1:B$5124,2),IF(F642&gt;0,VLOOKUP(F642,КВР!A$1:B$5001,2),IF(E642&gt;0,VLOOKUP(E642,Направление!A$1:B$4812,2))))))</f>
        <v xml:space="preserve">Закупка товаров, работ и услуг для обеспечения государственных (муниципальных) нужд
</v>
      </c>
      <c r="B642" s="114"/>
      <c r="C642" s="109"/>
      <c r="D642" s="110"/>
      <c r="E642" s="109"/>
      <c r="F642" s="111">
        <v>200</v>
      </c>
      <c r="G642" s="369">
        <v>0</v>
      </c>
      <c r="H642" s="369"/>
      <c r="I642" s="369">
        <f t="shared" si="433"/>
        <v>0</v>
      </c>
      <c r="J642" s="369">
        <v>0</v>
      </c>
      <c r="K642" s="286"/>
      <c r="L642" s="286">
        <f t="shared" si="435"/>
        <v>0</v>
      </c>
    </row>
    <row r="643" spans="1:13" ht="15.75" hidden="1" x14ac:dyDescent="0.2">
      <c r="A643" s="113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IF(B643&gt;0,VLOOKUP(B643,КВСР!A347:B1512,2),IF(C643&gt;0,VLOOKUP(C643,КФСР!A347:B1859,2),IF(D643&gt;0,VLOOKUP(D643,Программа!A$1:B$5124,2),IF(F643&gt;0,VLOOKUP(F643,КВР!A$1:B$5001,2),IF(E643&gt;0,VLOOKUP(E643,Направление!A$1:B$4812,2))))))</f>
        <v>Периодическая печать и издательства</v>
      </c>
      <c r="B643" s="114"/>
      <c r="C643" s="109">
        <v>1202</v>
      </c>
      <c r="D643" s="110"/>
      <c r="E643" s="109"/>
      <c r="F643" s="111"/>
      <c r="G643" s="369">
        <v>0</v>
      </c>
      <c r="H643" s="369">
        <f t="shared" ref="H643:H645" si="472">H644</f>
        <v>0</v>
      </c>
      <c r="I643" s="369">
        <f t="shared" si="433"/>
        <v>0</v>
      </c>
      <c r="J643" s="369">
        <v>0</v>
      </c>
      <c r="K643" s="286">
        <f t="shared" ref="K643:K645" si="473">K644</f>
        <v>0</v>
      </c>
      <c r="L643" s="286">
        <f t="shared" si="435"/>
        <v>0</v>
      </c>
    </row>
    <row r="644" spans="1:13" ht="15.75" hidden="1" x14ac:dyDescent="0.2">
      <c r="A644" s="113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IF(B644&gt;0,VLOOKUP(B644,КВСР!A348:B1513,2),IF(C644&gt;0,VLOOKUP(C644,КФСР!A348:B1860,2),IF(D644&gt;0,VLOOKUP(D644,Программа!A$1:B$5124,2),IF(F644&gt;0,VLOOKUP(F644,КВР!A$1:B$5001,2),IF(E644&gt;0,VLOOKUP(E644,Направление!A$1:B$4812,2))))))</f>
        <v>Непрограммные расходы бюджета</v>
      </c>
      <c r="B644" s="114"/>
      <c r="C644" s="109"/>
      <c r="D644" s="110" t="s">
        <v>311</v>
      </c>
      <c r="E644" s="109"/>
      <c r="F644" s="111"/>
      <c r="G644" s="369">
        <v>0</v>
      </c>
      <c r="H644" s="369">
        <f t="shared" si="472"/>
        <v>0</v>
      </c>
      <c r="I644" s="369">
        <f t="shared" si="433"/>
        <v>0</v>
      </c>
      <c r="J644" s="369">
        <v>0</v>
      </c>
      <c r="K644" s="286">
        <f t="shared" si="473"/>
        <v>0</v>
      </c>
      <c r="L644" s="286">
        <f t="shared" si="435"/>
        <v>0</v>
      </c>
    </row>
    <row r="645" spans="1:13" ht="15.75" hidden="1" x14ac:dyDescent="0.2">
      <c r="A645" s="113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IF(B645&gt;0,VLOOKUP(B645,КВСР!A349:B1514,2),IF(C645&gt;0,VLOOKUP(C645,КФСР!A349:B1861,2),IF(D645&gt;0,VLOOKUP(D645,Программа!A$1:B$5124,2),IF(F645&gt;0,VLOOKUP(F645,КВР!A$1:B$5001,2),IF(E645&gt;0,VLOOKUP(E645,Направление!A$1:B$4812,2))))))</f>
        <v xml:space="preserve">Поддержка периодических изданий </v>
      </c>
      <c r="B645" s="114"/>
      <c r="C645" s="109"/>
      <c r="D645" s="110"/>
      <c r="E645" s="109">
        <v>12750</v>
      </c>
      <c r="F645" s="111"/>
      <c r="G645" s="369">
        <v>0</v>
      </c>
      <c r="H645" s="369">
        <f t="shared" si="472"/>
        <v>0</v>
      </c>
      <c r="I645" s="369">
        <f t="shared" si="433"/>
        <v>0</v>
      </c>
      <c r="J645" s="369">
        <v>0</v>
      </c>
      <c r="K645" s="286">
        <f t="shared" si="473"/>
        <v>0</v>
      </c>
      <c r="L645" s="286">
        <f t="shared" si="435"/>
        <v>0</v>
      </c>
    </row>
    <row r="646" spans="1:13" ht="47.25" hidden="1" x14ac:dyDescent="0.2">
      <c r="A646" s="113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IF(B646&gt;0,VLOOKUP(B646,КВСР!A350:B1515,2),IF(C646&gt;0,VLOOKUP(C646,КФСР!A350:B1862,2),IF(D646&gt;0,VLOOKUP(D646,Программа!A$1:B$5124,2),IF(F646&gt;0,VLOOKUP(F646,КВР!A$1:B$5001,2),IF(E646&gt;0,VLOOKUP(E646,Направление!A$1:B$4812,2))))))</f>
        <v>Предоставление субсидий бюджетным, автономным учреждениям и иным некоммерческим организациям</v>
      </c>
      <c r="B646" s="114"/>
      <c r="C646" s="109"/>
      <c r="D646" s="110"/>
      <c r="E646" s="109"/>
      <c r="F646" s="111">
        <v>600</v>
      </c>
      <c r="G646" s="369">
        <v>0</v>
      </c>
      <c r="H646" s="369"/>
      <c r="I646" s="369">
        <f t="shared" si="433"/>
        <v>0</v>
      </c>
      <c r="J646" s="369">
        <v>0</v>
      </c>
      <c r="K646" s="286"/>
      <c r="L646" s="286">
        <f t="shared" si="435"/>
        <v>0</v>
      </c>
    </row>
    <row r="647" spans="1:13" ht="15.75" x14ac:dyDescent="0.2">
      <c r="A647" s="107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IF(B647&gt;0,VLOOKUP(B647,КВСР!A415:B1580,2),IF(C647&gt;0,VLOOKUP(C647,КФСР!A415:B1927,2),IF(D647&gt;0,VLOOKUP(D647,Программа!A$1:B$5124,2),IF(F647&gt;0,VLOOKUP(F647,КВР!A$1:B$5001,2),IF(E647&gt;0,VLOOKUP(E647,Направление!A$1:B$4812,2))))))</f>
        <v>МУ Контрольно-счетная палата ТМР</v>
      </c>
      <c r="B647" s="108">
        <v>982</v>
      </c>
      <c r="C647" s="133"/>
      <c r="D647" s="134"/>
      <c r="E647" s="133"/>
      <c r="F647" s="135"/>
      <c r="G647" s="372">
        <v>1644528</v>
      </c>
      <c r="H647" s="372">
        <f t="shared" ref="H647:I648" si="474">H648</f>
        <v>0</v>
      </c>
      <c r="I647" s="372">
        <f t="shared" si="474"/>
        <v>1644528</v>
      </c>
      <c r="J647" s="372">
        <v>1644528</v>
      </c>
      <c r="K647" s="368">
        <f t="shared" ref="K647:L648" si="475">K648</f>
        <v>0</v>
      </c>
      <c r="L647" s="368">
        <f t="shared" si="475"/>
        <v>1644528</v>
      </c>
      <c r="M647" s="139"/>
    </row>
    <row r="648" spans="1:13" ht="63" x14ac:dyDescent="0.2">
      <c r="A648" s="113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IF(B648&gt;0,VLOOKUP(B648,КВСР!A416:B1581,2),IF(C648&gt;0,VLOOKUP(C648,КФСР!A416:B1928,2),IF(D648&gt;0,VLOOKUP(D648,Программа!A$1:B$5124,2),IF(F648&gt;0,VLOOKUP(F648,КВР!A$1:B$5001,2),IF(E648&gt;0,VLOOKUP(E648,Направление!A$1:B$4812,2))))))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32"/>
      <c r="C648" s="109">
        <v>106</v>
      </c>
      <c r="D648" s="126"/>
      <c r="E648" s="127"/>
      <c r="F648" s="129"/>
      <c r="G648" s="369">
        <v>1644528</v>
      </c>
      <c r="H648" s="369">
        <f t="shared" si="474"/>
        <v>0</v>
      </c>
      <c r="I648" s="369">
        <f t="shared" si="474"/>
        <v>1644528</v>
      </c>
      <c r="J648" s="369">
        <v>1644528</v>
      </c>
      <c r="K648" s="286">
        <f t="shared" si="475"/>
        <v>0</v>
      </c>
      <c r="L648" s="286">
        <f t="shared" si="475"/>
        <v>1644528</v>
      </c>
    </row>
    <row r="649" spans="1:13" ht="15.75" x14ac:dyDescent="0.2">
      <c r="A649" s="113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IF(B649&gt;0,VLOOKUP(B649,КВСР!A417:B1582,2),IF(C649&gt;0,VLOOKUP(C649,КФСР!A417:B1929,2),IF(D649&gt;0,VLOOKUP(D649,Программа!A$1:B$5124,2),IF(F649&gt;0,VLOOKUP(F649,КВР!A$1:B$5001,2),IF(E649&gt;0,VLOOKUP(E649,Направление!A$1:B$4812,2))))))</f>
        <v>Непрограммные расходы бюджета</v>
      </c>
      <c r="B649" s="132"/>
      <c r="C649" s="109"/>
      <c r="D649" s="126" t="s">
        <v>311</v>
      </c>
      <c r="E649" s="127"/>
      <c r="F649" s="129"/>
      <c r="G649" s="369">
        <v>1644528</v>
      </c>
      <c r="H649" s="369">
        <f>H650+H654+H656</f>
        <v>0</v>
      </c>
      <c r="I649" s="369">
        <f>I650+I654+I656</f>
        <v>1644528</v>
      </c>
      <c r="J649" s="369">
        <v>1644528</v>
      </c>
      <c r="K649" s="286">
        <f>K650+K654+K656</f>
        <v>0</v>
      </c>
      <c r="L649" s="286">
        <f>L650+L654+L656</f>
        <v>1644528</v>
      </c>
    </row>
    <row r="650" spans="1:13" ht="15.75" x14ac:dyDescent="0.2">
      <c r="A650" s="113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IF(B650&gt;0,VLOOKUP(B650,КВСР!A418:B1583,2),IF(C650&gt;0,VLOOKUP(C650,КФСР!A418:B1930,2),IF(D650&gt;0,VLOOKUP(D650,Программа!A$1:B$5124,2),IF(F650&gt;0,VLOOKUP(F650,КВР!A$1:B$5001,2),IF(E650&gt;0,VLOOKUP(E650,Направление!A$1:B$4812,2))))))</f>
        <v>Содержание центрального аппарата</v>
      </c>
      <c r="B650" s="132"/>
      <c r="C650" s="127"/>
      <c r="D650" s="110"/>
      <c r="E650" s="109">
        <v>12010</v>
      </c>
      <c r="F650" s="129"/>
      <c r="G650" s="369">
        <v>627871</v>
      </c>
      <c r="H650" s="369">
        <f>H651+H652+H653</f>
        <v>0</v>
      </c>
      <c r="I650" s="369">
        <f>I651+I652+I653</f>
        <v>627871</v>
      </c>
      <c r="J650" s="369">
        <v>627871</v>
      </c>
      <c r="K650" s="286">
        <f>K651+K652+K653</f>
        <v>0</v>
      </c>
      <c r="L650" s="286">
        <f>L651+L652+L653</f>
        <v>627871</v>
      </c>
    </row>
    <row r="651" spans="1:13" ht="110.25" x14ac:dyDescent="0.2">
      <c r="A651" s="113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32"/>
      <c r="C651" s="127"/>
      <c r="D651" s="126"/>
      <c r="E651" s="127"/>
      <c r="F651" s="129">
        <v>100</v>
      </c>
      <c r="G651" s="369">
        <v>609336</v>
      </c>
      <c r="H651" s="369"/>
      <c r="I651" s="369">
        <f t="shared" ref="I651:I661" si="476">SUM(G651:H651)</f>
        <v>609336</v>
      </c>
      <c r="J651" s="369">
        <v>609336</v>
      </c>
      <c r="K651" s="369"/>
      <c r="L651" s="286">
        <f t="shared" ref="L651:L661" si="477">SUM(J651:K651)</f>
        <v>609336</v>
      </c>
    </row>
    <row r="652" spans="1:13" ht="63" x14ac:dyDescent="0.2">
      <c r="A652" s="113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IF(B652&gt;0,VLOOKUP(B652,КВСР!A420:B1585,2),IF(C652&gt;0,VLOOKUP(C652,КФСР!A420:B1932,2),IF(D652&gt;0,VLOOKUP(D652,Программа!A$1:B$5124,2),IF(F652&gt;0,VLOOKUP(F652,КВР!A$1:B$5001,2),IF(E652&gt;0,VLOOKUP(E652,Направление!A$1:B$4812,2))))))</f>
        <v xml:space="preserve">Закупка товаров, работ и услуг для обеспечения государственных (муниципальных) нужд
</v>
      </c>
      <c r="B652" s="132"/>
      <c r="C652" s="127"/>
      <c r="D652" s="126"/>
      <c r="E652" s="127"/>
      <c r="F652" s="129">
        <v>200</v>
      </c>
      <c r="G652" s="369">
        <v>18535</v>
      </c>
      <c r="H652" s="369"/>
      <c r="I652" s="369">
        <f t="shared" si="476"/>
        <v>18535</v>
      </c>
      <c r="J652" s="369">
        <v>18535</v>
      </c>
      <c r="K652" s="286"/>
      <c r="L652" s="286">
        <f t="shared" si="477"/>
        <v>18535</v>
      </c>
    </row>
    <row r="653" spans="1:13" ht="15.75" hidden="1" x14ac:dyDescent="0.2">
      <c r="A653" s="113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IF(B653&gt;0,VLOOKUP(B653,КВСР!A421:B1586,2),IF(C653&gt;0,VLOOKUP(C653,КФСР!A421:B1933,2),IF(D653&gt;0,VLOOKUP(D653,Программа!A$1:B$5124,2),IF(F653&gt;0,VLOOKUP(F653,КВР!A$1:B$5001,2),IF(E653&gt;0,VLOOKUP(E653,Направление!A$1:B$4812,2))))))</f>
        <v>Иные бюджетные ассигнования</v>
      </c>
      <c r="B653" s="132"/>
      <c r="C653" s="127"/>
      <c r="D653" s="126"/>
      <c r="E653" s="127"/>
      <c r="F653" s="129">
        <v>800</v>
      </c>
      <c r="G653" s="369">
        <v>0</v>
      </c>
      <c r="H653" s="369"/>
      <c r="I653" s="369">
        <f t="shared" si="476"/>
        <v>0</v>
      </c>
      <c r="J653" s="369">
        <v>0</v>
      </c>
      <c r="K653" s="286"/>
      <c r="L653" s="286">
        <f t="shared" si="477"/>
        <v>0</v>
      </c>
    </row>
    <row r="654" spans="1:13" ht="47.25" x14ac:dyDescent="0.2">
      <c r="A654" s="113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IF(B654&gt;0,VLOOKUP(B654,КВСР!A420:B1585,2),IF(C654&gt;0,VLOOKUP(C654,КФСР!A420:B1932,2),IF(D654&gt;0,VLOOKUP(D654,Программа!A$1:B$5124,2),IF(F654&gt;0,VLOOKUP(F654,КВР!A$1:B$5001,2),IF(E654&gt;0,VLOOKUP(E654,Направление!A$1:B$4812,2))))))</f>
        <v>Содержание руководителя контрольно-счетной палаты муниципального образования и его заместителей</v>
      </c>
      <c r="B654" s="132"/>
      <c r="C654" s="127"/>
      <c r="D654" s="126"/>
      <c r="E654" s="127">
        <v>12030</v>
      </c>
      <c r="F654" s="129"/>
      <c r="G654" s="369">
        <v>958829</v>
      </c>
      <c r="H654" s="369">
        <f t="shared" ref="H654:I654" si="478">H655</f>
        <v>0</v>
      </c>
      <c r="I654" s="369">
        <f t="shared" si="478"/>
        <v>958829</v>
      </c>
      <c r="J654" s="369">
        <v>958829</v>
      </c>
      <c r="K654" s="286">
        <f t="shared" ref="K654:L654" si="479">K655</f>
        <v>0</v>
      </c>
      <c r="L654" s="286">
        <f t="shared" si="479"/>
        <v>958829</v>
      </c>
    </row>
    <row r="655" spans="1:13" ht="110.25" x14ac:dyDescent="0.2">
      <c r="A655" s="113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32"/>
      <c r="C655" s="127"/>
      <c r="D655" s="126"/>
      <c r="E655" s="127"/>
      <c r="F655" s="129">
        <v>100</v>
      </c>
      <c r="G655" s="369">
        <v>958829</v>
      </c>
      <c r="H655" s="369"/>
      <c r="I655" s="369">
        <f t="shared" si="476"/>
        <v>958829</v>
      </c>
      <c r="J655" s="369">
        <v>958829</v>
      </c>
      <c r="K655" s="286"/>
      <c r="L655" s="286">
        <f t="shared" si="477"/>
        <v>958829</v>
      </c>
    </row>
    <row r="656" spans="1:13" ht="47.25" x14ac:dyDescent="0.2">
      <c r="A656" s="113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IF(B656&gt;0,VLOOKUP(B656,КВСР!A422:B1587,2),IF(C656&gt;0,VLOOKUP(C656,КФСР!A422:B1934,2),IF(D656&gt;0,VLOOKUP(D656,Программа!A$1:B$5124,2),IF(F656&gt;0,VLOOKUP(F656,КВР!A$1:B$5001,2),IF(E656&gt;0,VLOOKUP(E656,Направление!A$1:B$4812,2))))))</f>
        <v>Обеспечение мероприятий по осуществлению внешнего муниципального контроля</v>
      </c>
      <c r="B656" s="132"/>
      <c r="C656" s="127"/>
      <c r="D656" s="126"/>
      <c r="E656" s="127">
        <v>29386</v>
      </c>
      <c r="F656" s="129"/>
      <c r="G656" s="369">
        <v>57828</v>
      </c>
      <c r="H656" s="369">
        <f t="shared" ref="H656:I656" si="480">H657+H658</f>
        <v>0</v>
      </c>
      <c r="I656" s="369">
        <f t="shared" si="480"/>
        <v>57828</v>
      </c>
      <c r="J656" s="369">
        <v>57828</v>
      </c>
      <c r="K656" s="286">
        <f t="shared" ref="K656:L656" si="481">K657+K658</f>
        <v>0</v>
      </c>
      <c r="L656" s="286">
        <f t="shared" si="481"/>
        <v>57828</v>
      </c>
    </row>
    <row r="657" spans="1:12" ht="110.25" x14ac:dyDescent="0.2">
      <c r="A657" s="113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IF(B657&gt;0,VLOOKUP(B657,КВСР!A423:B1588,2),IF(C657&gt;0,VLOOKUP(C657,КФСР!A423:B1935,2),IF(D657&gt;0,VLOOKUP(D657,Программа!A$1:B$5124,2),IF(F657&gt;0,VLOOKUP(F657,КВР!A$1:B$5001,2),IF(E657&gt;0,VLOOKUP(E657,Направление!A$1:B$4812,2))))))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32"/>
      <c r="C657" s="127"/>
      <c r="D657" s="126"/>
      <c r="E657" s="127"/>
      <c r="F657" s="129">
        <v>100</v>
      </c>
      <c r="G657" s="369">
        <v>44483</v>
      </c>
      <c r="H657" s="369"/>
      <c r="I657" s="369">
        <f t="shared" si="476"/>
        <v>44483</v>
      </c>
      <c r="J657" s="369">
        <v>44483</v>
      </c>
      <c r="K657" s="286"/>
      <c r="L657" s="286">
        <f t="shared" si="477"/>
        <v>44483</v>
      </c>
    </row>
    <row r="658" spans="1:12" ht="63" x14ac:dyDescent="0.2">
      <c r="A658" s="113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IF(B658&gt;0,VLOOKUP(B658,КВСР!A424:B1589,2),IF(C658&gt;0,VLOOKUP(C658,КФСР!A424:B1936,2),IF(D658&gt;0,VLOOKUP(D658,Программа!A$1:B$5124,2),IF(F658&gt;0,VLOOKUP(F658,КВР!A$1:B$5001,2),IF(E658&gt;0,VLOOKUP(E658,Направление!A$1:B$4812,2))))))</f>
        <v xml:space="preserve">Закупка товаров, работ и услуг для обеспечения государственных (муниципальных) нужд
</v>
      </c>
      <c r="B658" s="132"/>
      <c r="C658" s="127"/>
      <c r="D658" s="126"/>
      <c r="E658" s="127"/>
      <c r="F658" s="129">
        <v>200</v>
      </c>
      <c r="G658" s="369">
        <v>13345</v>
      </c>
      <c r="H658" s="369"/>
      <c r="I658" s="369">
        <f t="shared" si="476"/>
        <v>13345</v>
      </c>
      <c r="J658" s="369">
        <v>13345</v>
      </c>
      <c r="K658" s="286"/>
      <c r="L658" s="286">
        <f t="shared" si="477"/>
        <v>13345</v>
      </c>
    </row>
    <row r="659" spans="1:12" ht="15.75" x14ac:dyDescent="0.2">
      <c r="A659" s="142" t="s">
        <v>129</v>
      </c>
      <c r="B659" s="143"/>
      <c r="C659" s="143"/>
      <c r="D659" s="143"/>
      <c r="E659" s="144"/>
      <c r="F659" s="143"/>
      <c r="G659" s="380">
        <v>2251115068</v>
      </c>
      <c r="H659" s="380">
        <f>H10+H233+H267+H423+H536+H569+H647</f>
        <v>0</v>
      </c>
      <c r="I659" s="380">
        <f>I10+I233+I267+I423+I536+I569+I647</f>
        <v>2251115068</v>
      </c>
      <c r="J659" s="380">
        <v>2220028024</v>
      </c>
      <c r="K659" s="380">
        <f>K10+K233+K267+K423+K536+K569+K647</f>
        <v>0</v>
      </c>
      <c r="L659" s="380">
        <f>L10+L233+L267+L423+L536+L569+L647</f>
        <v>2220028024</v>
      </c>
    </row>
    <row r="660" spans="1:12" s="139" customFormat="1" ht="15.75" x14ac:dyDescent="0.25">
      <c r="A660" s="145" t="s">
        <v>246</v>
      </c>
      <c r="B660" s="145"/>
      <c r="C660" s="145"/>
      <c r="D660" s="146"/>
      <c r="E660" s="147"/>
      <c r="F660" s="145"/>
      <c r="G660" s="379">
        <v>13500000</v>
      </c>
      <c r="H660" s="372"/>
      <c r="I660" s="372">
        <f>SUM(G660:H660)</f>
        <v>13500000</v>
      </c>
      <c r="J660" s="379">
        <v>17500000</v>
      </c>
      <c r="K660" s="368"/>
      <c r="L660" s="368">
        <f t="shared" si="477"/>
        <v>17500000</v>
      </c>
    </row>
    <row r="661" spans="1:12" s="139" customFormat="1" ht="15.75" x14ac:dyDescent="0.25">
      <c r="A661" s="145" t="s">
        <v>570</v>
      </c>
      <c r="B661" s="145"/>
      <c r="C661" s="145"/>
      <c r="D661" s="146"/>
      <c r="E661" s="147"/>
      <c r="F661" s="145"/>
      <c r="G661" s="372">
        <v>2264615068</v>
      </c>
      <c r="H661" s="372">
        <f>H659+H660</f>
        <v>0</v>
      </c>
      <c r="I661" s="372">
        <f t="shared" si="476"/>
        <v>2264615068</v>
      </c>
      <c r="J661" s="368">
        <v>2061853937</v>
      </c>
      <c r="K661" s="368">
        <f t="shared" ref="K661" si="482">K659+K660</f>
        <v>0</v>
      </c>
      <c r="L661" s="368">
        <f t="shared" si="477"/>
        <v>2061853937</v>
      </c>
    </row>
    <row r="662" spans="1:12" x14ac:dyDescent="0.2">
      <c r="A662" s="81"/>
      <c r="B662" s="81"/>
      <c r="C662" s="81"/>
      <c r="D662" s="148"/>
      <c r="E662" s="149"/>
      <c r="F662" s="81"/>
    </row>
  </sheetData>
  <autoFilter ref="A8:L661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"/>
  <sheetViews>
    <sheetView showGridLines="0" view="pageBreakPreview" topLeftCell="B1" zoomScale="115" zoomScaleSheetLayoutView="115" workbookViewId="0">
      <selection activeCell="B5" sqref="B5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1000" t="s">
        <v>1652</v>
      </c>
      <c r="B1" s="1000"/>
      <c r="C1" s="1000"/>
      <c r="D1" s="1000"/>
      <c r="E1" s="1000"/>
      <c r="F1" s="1000"/>
    </row>
    <row r="2" spans="1:6" ht="15.75" x14ac:dyDescent="0.25">
      <c r="A2" s="1000" t="s">
        <v>1</v>
      </c>
      <c r="B2" s="1000"/>
      <c r="C2" s="1000"/>
      <c r="D2" s="1000"/>
      <c r="E2" s="1000"/>
      <c r="F2" s="1000"/>
    </row>
    <row r="3" spans="1:6" ht="15.75" x14ac:dyDescent="0.25">
      <c r="A3" s="1000" t="s">
        <v>2</v>
      </c>
      <c r="B3" s="1000"/>
      <c r="C3" s="1000"/>
      <c r="D3" s="1000"/>
      <c r="E3" s="1000"/>
      <c r="F3" s="1000"/>
    </row>
    <row r="4" spans="1:6" ht="15.75" x14ac:dyDescent="0.25">
      <c r="A4" s="1000" t="s">
        <v>1790</v>
      </c>
      <c r="B4" s="1000"/>
      <c r="C4" s="1000"/>
      <c r="D4" s="1000"/>
      <c r="E4" s="1000"/>
      <c r="F4" s="1000"/>
    </row>
    <row r="5" spans="1:6" ht="15.75" x14ac:dyDescent="0.25">
      <c r="A5" s="599"/>
      <c r="B5" s="600"/>
      <c r="C5" s="600"/>
      <c r="D5" s="1001"/>
      <c r="E5" s="1001"/>
      <c r="F5" s="1001"/>
    </row>
    <row r="6" spans="1:6" ht="15.75" x14ac:dyDescent="0.25">
      <c r="A6" s="998" t="s">
        <v>1635</v>
      </c>
      <c r="B6" s="998"/>
      <c r="C6" s="998"/>
      <c r="D6" s="998"/>
      <c r="E6" s="998"/>
      <c r="F6" s="998"/>
    </row>
    <row r="7" spans="1:6" ht="16.5" thickBot="1" x14ac:dyDescent="0.3">
      <c r="A7" s="151"/>
      <c r="B7" s="1"/>
      <c r="C7" s="1"/>
      <c r="D7" s="999"/>
      <c r="E7" s="999"/>
      <c r="F7" s="999"/>
    </row>
    <row r="8" spans="1:6" ht="13.5" thickBot="1" x14ac:dyDescent="0.25">
      <c r="A8" s="1006" t="s">
        <v>571</v>
      </c>
      <c r="B8" s="1007" t="s">
        <v>572</v>
      </c>
      <c r="C8" s="1009" t="s">
        <v>573</v>
      </c>
      <c r="D8" s="1011" t="s">
        <v>140</v>
      </c>
      <c r="E8" s="1002" t="s">
        <v>140</v>
      </c>
      <c r="F8" s="1004" t="s">
        <v>140</v>
      </c>
    </row>
    <row r="9" spans="1:6" ht="13.5" thickBot="1" x14ac:dyDescent="0.25">
      <c r="A9" s="1006"/>
      <c r="B9" s="1008"/>
      <c r="C9" s="1010"/>
      <c r="D9" s="1012"/>
      <c r="E9" s="1003"/>
      <c r="F9" s="1005"/>
    </row>
    <row r="10" spans="1:6" s="152" customFormat="1" ht="48" thickBot="1" x14ac:dyDescent="0.25">
      <c r="A10" s="362">
        <v>1</v>
      </c>
      <c r="B10" s="589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90" t="s">
        <v>396</v>
      </c>
      <c r="D10" s="451">
        <f>SUMIFS(Пр.10!G$10:G$1615,Пр.10!$D$10:$D$1615,C10)</f>
        <v>245165144</v>
      </c>
      <c r="E10" s="452">
        <f>SUMIFS(Пр.10!H$10:H$1615,Пр.10!$D$10:$D$1615,C10)</f>
        <v>3956960.0000000005</v>
      </c>
      <c r="F10" s="644">
        <f>SUMIFS(Пр.10!I$10:I$1615,Пр.10!$D$10:$D$1615,C10)</f>
        <v>249122104</v>
      </c>
    </row>
    <row r="11" spans="1:6" s="153" customFormat="1" ht="16.5" thickBot="1" x14ac:dyDescent="0.3">
      <c r="A11" s="168" t="s">
        <v>574</v>
      </c>
      <c r="B11" s="645" t="str">
        <f>IF(C11&gt;0,VLOOKUP(C11,Программа!A$2:B$5124,2))</f>
        <v>Ведомственная целевая программа «Молодежь»</v>
      </c>
      <c r="C11" s="675" t="s">
        <v>499</v>
      </c>
      <c r="D11" s="647">
        <f>SUMIFS(Пр.10!G$10:G$1615,Пр.10!$D$10:$D$1615,C11)</f>
        <v>16565315</v>
      </c>
      <c r="E11" s="648">
        <f>SUMIFS(Пр.10!H$10:H$1615,Пр.10!$D$10:$D$1615,C11)</f>
        <v>330748</v>
      </c>
      <c r="F11" s="673">
        <f>SUMIFS(Пр.10!I$10:I$1615,Пр.10!$D$10:$D$1615,C11)</f>
        <v>16896063</v>
      </c>
    </row>
    <row r="12" spans="1:6" ht="48" thickBot="1" x14ac:dyDescent="0.3">
      <c r="A12" s="167" t="s">
        <v>575</v>
      </c>
      <c r="B12" s="650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76" t="s">
        <v>501</v>
      </c>
      <c r="D12" s="157">
        <f>SUMIFS(Пр.10!G$10:G$1615,Пр.10!$D$10:$D$1615,C12)</f>
        <v>15580330</v>
      </c>
      <c r="E12" s="651">
        <f>SUMIFS(Пр.10!H$10:H$1615,Пр.10!$D$10:$D$1615,C12)</f>
        <v>245749</v>
      </c>
      <c r="F12" s="652">
        <f>SUMIFS(Пр.10!I$10:I$1615,Пр.10!$D$10:$D$1615,C12)</f>
        <v>15826079</v>
      </c>
    </row>
    <row r="13" spans="1:6" ht="32.25" thickBot="1" x14ac:dyDescent="0.3">
      <c r="A13" s="167"/>
      <c r="B13" s="650" t="str">
        <f>IF(C13&gt;0,VLOOKUP(C13,Программа!A$2:B$5124,2))</f>
        <v>Обеспечение качества и доступности услуг(работ) в сфере молодежной политики</v>
      </c>
      <c r="C13" s="676" t="s">
        <v>1091</v>
      </c>
      <c r="D13" s="157">
        <f>SUMIFS(Пр.10!G$10:G$1615,Пр.10!$D$10:$D$1615,C13)</f>
        <v>984985</v>
      </c>
      <c r="E13" s="651">
        <f>SUMIFS(Пр.10!H$10:H$1615,Пр.10!$D$10:$D$1615,C13)</f>
        <v>84999</v>
      </c>
      <c r="F13" s="671">
        <f>SUMIFS(Пр.10!I$10:I$1615,Пр.10!$D$10:$D$1615,C13)</f>
        <v>1069984</v>
      </c>
    </row>
    <row r="14" spans="1:6" s="153" customFormat="1" ht="63.75" thickBot="1" x14ac:dyDescent="0.3">
      <c r="A14" s="363" t="s">
        <v>576</v>
      </c>
      <c r="B14" s="653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70" t="s">
        <v>398</v>
      </c>
      <c r="D14" s="654">
        <f>SUMIFS(Пр.10!G$10:G$1615,Пр.10!$D$10:$D$1615,C14)</f>
        <v>560473</v>
      </c>
      <c r="E14" s="655">
        <f>SUMIFS(Пр.10!H$10:H$1615,Пр.10!$D$10:$D$1615,C14)</f>
        <v>-113000</v>
      </c>
      <c r="F14" s="671">
        <f>SUMIFS(Пр.10!I$10:I$1615,Пр.10!$D$10:$D$1615,C14)</f>
        <v>447473</v>
      </c>
    </row>
    <row r="15" spans="1:6" ht="48" thickBot="1" x14ac:dyDescent="0.3">
      <c r="A15" s="163" t="s">
        <v>577</v>
      </c>
      <c r="B15" s="65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2" t="s">
        <v>400</v>
      </c>
      <c r="D15" s="157">
        <f>SUMIFS(Пр.10!G$10:G$1615,Пр.10!$D$10:$D$1615,C15)</f>
        <v>560473</v>
      </c>
      <c r="E15" s="651">
        <f>SUMIFS(Пр.10!H$10:H$1615,Пр.10!$D$10:$D$1615,C15)</f>
        <v>-113000</v>
      </c>
      <c r="F15" s="652">
        <f>SUMIFS(Пр.10!I$10:I$1615,Пр.10!$D$10:$D$1615,C15)</f>
        <v>447473</v>
      </c>
    </row>
    <row r="16" spans="1:6" ht="63.75" hidden="1" thickBot="1" x14ac:dyDescent="0.3">
      <c r="A16" s="163"/>
      <c r="B16" s="650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2" t="s">
        <v>1440</v>
      </c>
      <c r="D16" s="157">
        <f>SUMIFS(Пр.10!G$10:G$1615,Пр.10!$D$10:$D$1615,C16)</f>
        <v>0</v>
      </c>
      <c r="E16" s="651">
        <f>SUMIFS(Пр.10!H$10:H$1615,Пр.10!$D$10:$D$1615,C16)</f>
        <v>0</v>
      </c>
      <c r="F16" s="652">
        <f>SUMIFS(Пр.10!I$10:I$1615,Пр.10!$D$10:$D$1615,C16)</f>
        <v>0</v>
      </c>
    </row>
    <row r="17" spans="1:6" s="153" customFormat="1" ht="48" thickBot="1" x14ac:dyDescent="0.3">
      <c r="A17" s="290" t="s">
        <v>78</v>
      </c>
      <c r="B17" s="653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70" t="s">
        <v>403</v>
      </c>
      <c r="D17" s="654">
        <f>SUMIFS(Пр.10!G$10:G$1615,Пр.10!$D$10:$D$1615,C17)</f>
        <v>130000</v>
      </c>
      <c r="E17" s="655">
        <f>SUMIFS(Пр.10!H$10:H$1615,Пр.10!$D$10:$D$1615,C17)</f>
        <v>0</v>
      </c>
      <c r="F17" s="671">
        <f>SUMIFS(Пр.10!I$10:I$1615,Пр.10!$D$10:$D$1615,C17)</f>
        <v>130000</v>
      </c>
    </row>
    <row r="18" spans="1:6" ht="32.25" thickBot="1" x14ac:dyDescent="0.3">
      <c r="A18" s="167" t="s">
        <v>578</v>
      </c>
      <c r="B18" s="650" t="str">
        <f>IF(C18&gt;0,VLOOKUP(C18,Программа!A$2:B$5124,2))</f>
        <v>Развитие системы профилактики немедицинского потребления наркотиков</v>
      </c>
      <c r="C18" s="232" t="s">
        <v>405</v>
      </c>
      <c r="D18" s="157">
        <f>SUMIFS(Пр.10!G$10:G$1615,Пр.10!$D$10:$D$1615,C18)</f>
        <v>130000</v>
      </c>
      <c r="E18" s="651">
        <f>SUMIFS(Пр.10!H$10:H$1615,Пр.10!$D$10:$D$1615,C18)</f>
        <v>0</v>
      </c>
      <c r="F18" s="652">
        <f>SUMIFS(Пр.10!I$10:I$1615,Пр.10!$D$10:$D$1615,C18)</f>
        <v>130000</v>
      </c>
    </row>
    <row r="19" spans="1:6" s="153" customFormat="1" ht="32.25" thickBot="1" x14ac:dyDescent="0.3">
      <c r="A19" s="168" t="s">
        <v>579</v>
      </c>
      <c r="B19" s="653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670" t="s">
        <v>494</v>
      </c>
      <c r="D19" s="654">
        <f>SUMIFS(Пр.10!G$10:G$1615,Пр.10!$D$10:$D$1615,C19)</f>
        <v>227909356</v>
      </c>
      <c r="E19" s="655">
        <f>SUMIFS(Пр.10!H$10:H$1615,Пр.10!$D$10:$D$1615,C19)</f>
        <v>3739212.0000000005</v>
      </c>
      <c r="F19" s="671">
        <f>SUMIFS(Пр.10!I$10:I$1615,Пр.10!$D$10:$D$1615,C19)</f>
        <v>231648568</v>
      </c>
    </row>
    <row r="20" spans="1:6" ht="32.25" thickBot="1" x14ac:dyDescent="0.3">
      <c r="A20" s="167" t="s">
        <v>580</v>
      </c>
      <c r="B20" s="650" t="str">
        <f>IF(C20&gt;0,VLOOKUP(C20,Программа!A$2:B$5124,2))</f>
        <v>Реализация дополнительных образовательных программ в сфере культуры</v>
      </c>
      <c r="C20" s="232" t="s">
        <v>496</v>
      </c>
      <c r="D20" s="157">
        <f>SUMIFS(Пр.10!G$10:G$1615,Пр.10!$D$10:$D$1615,C20)</f>
        <v>32338691</v>
      </c>
      <c r="E20" s="651">
        <f>SUMIFS(Пр.10!H$10:H$1615,Пр.10!$D$10:$D$1615,C20)</f>
        <v>-20000</v>
      </c>
      <c r="F20" s="652">
        <f>SUMIFS(Пр.10!I$10:I$1615,Пр.10!$D$10:$D$1615,C20)</f>
        <v>32318691</v>
      </c>
    </row>
    <row r="21" spans="1:6" ht="16.5" thickBot="1" x14ac:dyDescent="0.3">
      <c r="A21" s="167" t="s">
        <v>581</v>
      </c>
      <c r="B21" s="650" t="str">
        <f>IF(C21&gt;0,VLOOKUP(C21,Программа!A$2:B$5124,2))</f>
        <v>Содействие доступу граждан к культурным ценностям</v>
      </c>
      <c r="C21" s="232" t="s">
        <v>512</v>
      </c>
      <c r="D21" s="157">
        <f>SUMIFS(Пр.10!G$10:G$1615,Пр.10!$D$10:$D$1615,C21)</f>
        <v>100651250</v>
      </c>
      <c r="E21" s="651">
        <f>SUMIFS(Пр.10!H$10:H$1615,Пр.10!$D$10:$D$1615,C21)</f>
        <v>1974992.0000000005</v>
      </c>
      <c r="F21" s="652">
        <f>SUMIFS(Пр.10!I$10:I$1615,Пр.10!$D$10:$D$1615,C21)</f>
        <v>102626242.00000001</v>
      </c>
    </row>
    <row r="22" spans="1:6" ht="32.25" thickBot="1" x14ac:dyDescent="0.3">
      <c r="A22" s="166" t="s">
        <v>582</v>
      </c>
      <c r="B22" s="650" t="str">
        <f>IF(C22&gt;0,VLOOKUP(C22,Программа!A$2:B$5124,2))</f>
        <v>Поддержка доступа граждан к информационно-библиотечным ресурсам</v>
      </c>
      <c r="C22" s="232" t="s">
        <v>517</v>
      </c>
      <c r="D22" s="157">
        <f>SUMIFS(Пр.10!G$10:G$1615,Пр.10!$D$10:$D$1615,C22)</f>
        <v>24758815</v>
      </c>
      <c r="E22" s="651">
        <f>SUMIFS(Пр.10!H$10:H$1615,Пр.10!$D$10:$D$1615,C22)</f>
        <v>225440</v>
      </c>
      <c r="F22" s="652">
        <f>SUMIFS(Пр.10!I$10:I$1615,Пр.10!$D$10:$D$1615,C22)</f>
        <v>24984255</v>
      </c>
    </row>
    <row r="23" spans="1:6" ht="16.5" thickBot="1" x14ac:dyDescent="0.3">
      <c r="A23" s="167" t="s">
        <v>583</v>
      </c>
      <c r="B23" s="650" t="str">
        <f>IF(C23&gt;0,VLOOKUP(C23,Программа!A$2:B$5124,2))</f>
        <v>Обеспечение эффективности управления системой культуры</v>
      </c>
      <c r="C23" s="232" t="s">
        <v>520</v>
      </c>
      <c r="D23" s="157">
        <f>SUMIFS(Пр.10!G$10:G$1615,Пр.10!$D$10:$D$1615,C23)</f>
        <v>34018811</v>
      </c>
      <c r="E23" s="651">
        <f>SUMIFS(Пр.10!H$10:H$1615,Пр.10!$D$10:$D$1615,C23)</f>
        <v>1558780</v>
      </c>
      <c r="F23" s="652">
        <f>SUMIFS(Пр.10!I$10:I$1615,Пр.10!$D$10:$D$1615,C23)</f>
        <v>35577591</v>
      </c>
    </row>
    <row r="24" spans="1:6" ht="16.5" thickBot="1" x14ac:dyDescent="0.3">
      <c r="A24" s="167"/>
      <c r="B24" s="650" t="str">
        <f>IF(C24&gt;0,VLOOKUP(C24,Программа!A$2:B$5124,2))</f>
        <v>Федеральный проект "Культурная среда"</v>
      </c>
      <c r="C24" s="232" t="s">
        <v>1570</v>
      </c>
      <c r="D24" s="157">
        <f>SUMIFS(Пр.10!G$10:G$1615,Пр.10!$D$10:$D$1615,C24)</f>
        <v>36141789</v>
      </c>
      <c r="E24" s="651">
        <f>SUMIFS(Пр.10!H$10:H$1615,Пр.10!$D$10:$D$1615,C24)</f>
        <v>0</v>
      </c>
      <c r="F24" s="652">
        <f>SUMIFS(Пр.10!I$10:I$1615,Пр.10!$D$10:$D$1615,C24)</f>
        <v>36141789</v>
      </c>
    </row>
    <row r="25" spans="1:6" s="153" customFormat="1" ht="48" hidden="1" thickBot="1" x14ac:dyDescent="0.25">
      <c r="A25" s="290" t="s">
        <v>584</v>
      </c>
      <c r="B25" s="536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489</v>
      </c>
      <c r="D25" s="176">
        <f>SUMIFS(Пр.10!G$10:G$1615,Пр.10!$D$10:$D$1615,C25)</f>
        <v>0</v>
      </c>
      <c r="E25" s="551">
        <f>SUMIFS(Пр.10!H$10:H$1615,Пр.10!$D$10:$D$1615,C25)</f>
        <v>0</v>
      </c>
      <c r="F25" s="534">
        <f>SUMIFS(Пр.10!I$10:I$1615,Пр.10!$D$10:$D$1615,C25)</f>
        <v>0</v>
      </c>
    </row>
    <row r="26" spans="1:6" ht="16.5" hidden="1" thickBot="1" x14ac:dyDescent="0.25">
      <c r="A26" s="167" t="s">
        <v>585</v>
      </c>
      <c r="B26" s="542" t="str">
        <f>IF(C26&gt;0,VLOOKUP(C26,Программа!A$2:B$5124,2))</f>
        <v>Создание благоприятных условий для развития туризма</v>
      </c>
      <c r="C26" s="169" t="s">
        <v>491</v>
      </c>
      <c r="D26" s="543">
        <f>SUMIFS(Пр.10!G$10:G$1615,Пр.10!$D$10:$D$1615,C26)</f>
        <v>0</v>
      </c>
      <c r="E26" s="445">
        <f>SUMIFS(Пр.10!H$10:H$1615,Пр.10!$D$10:$D$1615,C26)</f>
        <v>0</v>
      </c>
      <c r="F26" s="628">
        <f>SUMIFS(Пр.10!I$10:I$1615,Пр.10!$D$10:$D$1615,C26)</f>
        <v>0</v>
      </c>
    </row>
    <row r="27" spans="1:6" s="152" customFormat="1" ht="48" thickBot="1" x14ac:dyDescent="0.25">
      <c r="A27" s="362" t="s">
        <v>586</v>
      </c>
      <c r="B27" s="453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367</v>
      </c>
      <c r="D27" s="437">
        <f>SUMIFS(Пр.10!G$10:G$1615,Пр.10!$D$10:$D$1615,C27)</f>
        <v>1237896909</v>
      </c>
      <c r="E27" s="438">
        <f>SUMIFS(Пр.10!H$10:H$1615,Пр.10!$D$10:$D$1615,C27)</f>
        <v>-2229430</v>
      </c>
      <c r="F27" s="612">
        <f>SUMIFS(Пр.10!I$10:I$1615,Пр.10!$D$10:$D$1615,C27)</f>
        <v>1235667479</v>
      </c>
    </row>
    <row r="28" spans="1:6" s="153" customFormat="1" ht="48" thickBot="1" x14ac:dyDescent="0.3">
      <c r="A28" s="290" t="s">
        <v>587</v>
      </c>
      <c r="B28" s="645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672" t="s">
        <v>369</v>
      </c>
      <c r="D28" s="647">
        <f>SUMIFS(Пр.10!G$10:G$1615,Пр.10!$D$10:$D$1615,C28)</f>
        <v>1178180143</v>
      </c>
      <c r="E28" s="648">
        <f>SUMIFS(Пр.10!H$10:H$1615,Пр.10!$D$10:$D$1615,C28)</f>
        <v>1735643.54</v>
      </c>
      <c r="F28" s="673">
        <f>SUMIFS(Пр.10!I$10:I$1615,Пр.10!$D$10:$D$1615,C28)</f>
        <v>1179915786.54</v>
      </c>
    </row>
    <row r="29" spans="1:6" ht="32.25" thickBot="1" x14ac:dyDescent="0.3">
      <c r="A29" s="166" t="s">
        <v>588</v>
      </c>
      <c r="B29" s="650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32" t="s">
        <v>370</v>
      </c>
      <c r="D29" s="157">
        <f>SUMIFS(Пр.10!G$10:G$1615,Пр.10!$D$10:$D$1615,C29)</f>
        <v>451445788</v>
      </c>
      <c r="E29" s="651">
        <f>SUMIFS(Пр.10!H$10:H$1615,Пр.10!$D$10:$D$1615,C29)</f>
        <v>-664799.69999999995</v>
      </c>
      <c r="F29" s="652">
        <f>SUMIFS(Пр.10!I$10:I$1615,Пр.10!$D$10:$D$1615,C29)</f>
        <v>450780988.30000001</v>
      </c>
    </row>
    <row r="30" spans="1:6" ht="32.25" thickBot="1" x14ac:dyDescent="0.3">
      <c r="A30" s="166" t="s">
        <v>589</v>
      </c>
      <c r="B30" s="650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32" t="s">
        <v>409</v>
      </c>
      <c r="D30" s="157">
        <f>SUMIFS(Пр.10!G$10:G$1615,Пр.10!$D$10:$D$1615,C30)</f>
        <v>563869344</v>
      </c>
      <c r="E30" s="651">
        <f>SUMIFS(Пр.10!H$10:H$1615,Пр.10!$D$10:$D$1615,C30)</f>
        <v>-183876.6399999999</v>
      </c>
      <c r="F30" s="652">
        <f>SUMIFS(Пр.10!I$10:I$1615,Пр.10!$D$10:$D$1615,C30)</f>
        <v>563685467.36000001</v>
      </c>
    </row>
    <row r="31" spans="1:6" ht="32.25" thickBot="1" x14ac:dyDescent="0.3">
      <c r="A31" s="166" t="s">
        <v>590</v>
      </c>
      <c r="B31" s="650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32" t="s">
        <v>431</v>
      </c>
      <c r="D31" s="157">
        <f>SUMIFS(Пр.10!G$10:G$1615,Пр.10!$D$10:$D$1615,C31)</f>
        <v>65496183</v>
      </c>
      <c r="E31" s="651">
        <f>SUMIFS(Пр.10!H$10:H$1615,Пр.10!$D$10:$D$1615,C31)</f>
        <v>2404387.88</v>
      </c>
      <c r="F31" s="652">
        <f>SUMIFS(Пр.10!I$10:I$1615,Пр.10!$D$10:$D$1615,C31)</f>
        <v>67900570.879999995</v>
      </c>
    </row>
    <row r="32" spans="1:6" ht="16.5" thickBot="1" x14ac:dyDescent="0.3">
      <c r="A32" s="167" t="s">
        <v>591</v>
      </c>
      <c r="B32" s="650" t="str">
        <f>IF(C32&gt;0,VLOOKUP(C32,Программа!A$2:B$5124,2))</f>
        <v>Повышение мотивации участников образовательного процесса</v>
      </c>
      <c r="C32" s="232" t="s">
        <v>411</v>
      </c>
      <c r="D32" s="157">
        <f>SUMIFS(Пр.10!G$10:G$1615,Пр.10!$D$10:$D$1615,C32)</f>
        <v>382000</v>
      </c>
      <c r="E32" s="651">
        <f>SUMIFS(Пр.10!H$10:H$1615,Пр.10!$D$10:$D$1615,C32)</f>
        <v>-69000</v>
      </c>
      <c r="F32" s="652">
        <f>SUMIFS(Пр.10!I$10:I$1615,Пр.10!$D$10:$D$1615,C32)</f>
        <v>313000</v>
      </c>
    </row>
    <row r="33" spans="1:6" ht="48" thickBot="1" x14ac:dyDescent="0.3">
      <c r="A33" s="166" t="s">
        <v>592</v>
      </c>
      <c r="B33" s="650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2" t="s">
        <v>388</v>
      </c>
      <c r="D33" s="157">
        <f>SUMIFS(Пр.10!G$10:G$1615,Пр.10!$D$10:$D$1615,C33)</f>
        <v>13497234</v>
      </c>
      <c r="E33" s="651">
        <f>SUMIFS(Пр.10!H$10:H$1615,Пр.10!$D$10:$D$1615,C33)</f>
        <v>160000</v>
      </c>
      <c r="F33" s="652">
        <f>SUMIFS(Пр.10!I$10:I$1615,Пр.10!$D$10:$D$1615,C33)</f>
        <v>13657234</v>
      </c>
    </row>
    <row r="34" spans="1:6" ht="48" thickBot="1" x14ac:dyDescent="0.3">
      <c r="A34" s="167" t="s">
        <v>593</v>
      </c>
      <c r="B34" s="650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32" t="s">
        <v>416</v>
      </c>
      <c r="D34" s="157">
        <f>SUMIFS(Пр.10!G$10:G$1615,Пр.10!$D$10:$D$1615,C34)</f>
        <v>30835562</v>
      </c>
      <c r="E34" s="651">
        <f>SUMIFS(Пр.10!H$10:H$1615,Пр.10!$D$10:$D$1615,C34)</f>
        <v>0</v>
      </c>
      <c r="F34" s="652">
        <f>SUMIFS(Пр.10!I$10:I$1615,Пр.10!$D$10:$D$1615,C34)</f>
        <v>30835562</v>
      </c>
    </row>
    <row r="35" spans="1:6" ht="32.25" thickBot="1" x14ac:dyDescent="0.3">
      <c r="A35" s="167"/>
      <c r="B35" s="650" t="str">
        <f>IF(C35&gt;0,VLOOKUP(C35,Программа!A$2:B$5124,2))</f>
        <v>Обеспечение детей организованными формами отдыха и оздоровления</v>
      </c>
      <c r="C35" s="232" t="s">
        <v>1055</v>
      </c>
      <c r="D35" s="157">
        <f>SUMIFS(Пр.10!G$10:G$1615,Пр.10!$D$10:$D$1615,C35)</f>
        <v>6672135</v>
      </c>
      <c r="E35" s="651">
        <f>SUMIFS(Пр.10!H$10:H$1615,Пр.10!$D$10:$D$1615,C35)</f>
        <v>-11068</v>
      </c>
      <c r="F35" s="652">
        <f>SUMIFS(Пр.10!I$10:I$1615,Пр.10!$D$10:$D$1615,C35)</f>
        <v>6661067</v>
      </c>
    </row>
    <row r="36" spans="1:6" ht="16.5" thickBot="1" x14ac:dyDescent="0.3">
      <c r="A36" s="167"/>
      <c r="B36" s="650" t="str">
        <f>IF(C36&gt;0,VLOOKUP(C36,Программа!A$2:B$5124,2))</f>
        <v>Обеспечение компенсационных выплат</v>
      </c>
      <c r="C36" s="232" t="s">
        <v>1060</v>
      </c>
      <c r="D36" s="157">
        <f>SUMIFS(Пр.10!G$10:G$1615,Пр.10!$D$10:$D$1615,C36)</f>
        <v>9355500</v>
      </c>
      <c r="E36" s="651">
        <f>SUMIFS(Пр.10!H$10:H$1615,Пр.10!$D$10:$D$1615,C36)</f>
        <v>100000</v>
      </c>
      <c r="F36" s="652">
        <f>SUMIFS(Пр.10!I$10:I$1615,Пр.10!$D$10:$D$1615,C36)</f>
        <v>9455500</v>
      </c>
    </row>
    <row r="37" spans="1:6" ht="32.25" thickBot="1" x14ac:dyDescent="0.3">
      <c r="A37" s="167"/>
      <c r="B37" s="650" t="str">
        <f>IF(C37&gt;0,VLOOKUP(C37,Программа!A$2:B$5124,2))</f>
        <v>Обеспечение эффективности управления системой образования</v>
      </c>
      <c r="C37" s="232" t="s">
        <v>1057</v>
      </c>
      <c r="D37" s="157">
        <f>SUMIFS(Пр.10!G$10:G$1615,Пр.10!$D$10:$D$1615,C37)</f>
        <v>34506397</v>
      </c>
      <c r="E37" s="651">
        <f>SUMIFS(Пр.10!H$10:H$1615,Пр.10!$D$10:$D$1615,C37)</f>
        <v>0</v>
      </c>
      <c r="F37" s="652">
        <f>SUMIFS(Пр.10!I$10:I$1615,Пр.10!$D$10:$D$1615,C37)</f>
        <v>34506397</v>
      </c>
    </row>
    <row r="38" spans="1:6" ht="16.5" thickBot="1" x14ac:dyDescent="0.3">
      <c r="A38" s="167"/>
      <c r="B38" s="650" t="str">
        <f>IF(C38&gt;0,VLOOKUP(C38,Программа!A$2:B$5124,2))</f>
        <v>Региональный проект "Современная школа"</v>
      </c>
      <c r="C38" s="232" t="s">
        <v>1603</v>
      </c>
      <c r="D38" s="157">
        <f>SUMIFS(Пр.10!G$10:G$1615,Пр.10!$D$10:$D$1615,C38)</f>
        <v>2120000</v>
      </c>
      <c r="E38" s="651">
        <f>SUMIFS(Пр.10!H$10:H$1615,Пр.10!$D$10:$D$1615,C38)</f>
        <v>0</v>
      </c>
      <c r="F38" s="652">
        <f>SUMIFS(Пр.10!I$10:I$1615,Пр.10!$D$10:$D$1615,C38)</f>
        <v>2120000</v>
      </c>
    </row>
    <row r="39" spans="1:6" ht="16.5" hidden="1" thickBot="1" x14ac:dyDescent="0.3">
      <c r="A39" s="167"/>
      <c r="B39" s="650" t="str">
        <f>IF(C39&gt;0,VLOOKUP(C39,Программа!A$2:B$5124,2))</f>
        <v>Региональный проект "Успех каждого ребенка"</v>
      </c>
      <c r="C39" s="232" t="s">
        <v>1430</v>
      </c>
      <c r="D39" s="157">
        <f>SUMIFS(Пр.10!G$10:G$1615,Пр.10!$D$10:$D$1615,C39)</f>
        <v>0</v>
      </c>
      <c r="E39" s="651">
        <f>SUMIFS(Пр.10!H$10:H$1615,Пр.10!$D$10:$D$1615,C39)</f>
        <v>0</v>
      </c>
      <c r="F39" s="652">
        <f>SUMIFS(Пр.10!I$10:I$1615,Пр.10!$D$10:$D$1615,C39)</f>
        <v>0</v>
      </c>
    </row>
    <row r="40" spans="1:6" s="153" customFormat="1" ht="48" thickBot="1" x14ac:dyDescent="0.3">
      <c r="A40" s="168" t="s">
        <v>594</v>
      </c>
      <c r="B40" s="653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70" t="s">
        <v>418</v>
      </c>
      <c r="D40" s="654">
        <f>SUMIFS(Пр.10!G$10:G$1615,Пр.10!$D$10:$D$1615,C40)</f>
        <v>5000</v>
      </c>
      <c r="E40" s="655">
        <f>SUMIFS(Пр.10!H$10:H$1615,Пр.10!$D$10:$D$1615,C40)</f>
        <v>0</v>
      </c>
      <c r="F40" s="671">
        <f>SUMIFS(Пр.10!I$10:I$1615,Пр.10!$D$10:$D$1615,C40)</f>
        <v>5000</v>
      </c>
    </row>
    <row r="41" spans="1:6" ht="32.25" thickBot="1" x14ac:dyDescent="0.3">
      <c r="A41" s="167"/>
      <c r="B41" s="650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32" t="s">
        <v>420</v>
      </c>
      <c r="D41" s="157">
        <f>SUMIFS(Пр.10!G$10:G$1615,Пр.10!$D$10:$D$1615,C41)</f>
        <v>5000</v>
      </c>
      <c r="E41" s="651">
        <f>SUMIFS(Пр.10!H$10:H$1615,Пр.10!$D$10:$D$1615,C41)</f>
        <v>0</v>
      </c>
      <c r="F41" s="652">
        <f>SUMIFS(Пр.10!I$10:I$1615,Пр.10!$D$10:$D$1615,C41)</f>
        <v>5000</v>
      </c>
    </row>
    <row r="42" spans="1:6" s="153" customFormat="1" ht="32.25" thickBot="1" x14ac:dyDescent="0.3">
      <c r="A42" s="168"/>
      <c r="B42" s="653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670" t="s">
        <v>386</v>
      </c>
      <c r="D42" s="654">
        <f>SUMIFS(Пр.10!G$10:G$1615,Пр.10!$D$10:$D$1615,C42)</f>
        <v>59061766</v>
      </c>
      <c r="E42" s="655">
        <f>SUMIFS(Пр.10!H$10:H$1615,Пр.10!$D$10:$D$1615,C42)</f>
        <v>-4065073.54</v>
      </c>
      <c r="F42" s="671">
        <f>SUMIFS(Пр.10!I$10:I$1615,Пр.10!$D$10:$D$1615,C42)</f>
        <v>54996692.460000001</v>
      </c>
    </row>
    <row r="43" spans="1:6" ht="63.75" thickBot="1" x14ac:dyDescent="0.3">
      <c r="A43" s="167"/>
      <c r="B43" s="650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2" t="s">
        <v>441</v>
      </c>
      <c r="D43" s="157">
        <f>SUMIFS(Пр.10!G$10:G$1615,Пр.10!$D$10:$D$1615,C43)</f>
        <v>42535908</v>
      </c>
      <c r="E43" s="651">
        <f>SUMIFS(Пр.10!H$10:H$1615,Пр.10!$D$10:$D$1615,C43)</f>
        <v>1211926.46</v>
      </c>
      <c r="F43" s="652">
        <f>SUMIFS(Пр.10!I$10:I$1615,Пр.10!$D$10:$D$1615,C43)</f>
        <v>43747834.460000001</v>
      </c>
    </row>
    <row r="44" spans="1:6" ht="32.25" thickBot="1" x14ac:dyDescent="0.3">
      <c r="A44" s="167"/>
      <c r="B44" s="650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32" t="s">
        <v>387</v>
      </c>
      <c r="D44" s="157">
        <f>SUMIFS(Пр.10!G$10:G$1615,Пр.10!$D$10:$D$1615,C44)</f>
        <v>16525858</v>
      </c>
      <c r="E44" s="651">
        <f>SUMIFS(Пр.10!H$10:H$1615,Пр.10!$D$10:$D$1615,C44)</f>
        <v>-7030000</v>
      </c>
      <c r="F44" s="652">
        <f>SUMIFS(Пр.10!I$10:I$1615,Пр.10!$D$10:$D$1615,C44)</f>
        <v>9495858</v>
      </c>
    </row>
    <row r="45" spans="1:6" ht="16.5" thickBot="1" x14ac:dyDescent="0.3">
      <c r="A45" s="167"/>
      <c r="B45" s="656" t="str">
        <f>IF(C45&gt;0,VLOOKUP(C45,Программа!A$2:B$5124,2))</f>
        <v>Развитие сети плоскостных спортивных сооружений</v>
      </c>
      <c r="C45" s="548" t="s">
        <v>422</v>
      </c>
      <c r="D45" s="663">
        <f>SUMIFS(Пр.10!G$10:G$1615,Пр.10!$D$10:$D$1615,C45)</f>
        <v>0</v>
      </c>
      <c r="E45" s="658">
        <f>SUMIFS(Пр.10!H$10:H$1615,Пр.10!$D$10:$D$1615,C45)</f>
        <v>1753000</v>
      </c>
      <c r="F45" s="674">
        <f>SUMIFS(Пр.10!I$10:I$1615,Пр.10!$D$10:$D$1615,C45)</f>
        <v>1753000</v>
      </c>
    </row>
    <row r="46" spans="1:6" s="918" customFormat="1" ht="48" thickBot="1" x14ac:dyDescent="0.3">
      <c r="A46" s="168"/>
      <c r="B46" s="915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670" t="s">
        <v>1764</v>
      </c>
      <c r="D46" s="916">
        <f>SUMIFS(Пр.10!G$10:G$1615,Пр.10!$D$10:$D$1615,C46)</f>
        <v>650000</v>
      </c>
      <c r="E46" s="917">
        <f>SUMIFS(Пр.10!H$10:H$1615,Пр.10!$D$10:$D$1615,C46)</f>
        <v>100000</v>
      </c>
      <c r="F46" s="674">
        <f>SUMIFS(Пр.10!I$10:I$1615,Пр.10!$D$10:$D$1615,C46)</f>
        <v>750000</v>
      </c>
    </row>
    <row r="47" spans="1:6" ht="48" thickBot="1" x14ac:dyDescent="0.3">
      <c r="A47" s="167"/>
      <c r="B47" s="656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8" t="s">
        <v>1763</v>
      </c>
      <c r="D47" s="663">
        <f>SUMIFS(Пр.10!G$10:G$1615,Пр.10!$D$10:$D$1615,C47)</f>
        <v>650000</v>
      </c>
      <c r="E47" s="658">
        <f>SUMIFS(Пр.10!H$10:H$1615,Пр.10!$D$10:$D$1615,C47)</f>
        <v>100000</v>
      </c>
      <c r="F47" s="674">
        <f>SUMIFS(Пр.10!I$10:I$1615,Пр.10!$D$10:$D$1615,C47)</f>
        <v>750000</v>
      </c>
    </row>
    <row r="48" spans="1:6" s="152" customFormat="1" ht="32.25" thickBot="1" x14ac:dyDescent="0.25">
      <c r="A48" s="161"/>
      <c r="B48" s="453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87" t="s">
        <v>376</v>
      </c>
      <c r="D48" s="437">
        <f>SUMIFS(Пр.10!G$10:G$1615,Пр.10!$D$10:$D$1615,C48)</f>
        <v>594400055</v>
      </c>
      <c r="E48" s="438">
        <f>SUMIFS(Пр.10!H$10:H$1615,Пр.10!$D$10:$D$1615,C48)</f>
        <v>-18028892</v>
      </c>
      <c r="F48" s="612">
        <f>SUMIFS(Пр.10!I$10:I$1615,Пр.10!$D$10:$D$1615,C48)</f>
        <v>576371163</v>
      </c>
    </row>
    <row r="49" spans="1:6" s="153" customFormat="1" ht="32.25" thickBot="1" x14ac:dyDescent="0.3">
      <c r="A49" s="168"/>
      <c r="B49" s="645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672" t="s">
        <v>446</v>
      </c>
      <c r="D49" s="647">
        <f>SUMIFS(Пр.10!G$10:G$1615,Пр.10!$D$10:$D$1615,C49)</f>
        <v>593879055</v>
      </c>
      <c r="E49" s="648">
        <f>SUMIFS(Пр.10!H$10:H$1615,Пр.10!$D$10:$D$1615,C49)</f>
        <v>-18048892</v>
      </c>
      <c r="F49" s="673">
        <f>SUMIFS(Пр.10!I$10:I$1615,Пр.10!$D$10:$D$1615,C49)</f>
        <v>575830163</v>
      </c>
    </row>
    <row r="50" spans="1:6" ht="32.25" thickBot="1" x14ac:dyDescent="0.3">
      <c r="A50" s="167"/>
      <c r="B50" s="650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32" t="s">
        <v>448</v>
      </c>
      <c r="D50" s="157">
        <f>SUMIFS(Пр.10!G$10:G$1615,Пр.10!$D$10:$D$1615,C50)</f>
        <v>388294943</v>
      </c>
      <c r="E50" s="651">
        <f>SUMIFS(Пр.10!H$10:H$1615,Пр.10!$D$10:$D$1615,C50)</f>
        <v>-16980042</v>
      </c>
      <c r="F50" s="652">
        <f>SUMIFS(Пр.10!I$10:I$1615,Пр.10!$D$10:$D$1615,C50)</f>
        <v>371314901</v>
      </c>
    </row>
    <row r="51" spans="1:6" ht="48" thickBot="1" x14ac:dyDescent="0.3">
      <c r="A51" s="167"/>
      <c r="B51" s="650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32" t="s">
        <v>451</v>
      </c>
      <c r="D51" s="157">
        <f>SUMIFS(Пр.10!G$10:G$1615,Пр.10!$D$10:$D$1615,C51)</f>
        <v>84397443</v>
      </c>
      <c r="E51" s="651">
        <f>SUMIFS(Пр.10!H$10:H$1615,Пр.10!$D$10:$D$1615,C51)</f>
        <v>0</v>
      </c>
      <c r="F51" s="652">
        <f>SUMIFS(Пр.10!I$10:I$1615,Пр.10!$D$10:$D$1615,C51)</f>
        <v>84397443</v>
      </c>
    </row>
    <row r="52" spans="1:6" ht="32.25" thickBot="1" x14ac:dyDescent="0.3">
      <c r="A52" s="167"/>
      <c r="B52" s="650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32" t="s">
        <v>466</v>
      </c>
      <c r="D52" s="157">
        <f>SUMIFS(Пр.10!G$10:G$1615,Пр.10!$D$10:$D$1615,C52)</f>
        <v>21839449</v>
      </c>
      <c r="E52" s="651">
        <f>SUMIFS(Пр.10!H$10:H$1615,Пр.10!$D$10:$D$1615,C52)</f>
        <v>-1068850</v>
      </c>
      <c r="F52" s="652">
        <f>SUMIFS(Пр.10!I$10:I$1615,Пр.10!$D$10:$D$1615,C52)</f>
        <v>20770599</v>
      </c>
    </row>
    <row r="53" spans="1:6" ht="32.25" thickBot="1" x14ac:dyDescent="0.3">
      <c r="A53" s="167"/>
      <c r="B53" s="650" t="str">
        <f>IF(C53&gt;0,VLOOKUP(C53,Программа!A$2:B$5124,2))</f>
        <v>Информационное обеспечение реализации мероприятий программы</v>
      </c>
      <c r="C53" s="232" t="s">
        <v>1167</v>
      </c>
      <c r="D53" s="157">
        <f>SUMIFS(Пр.10!G$10:G$1615,Пр.10!$D$10:$D$1615,C53)</f>
        <v>731000</v>
      </c>
      <c r="E53" s="651">
        <f>SUMIFS(Пр.10!H$10:H$1615,Пр.10!$D$10:$D$1615,C53)</f>
        <v>0</v>
      </c>
      <c r="F53" s="652">
        <f>SUMIFS(Пр.10!I$10:I$1615,Пр.10!$D$10:$D$1615,C53)</f>
        <v>731000</v>
      </c>
    </row>
    <row r="54" spans="1:6" ht="32.25" thickBot="1" x14ac:dyDescent="0.3">
      <c r="A54" s="167"/>
      <c r="B54" s="650" t="str">
        <f>IF(C54&gt;0,VLOOKUP(C54,Программа!A$2:B$5124,2))</f>
        <v>Федеральный проект "Финансовая поддержка семей при рождении детей"</v>
      </c>
      <c r="C54" s="232" t="s">
        <v>1323</v>
      </c>
      <c r="D54" s="157">
        <f>SUMIFS(Пр.10!G$10:G$1615,Пр.10!$D$10:$D$1615,C54)</f>
        <v>98616220</v>
      </c>
      <c r="E54" s="651">
        <f>SUMIFS(Пр.10!H$10:H$1615,Пр.10!$D$10:$D$1615,C54)</f>
        <v>0</v>
      </c>
      <c r="F54" s="652">
        <f>SUMIFS(Пр.10!I$10:I$1615,Пр.10!$D$10:$D$1615,C54)</f>
        <v>98616220</v>
      </c>
    </row>
    <row r="55" spans="1:6" ht="16.5" hidden="1" thickBot="1" x14ac:dyDescent="0.3">
      <c r="A55" s="167"/>
      <c r="B55" s="650" t="str">
        <f>IF(C55&gt;0,VLOOKUP(C55,Программа!A$2:B$5124,2))</f>
        <v>Федеральный проект "Старшее поколение"</v>
      </c>
      <c r="C55" s="232" t="s">
        <v>1324</v>
      </c>
      <c r="D55" s="157">
        <f>SUMIFS(Пр.10!G$10:G$1615,Пр.10!$D$10:$D$1615,C55)</f>
        <v>0</v>
      </c>
      <c r="E55" s="651">
        <f>SUMIFS(Пр.10!H$10:H$1615,Пр.10!$D$10:$D$1615,C55)</f>
        <v>0</v>
      </c>
      <c r="F55" s="652">
        <f>SUMIFS(Пр.10!I$10:I$1615,Пр.10!$D$10:$D$1615,C55)</f>
        <v>0</v>
      </c>
    </row>
    <row r="56" spans="1:6" s="153" customFormat="1" ht="32.25" thickBot="1" x14ac:dyDescent="0.3">
      <c r="A56" s="168"/>
      <c r="B56" s="653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670" t="s">
        <v>378</v>
      </c>
      <c r="D56" s="654">
        <f>SUMIFS(Пр.10!G$10:G$1615,Пр.10!$D$10:$D$1615,C56)</f>
        <v>521000</v>
      </c>
      <c r="E56" s="655">
        <f>SUMIFS(Пр.10!H$10:H$1615,Пр.10!$D$10:$D$1615,C56)</f>
        <v>20000</v>
      </c>
      <c r="F56" s="671">
        <f>SUMIFS(Пр.10!I$10:I$1615,Пр.10!$D$10:$D$1615,C56)</f>
        <v>541000</v>
      </c>
    </row>
    <row r="57" spans="1:6" s="153" customFormat="1" ht="48" thickBot="1" x14ac:dyDescent="0.3">
      <c r="A57" s="168"/>
      <c r="B57" s="650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32" t="s">
        <v>379</v>
      </c>
      <c r="D57" s="157">
        <f>SUMIFS(Пр.10!G$10:G$1615,Пр.10!$D$10:$D$1615,C57)</f>
        <v>86000</v>
      </c>
      <c r="E57" s="651">
        <f>SUMIFS(Пр.10!H$10:H$1615,Пр.10!$D$10:$D$1615,C57)</f>
        <v>-26000</v>
      </c>
      <c r="F57" s="652">
        <f>SUMIFS(Пр.10!I$10:I$1615,Пр.10!$D$10:$D$1615,C57)</f>
        <v>60000</v>
      </c>
    </row>
    <row r="58" spans="1:6" s="153" customFormat="1" ht="48" thickBot="1" x14ac:dyDescent="0.3">
      <c r="A58" s="168"/>
      <c r="B58" s="650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32" t="s">
        <v>1341</v>
      </c>
      <c r="D58" s="157">
        <f>SUMIFS(Пр.10!G$10:G$1615,Пр.10!$D$10:$D$1615,C58)</f>
        <v>265000</v>
      </c>
      <c r="E58" s="651">
        <f>SUMIFS(Пр.10!H$10:H$1615,Пр.10!$D$10:$D$1615,C58)</f>
        <v>68779</v>
      </c>
      <c r="F58" s="652">
        <f>SUMIFS(Пр.10!I$10:I$1615,Пр.10!$D$10:$D$1615,C58)</f>
        <v>333779</v>
      </c>
    </row>
    <row r="59" spans="1:6" ht="32.25" thickBot="1" x14ac:dyDescent="0.3">
      <c r="A59" s="167"/>
      <c r="B59" s="656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548" t="s">
        <v>1036</v>
      </c>
      <c r="D59" s="663">
        <f>SUMIFS(Пр.10!G$10:G$1615,Пр.10!$D$10:$D$1615,C59)</f>
        <v>170000</v>
      </c>
      <c r="E59" s="658">
        <f>SUMIFS(Пр.10!H$10:H$1615,Пр.10!$D$10:$D$1615,C59)</f>
        <v>-22779</v>
      </c>
      <c r="F59" s="664">
        <f>SUMIFS(Пр.10!I$10:I$1615,Пр.10!$D$10:$D$1615,C59)</f>
        <v>147221</v>
      </c>
    </row>
    <row r="60" spans="1:6" s="152" customFormat="1" ht="16.5" thickBot="1" x14ac:dyDescent="0.25">
      <c r="A60" s="161"/>
      <c r="B60" s="540" t="str">
        <f>IF(C60&gt;0,VLOOKUP(C60,Программа!A$2:B$5124,2))</f>
        <v>Муниципальная программа "Доступная среда "</v>
      </c>
      <c r="C60" s="162" t="s">
        <v>508</v>
      </c>
      <c r="D60" s="541">
        <f>SUMIFS(Пр.10!G$10:G$1615,Пр.10!$D$10:$D$1615,C60)</f>
        <v>34290</v>
      </c>
      <c r="E60" s="438">
        <f>SUMIFS(Пр.10!H$10:H$1615,Пр.10!$D$10:$D$1615,C60)</f>
        <v>0</v>
      </c>
      <c r="F60" s="613">
        <f>SUMIFS(Пр.10!I$10:I$1615,Пр.10!$D$10:$D$1615,C60)</f>
        <v>34290</v>
      </c>
    </row>
    <row r="61" spans="1:6" ht="63.75" thickBot="1" x14ac:dyDescent="0.25">
      <c r="A61" s="167"/>
      <c r="B61" s="546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71" t="s">
        <v>509</v>
      </c>
      <c r="D61" s="547">
        <f>SUMIFS(Пр.10!G$10:G$1615,Пр.10!$D$10:$D$1615,C61)</f>
        <v>34290</v>
      </c>
      <c r="E61" s="477">
        <f>SUMIFS(Пр.10!H$10:H$1615,Пр.10!$D$10:$D$1615,C61)</f>
        <v>0</v>
      </c>
      <c r="F61" s="611">
        <f>SUMIFS(Пр.10!I$10:I$1615,Пр.10!$D$10:$D$1615,C61)</f>
        <v>34290</v>
      </c>
    </row>
    <row r="62" spans="1:6" s="152" customFormat="1" ht="48" thickBot="1" x14ac:dyDescent="0.25">
      <c r="A62" s="161"/>
      <c r="B62" s="453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62" t="s">
        <v>525</v>
      </c>
      <c r="D62" s="437">
        <f>SUMIFS(Пр.10!G$10:G$1615,Пр.10!$D$10:$D$1615,C62)</f>
        <v>19920566</v>
      </c>
      <c r="E62" s="438">
        <f>SUMIFS(Пр.10!H$10:H$1615,Пр.10!$D$10:$D$1615,C62)</f>
        <v>-4005028</v>
      </c>
      <c r="F62" s="612">
        <f>SUMIFS(Пр.10!I$10:I$1615,Пр.10!$D$10:$D$1615,C62)</f>
        <v>15915538</v>
      </c>
    </row>
    <row r="63" spans="1:6" s="153" customFormat="1" ht="63.75" hidden="1" thickBot="1" x14ac:dyDescent="0.25">
      <c r="A63" s="168"/>
      <c r="B63" s="538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70" t="s">
        <v>527</v>
      </c>
      <c r="D63" s="539">
        <f>SUMIFS(Пр.10!G$10:G$1615,Пр.10!$D$10:$D$1615,C63)</f>
        <v>0</v>
      </c>
      <c r="E63" s="443">
        <f>SUMIFS(Пр.10!H$10:H$1615,Пр.10!$D$10:$D$1615,C63)</f>
        <v>0</v>
      </c>
      <c r="F63" s="617">
        <f>SUMIFS(Пр.10!I$10:I$1615,Пр.10!$D$10:$D$1615,C63)</f>
        <v>0</v>
      </c>
    </row>
    <row r="64" spans="1:6" ht="63.75" hidden="1" thickBot="1" x14ac:dyDescent="0.25">
      <c r="A64" s="167"/>
      <c r="B64" s="537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23" t="s">
        <v>551</v>
      </c>
      <c r="D64" s="174">
        <f>SUMIFS(Пр.10!G$10:G$1615,Пр.10!$D$10:$D$1615,C64)</f>
        <v>0</v>
      </c>
      <c r="E64" s="551">
        <f>SUMIFS(Пр.10!H$10:H$1615,Пр.10!$D$10:$D$1615,C64)</f>
        <v>0</v>
      </c>
      <c r="F64" s="535">
        <f>SUMIFS(Пр.10!I$10:I$1615,Пр.10!$D$10:$D$1615,C64)</f>
        <v>0</v>
      </c>
    </row>
    <row r="65" spans="1:6" ht="32.25" hidden="1" thickBot="1" x14ac:dyDescent="0.25">
      <c r="A65" s="167"/>
      <c r="B65" s="537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23" t="s">
        <v>528</v>
      </c>
      <c r="D65" s="174">
        <f>SUMIFS(Пр.10!G$10:G$1615,Пр.10!$D$10:$D$1615,C65)</f>
        <v>0</v>
      </c>
      <c r="E65" s="551">
        <f>SUMIFS(Пр.10!H$10:H$1615,Пр.10!$D$10:$D$1615,C65)</f>
        <v>0</v>
      </c>
      <c r="F65" s="535">
        <f>SUMIFS(Пр.10!I$10:I$1615,Пр.10!$D$10:$D$1615,C65)</f>
        <v>0</v>
      </c>
    </row>
    <row r="66" spans="1:6" s="153" customFormat="1" ht="48" thickBot="1" x14ac:dyDescent="0.3">
      <c r="A66" s="168"/>
      <c r="B66" s="653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70" t="s">
        <v>554</v>
      </c>
      <c r="D66" s="654">
        <f>SUMIFS(Пр.10!G$10:G$1615,Пр.10!$D$10:$D$1615,C66)</f>
        <v>8113066</v>
      </c>
      <c r="E66" s="655">
        <f>SUMIFS(Пр.10!H$10:H$1615,Пр.10!$D$10:$D$1615,C66)</f>
        <v>-4521762</v>
      </c>
      <c r="F66" s="671">
        <f>SUMIFS(Пр.10!I$10:I$1615,Пр.10!$D$10:$D$1615,C66)</f>
        <v>3591304</v>
      </c>
    </row>
    <row r="67" spans="1:6" ht="32.25" hidden="1" thickBot="1" x14ac:dyDescent="0.3">
      <c r="A67" s="167"/>
      <c r="B67" s="650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32" t="s">
        <v>555</v>
      </c>
      <c r="D67" s="157">
        <f>SUMIFS(Пр.10!G$10:G$1615,Пр.10!$D$10:$D$1615,C67)</f>
        <v>0</v>
      </c>
      <c r="E67" s="651">
        <f>SUMIFS(Пр.10!H$10:H$1615,Пр.10!$D$10:$D$1615,C67)</f>
        <v>0</v>
      </c>
      <c r="F67" s="652">
        <f>SUMIFS(Пр.10!I$10:I$1615,Пр.10!$D$10:$D$1615,C67)</f>
        <v>0</v>
      </c>
    </row>
    <row r="68" spans="1:6" ht="48" thickBot="1" x14ac:dyDescent="0.3">
      <c r="A68" s="167"/>
      <c r="B68" s="650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32" t="s">
        <v>595</v>
      </c>
      <c r="D68" s="157">
        <f>SUMIFS(Пр.10!G$10:G$1615,Пр.10!$D$10:$D$1615,C68)</f>
        <v>8113066</v>
      </c>
      <c r="E68" s="651">
        <f>SUMIFS(Пр.10!H$10:H$1615,Пр.10!$D$10:$D$1615,C68)</f>
        <v>-4521762</v>
      </c>
      <c r="F68" s="652">
        <f>SUMIFS(Пр.10!I$10:I$1615,Пр.10!$D$10:$D$1615,C68)</f>
        <v>3591304</v>
      </c>
    </row>
    <row r="69" spans="1:6" s="153" customFormat="1" ht="48" thickBot="1" x14ac:dyDescent="0.3">
      <c r="A69" s="168"/>
      <c r="B69" s="653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70" t="s">
        <v>558</v>
      </c>
      <c r="D69" s="654">
        <f>SUMIFS(Пр.10!G$10:G$1615,Пр.10!$D$10:$D$1615,C69)</f>
        <v>1807500</v>
      </c>
      <c r="E69" s="651">
        <f>SUMIFS(Пр.10!H$10:H$1615,Пр.10!$D$10:$D$1615,C69)</f>
        <v>-343266</v>
      </c>
      <c r="F69" s="671">
        <f>SUMIFS(Пр.10!I$10:I$1615,Пр.10!$D$10:$D$1615,C69)</f>
        <v>1464234</v>
      </c>
    </row>
    <row r="70" spans="1:6" ht="48" thickBot="1" x14ac:dyDescent="0.3">
      <c r="A70" s="167"/>
      <c r="B70" s="650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32" t="s">
        <v>559</v>
      </c>
      <c r="D70" s="157">
        <f>SUMIFS(Пр.10!G$10:G$1615,Пр.10!$D$10:$D$1615,C70)</f>
        <v>1807500</v>
      </c>
      <c r="E70" s="651">
        <f>SUMIFS(Пр.10!H$10:H$1615,Пр.10!$D$10:$D$1615,C70)</f>
        <v>-343266</v>
      </c>
      <c r="F70" s="652">
        <f>SUMIFS(Пр.10!I$10:I$1615,Пр.10!$D$10:$D$1615,C70)</f>
        <v>1464234</v>
      </c>
    </row>
    <row r="71" spans="1:6" ht="16.5" hidden="1" thickBot="1" x14ac:dyDescent="0.3">
      <c r="A71" s="167"/>
      <c r="B71" s="650" t="str">
        <f>IF(C71&gt;0,VLOOKUP(C71,Программа!A$2:B$5124,2))</f>
        <v>Федеральный проект "Оздоровление Волги"</v>
      </c>
      <c r="C71" s="232" t="s">
        <v>1375</v>
      </c>
      <c r="D71" s="157">
        <f>SUMIFS(Пр.10!G$10:G$1615,Пр.10!$D$10:$D$1615,C71)</f>
        <v>0</v>
      </c>
      <c r="E71" s="651">
        <f>SUMIFS(Пр.10!H$10:H$1615,Пр.10!$D$10:$D$1615,C71)</f>
        <v>0</v>
      </c>
      <c r="F71" s="652">
        <f>SUMIFS(Пр.10!I$10:I$1615,Пр.10!$D$10:$D$1615,C71)</f>
        <v>0</v>
      </c>
    </row>
    <row r="72" spans="1:6" s="153" customFormat="1" ht="48" thickBot="1" x14ac:dyDescent="0.3">
      <c r="A72" s="168"/>
      <c r="B72" s="653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70" t="s">
        <v>561</v>
      </c>
      <c r="D72" s="654">
        <f>SUMIFS(Пр.10!G$10:G$1615,Пр.10!$D$10:$D$1615,C72)</f>
        <v>10000000</v>
      </c>
      <c r="E72" s="655">
        <f>SUMIFS(Пр.10!H$10:H$1615,Пр.10!$D$10:$D$1615,C72)</f>
        <v>860000</v>
      </c>
      <c r="F72" s="671">
        <f>SUMIFS(Пр.10!I$10:I$1615,Пр.10!$D$10:$D$1615,C72)</f>
        <v>10860000</v>
      </c>
    </row>
    <row r="73" spans="1:6" ht="36.950000000000003" customHeight="1" thickBot="1" x14ac:dyDescent="0.3">
      <c r="A73" s="167"/>
      <c r="B73" s="650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32" t="s">
        <v>563</v>
      </c>
      <c r="D73" s="157">
        <f>SUMIFS(Пр.10!G$10:G$1615,Пр.10!$D$10:$D$1615,C73)</f>
        <v>0</v>
      </c>
      <c r="E73" s="651">
        <f>SUMIFS(Пр.10!H$10:H$1615,Пр.10!$D$10:$D$1615,C73)</f>
        <v>780000</v>
      </c>
      <c r="F73" s="652">
        <f>SUMIFS(Пр.10!I$10:I$1615,Пр.10!$D$10:$D$1615,C73)</f>
        <v>780000</v>
      </c>
    </row>
    <row r="74" spans="1:6" ht="32.25" hidden="1" customHeight="1" thickBot="1" x14ac:dyDescent="0.3">
      <c r="A74" s="167"/>
      <c r="B74" s="650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32" t="s">
        <v>565</v>
      </c>
      <c r="D74" s="157">
        <f>SUMIFS(Пр.10!G$10:G$1615,Пр.10!$D$10:$D$1615,C74)</f>
        <v>0</v>
      </c>
      <c r="E74" s="651">
        <f>SUMIFS(Пр.10!H$10:H$1615,Пр.10!$D$10:$D$1615,C74)</f>
        <v>0</v>
      </c>
      <c r="F74" s="652">
        <f>SUMIFS(Пр.10!I$10:I$1615,Пр.10!$D$10:$D$1615,C74)</f>
        <v>0</v>
      </c>
    </row>
    <row r="75" spans="1:6" ht="58.7" hidden="1" customHeight="1" thickBot="1" x14ac:dyDescent="0.3">
      <c r="A75" s="167"/>
      <c r="B75" s="650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32" t="s">
        <v>567</v>
      </c>
      <c r="D75" s="157">
        <f>SUMIFS(Пр.10!G$10:G$1615,Пр.10!$D$10:$D$1615,C75)</f>
        <v>0</v>
      </c>
      <c r="E75" s="651">
        <f>SUMIFS(Пр.10!H$10:H$1615,Пр.10!$D$10:$D$1615,C75)</f>
        <v>0</v>
      </c>
      <c r="F75" s="652">
        <f>SUMIFS(Пр.10!I$10:I$1615,Пр.10!$D$10:$D$1615,C75)</f>
        <v>0</v>
      </c>
    </row>
    <row r="76" spans="1:6" ht="54" hidden="1" customHeight="1" thickBot="1" x14ac:dyDescent="0.3">
      <c r="A76" s="167"/>
      <c r="B76" s="233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32" t="s">
        <v>1381</v>
      </c>
      <c r="D76" s="157">
        <f>SUMIFS(Пр.10!G$10:G$1615,Пр.10!$D$10:$D$1615,C76)</f>
        <v>0</v>
      </c>
      <c r="E76" s="651">
        <f>SUMIFS(Пр.10!H$10:H$1615,Пр.10!$D$10:$D$1615,C76)</f>
        <v>0</v>
      </c>
      <c r="F76" s="652">
        <f>SUMIFS(Пр.10!I$10:I$1615,Пр.10!$D$10:$D$1615,C76)</f>
        <v>0</v>
      </c>
    </row>
    <row r="77" spans="1:6" ht="72" customHeight="1" thickBot="1" x14ac:dyDescent="0.3">
      <c r="A77" s="167"/>
      <c r="B77" s="885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48" t="s">
        <v>1701</v>
      </c>
      <c r="D77" s="663">
        <f>SUMIFS(Пр.10!G$10:G$1615,Пр.10!$D$10:$D$1615,C77)</f>
        <v>10000000</v>
      </c>
      <c r="E77" s="658">
        <f>SUMIFS(Пр.10!H$10:H$1615,Пр.10!$D$10:$D$1615,C77)</f>
        <v>80000</v>
      </c>
      <c r="F77" s="664">
        <f>SUMIFS(Пр.10!I$10:I$1615,Пр.10!$D$10:$D$1615,C77)</f>
        <v>10080000</v>
      </c>
    </row>
    <row r="78" spans="1:6" s="152" customFormat="1" ht="48" thickBot="1" x14ac:dyDescent="0.25">
      <c r="A78" s="161"/>
      <c r="B78" s="540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62" t="s">
        <v>529</v>
      </c>
      <c r="D78" s="541">
        <f>SUMIFS(Пр.10!G$10:G$1615,Пр.10!$D$10:$D$1615,C78)</f>
        <v>8139000</v>
      </c>
      <c r="E78" s="438">
        <f>SUMIFS(Пр.10!H$10:H$1615,Пр.10!$D$10:$D$1615,C78)</f>
        <v>-5876477</v>
      </c>
      <c r="F78" s="612">
        <f>SUMIFS(Пр.10!I$10:I$1615,Пр.10!$D$10:$D$1615,C78)</f>
        <v>2262523</v>
      </c>
    </row>
    <row r="79" spans="1:6" ht="32.25" thickBot="1" x14ac:dyDescent="0.3">
      <c r="A79" s="167"/>
      <c r="B79" s="666" t="str">
        <f>IF(C79&gt;0,VLOOKUP(C79,Программа!A$2:B$5124,2))</f>
        <v>Повышение качества управления имуществом и земельными ресурсами</v>
      </c>
      <c r="C79" s="669" t="s">
        <v>530</v>
      </c>
      <c r="D79" s="667">
        <f>SUMIFS(Пр.10!G$10:G$1615,Пр.10!$D$10:$D$1615,C79)</f>
        <v>8139000</v>
      </c>
      <c r="E79" s="668">
        <f>SUMIFS(Пр.10!H$10:H$1615,Пр.10!$D$10:$D$1615,C79)</f>
        <v>-5876477</v>
      </c>
      <c r="F79" s="649">
        <f>SUMIFS(Пр.10!I$10:I$1615,Пр.10!$D$10:$D$1615,C79)</f>
        <v>2262523</v>
      </c>
    </row>
    <row r="80" spans="1:6" s="152" customFormat="1" ht="32.25" hidden="1" thickBot="1" x14ac:dyDescent="0.25">
      <c r="A80" s="161"/>
      <c r="B80" s="540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62" t="s">
        <v>540</v>
      </c>
      <c r="D80" s="541">
        <f>SUMIFS(Пр.10!G$10:G$1615,Пр.10!$D$10:$D$1615,C80)</f>
        <v>0</v>
      </c>
      <c r="E80" s="438">
        <f>SUMIFS(Пр.10!H$10:H$1615,Пр.10!$D$10:$D$1615,C80)</f>
        <v>0</v>
      </c>
      <c r="F80" s="533">
        <f>SUMIFS(Пр.10!I$10:I$1615,Пр.10!$D$10:$D$1615,C80)</f>
        <v>0</v>
      </c>
    </row>
    <row r="81" spans="1:6" s="153" customFormat="1" ht="48" hidden="1" thickBot="1" x14ac:dyDescent="0.25">
      <c r="A81" s="168"/>
      <c r="B81" s="538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70" t="s">
        <v>542</v>
      </c>
      <c r="D81" s="539">
        <f>SUMIFS(Пр.10!G$10:G$1615,Пр.10!$D$10:$D$1615,C81)</f>
        <v>0</v>
      </c>
      <c r="E81" s="443">
        <f>SUMIFS(Пр.10!H$10:H$1615,Пр.10!$D$10:$D$1615,C81)</f>
        <v>0</v>
      </c>
      <c r="F81" s="534">
        <f>SUMIFS(Пр.10!I$10:I$1615,Пр.10!$D$10:$D$1615,C81)</f>
        <v>0</v>
      </c>
    </row>
    <row r="82" spans="1:6" ht="32.25" hidden="1" thickBot="1" x14ac:dyDescent="0.25">
      <c r="A82" s="167"/>
      <c r="B82" s="537" t="str">
        <f>IF(C82&gt;0,VLOOKUP(C82,Программа!A$2:B$5124,2))</f>
        <v>Повышение безопасности дорожного движения на автомобильных дорогах</v>
      </c>
      <c r="C82" s="123" t="s">
        <v>544</v>
      </c>
      <c r="D82" s="174">
        <f>SUMIFS(Пр.10!G$10:G$1615,Пр.10!$D$10:$D$1615,C82)</f>
        <v>0</v>
      </c>
      <c r="E82" s="551">
        <f>SUMIFS(Пр.10!H$10:H$1615,Пр.10!$D$10:$D$1615,C82)</f>
        <v>0</v>
      </c>
      <c r="F82" s="535">
        <f>SUMIFS(Пр.10!I$10:I$1615,Пр.10!$D$10:$D$1615,C82)</f>
        <v>0</v>
      </c>
    </row>
    <row r="83" spans="1:6" s="153" customFormat="1" ht="48" hidden="1" thickBot="1" x14ac:dyDescent="0.25">
      <c r="A83" s="168"/>
      <c r="B83" s="536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65" t="s">
        <v>547</v>
      </c>
      <c r="D83" s="176">
        <f>SUMIFS(Пр.10!G$10:G$1615,Пр.10!$D$10:$D$1615,C83)</f>
        <v>0</v>
      </c>
      <c r="E83" s="551">
        <f>SUMIFS(Пр.10!H$10:H$1615,Пр.10!$D$10:$D$1615,C83)</f>
        <v>0</v>
      </c>
      <c r="F83" s="534">
        <f>SUMIFS(Пр.10!I$10:I$1615,Пр.10!$D$10:$D$1615,C83)</f>
        <v>0</v>
      </c>
    </row>
    <row r="84" spans="1:6" ht="32.25" hidden="1" thickBot="1" x14ac:dyDescent="0.25">
      <c r="A84" s="167"/>
      <c r="B84" s="542" t="str">
        <f>IF(C84&gt;0,VLOOKUP(C84,Программа!A$2:B$5124,2))</f>
        <v>Приведение  в нормативное состояние автомобильных дорог общего пользования</v>
      </c>
      <c r="C84" s="169" t="s">
        <v>549</v>
      </c>
      <c r="D84" s="543">
        <f>SUMIFS(Пр.10!G$10:G$1615,Пр.10!$D$10:$D$1615,C84)</f>
        <v>0</v>
      </c>
      <c r="E84" s="445">
        <f>SUMIFS(Пр.10!H$10:H$1615,Пр.10!$D$10:$D$1615,C84)</f>
        <v>0</v>
      </c>
      <c r="F84" s="607">
        <f>SUMIFS(Пр.10!I$10:I$1615,Пр.10!$D$10:$D$1615,C84)</f>
        <v>0</v>
      </c>
    </row>
    <row r="85" spans="1:6" s="152" customFormat="1" ht="48" hidden="1" thickBot="1" x14ac:dyDescent="0.25">
      <c r="A85" s="161"/>
      <c r="B85" s="540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62" t="s">
        <v>598</v>
      </c>
      <c r="D85" s="437">
        <f>SUMIFS(Пр.10!G$10:G$1615,Пр.10!$D$10:$D$1615,C85)</f>
        <v>0</v>
      </c>
      <c r="E85" s="438">
        <f>SUMIFS(Пр.10!H$10:H$1615,Пр.10!$D$10:$D$1615,C85)</f>
        <v>0</v>
      </c>
      <c r="F85" s="612">
        <f>SUMIFS(Пр.10!I$10:I$1615,Пр.10!$D$10:$D$1615,C85)</f>
        <v>0</v>
      </c>
    </row>
    <row r="86" spans="1:6" s="153" customFormat="1" ht="63.75" hidden="1" thickBot="1" x14ac:dyDescent="0.25">
      <c r="A86" s="168"/>
      <c r="B86" s="544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70" t="s">
        <v>600</v>
      </c>
      <c r="D86" s="545">
        <f>SUMIFS(Пр.10!G$10:G$1615,Пр.10!$D$10:$D$1615,C86)</f>
        <v>0</v>
      </c>
      <c r="E86" s="443">
        <f>SUMIFS(Пр.10!H$10:H$1615,Пр.10!$D$10:$D$1615,C86)</f>
        <v>0</v>
      </c>
      <c r="F86" s="617">
        <f>SUMIFS(Пр.10!I$10:I$1615,Пр.10!$D$10:$D$1615,C86)</f>
        <v>0</v>
      </c>
    </row>
    <row r="87" spans="1:6" ht="79.5" hidden="1" thickBot="1" x14ac:dyDescent="0.25">
      <c r="A87" s="167"/>
      <c r="B87" s="537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23" t="s">
        <v>602</v>
      </c>
      <c r="D87" s="174">
        <f>SUMIFS(Пр.10!G$10:G$1615,Пр.10!$D$10:$D$1615,C87)</f>
        <v>0</v>
      </c>
      <c r="E87" s="551">
        <f>SUMIFS(Пр.10!H$10:H$1615,Пр.10!$D$10:$D$1615,C87)</f>
        <v>0</v>
      </c>
      <c r="F87" s="535">
        <f>SUMIFS(Пр.10!I$10:I$1615,Пр.10!$D$10:$D$1615,C87)</f>
        <v>0</v>
      </c>
    </row>
    <row r="88" spans="1:6" s="153" customFormat="1" ht="48" hidden="1" thickBot="1" x14ac:dyDescent="0.25">
      <c r="A88" s="168"/>
      <c r="B88" s="537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65" t="s">
        <v>604</v>
      </c>
      <c r="D88" s="174">
        <f>SUMIFS(Пр.10!G$10:G$1615,Пр.10!$D$10:$D$1615,C88)</f>
        <v>0</v>
      </c>
      <c r="E88" s="551">
        <f>SUMIFS(Пр.10!H$10:H$1615,Пр.10!$D$10:$D$1615,C88)</f>
        <v>0</v>
      </c>
      <c r="F88" s="535">
        <f>SUMIFS(Пр.10!I$10:I$1615,Пр.10!$D$10:$D$1615,C88)</f>
        <v>0</v>
      </c>
    </row>
    <row r="89" spans="1:6" ht="48" hidden="1" thickBot="1" x14ac:dyDescent="0.25">
      <c r="A89" s="167"/>
      <c r="B89" s="537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23" t="s">
        <v>606</v>
      </c>
      <c r="D89" s="174">
        <f>SUMIFS(Пр.10!G$10:G$1615,Пр.10!$D$10:$D$1615,C89)</f>
        <v>0</v>
      </c>
      <c r="E89" s="551">
        <f>SUMIFS(Пр.10!H$10:H$1615,Пр.10!$D$10:$D$1615,C89)</f>
        <v>0</v>
      </c>
      <c r="F89" s="535">
        <f>SUMIFS(Пр.10!I$10:I$1615,Пр.10!$D$10:$D$1615,C89)</f>
        <v>0</v>
      </c>
    </row>
    <row r="90" spans="1:6" s="153" customFormat="1" ht="63.75" hidden="1" thickBot="1" x14ac:dyDescent="0.25">
      <c r="A90" s="168"/>
      <c r="B90" s="537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65" t="s">
        <v>608</v>
      </c>
      <c r="D90" s="174">
        <f>SUMIFS(Пр.10!G$10:G$1615,Пр.10!$D$10:$D$1615,C90)</f>
        <v>0</v>
      </c>
      <c r="E90" s="551">
        <f>SUMIFS(Пр.10!H$10:H$1615,Пр.10!$D$10:$D$1615,C90)</f>
        <v>0</v>
      </c>
      <c r="F90" s="535">
        <f>SUMIFS(Пр.10!I$10:I$1615,Пр.10!$D$10:$D$1615,C90)</f>
        <v>0</v>
      </c>
    </row>
    <row r="91" spans="1:6" ht="48" hidden="1" thickBot="1" x14ac:dyDescent="0.25">
      <c r="A91" s="167"/>
      <c r="B91" s="537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23" t="s">
        <v>610</v>
      </c>
      <c r="D91" s="174">
        <f>SUMIFS(Пр.10!G$10:G$1615,Пр.10!$D$10:$D$1615,C91)</f>
        <v>0</v>
      </c>
      <c r="E91" s="551">
        <f>SUMIFS(Пр.10!H$10:H$1615,Пр.10!$D$10:$D$1615,C91)</f>
        <v>0</v>
      </c>
      <c r="F91" s="535">
        <f>SUMIFS(Пр.10!I$10:I$1615,Пр.10!$D$10:$D$1615,C91)</f>
        <v>0</v>
      </c>
    </row>
    <row r="92" spans="1:6" s="153" customFormat="1" ht="48" hidden="1" thickBot="1" x14ac:dyDescent="0.25">
      <c r="A92" s="168"/>
      <c r="B92" s="537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65" t="s">
        <v>612</v>
      </c>
      <c r="D92" s="174">
        <f>SUMIFS(Пр.10!G$10:G$1615,Пр.10!$D$10:$D$1615,C92)</f>
        <v>0</v>
      </c>
      <c r="E92" s="551">
        <f>SUMIFS(Пр.10!H$10:H$1615,Пр.10!$D$10:$D$1615,C92)</f>
        <v>0</v>
      </c>
      <c r="F92" s="535">
        <f>SUMIFS(Пр.10!I$10:I$1615,Пр.10!$D$10:$D$1615,C92)</f>
        <v>0</v>
      </c>
    </row>
    <row r="93" spans="1:6" ht="32.25" hidden="1" thickBot="1" x14ac:dyDescent="0.25">
      <c r="A93" s="167"/>
      <c r="B93" s="537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23" t="s">
        <v>614</v>
      </c>
      <c r="D93" s="174">
        <f>SUMIFS(Пр.10!G$10:G$1615,Пр.10!$D$10:$D$1615,C93)</f>
        <v>0</v>
      </c>
      <c r="E93" s="551">
        <f>SUMIFS(Пр.10!H$10:H$1615,Пр.10!$D$10:$D$1615,C93)</f>
        <v>0</v>
      </c>
      <c r="F93" s="535">
        <f>SUMIFS(Пр.10!I$10:I$1615,Пр.10!$D$10:$D$1615,C93)</f>
        <v>0</v>
      </c>
    </row>
    <row r="94" spans="1:6" ht="16.5" hidden="1" thickBot="1" x14ac:dyDescent="0.25">
      <c r="A94" s="167"/>
      <c r="B94" s="542" t="str">
        <f>IF(C94&gt;0,VLOOKUP(C94,Программа!A$2:B$5124,2))</f>
        <v>Федеральный проект "Дорожная сеть"</v>
      </c>
      <c r="C94" s="169" t="s">
        <v>1368</v>
      </c>
      <c r="D94" s="543">
        <f>SUMIFS(Пр.10!G$10:G$1615,Пр.10!$D$10:$D$1615,C94)</f>
        <v>0</v>
      </c>
      <c r="E94" s="445">
        <f>SUMIFS(Пр.10!H$10:H$1615,Пр.10!$D$10:$D$1615,C94)</f>
        <v>0</v>
      </c>
      <c r="F94" s="607">
        <f>SUMIFS(Пр.10!I$10:I$1615,Пр.10!$D$10:$D$1615,C94)</f>
        <v>0</v>
      </c>
    </row>
    <row r="95" spans="1:6" s="152" customFormat="1" ht="63.75" hidden="1" thickBot="1" x14ac:dyDescent="0.25">
      <c r="A95" s="161"/>
      <c r="B95" s="453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62" t="s">
        <v>337</v>
      </c>
      <c r="D95" s="437">
        <f>SUMIFS(Пр.10!G$10:G$1615,Пр.10!$D$10:$D$1615,C95)</f>
        <v>0</v>
      </c>
      <c r="E95" s="438">
        <f>SUMIFS(Пр.10!H$10:H$1615,Пр.10!$D$10:$D$1615,C95)</f>
        <v>0</v>
      </c>
      <c r="F95" s="612">
        <f>SUMIFS(Пр.10!I$10:I$1615,Пр.10!$D$10:$D$1615,C95)</f>
        <v>0</v>
      </c>
    </row>
    <row r="96" spans="1:6" s="153" customFormat="1" ht="48" hidden="1" thickBot="1" x14ac:dyDescent="0.25">
      <c r="A96" s="168"/>
      <c r="B96" s="538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70" t="s">
        <v>347</v>
      </c>
      <c r="D96" s="539">
        <f>SUMIFS(Пр.10!G$10:G$1615,Пр.10!$D$10:$D$1615,C96)</f>
        <v>0</v>
      </c>
      <c r="E96" s="443">
        <f>SUMIFS(Пр.10!H$10:H$1615,Пр.10!$D$10:$D$1615,C96)</f>
        <v>0</v>
      </c>
      <c r="F96" s="617">
        <f>SUMIFS(Пр.10!I$10:I$1615,Пр.10!$D$10:$D$1615,C96)</f>
        <v>0</v>
      </c>
    </row>
    <row r="97" spans="1:6" ht="48" hidden="1" thickBot="1" x14ac:dyDescent="0.25">
      <c r="A97" s="167"/>
      <c r="B97" s="537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23" t="s">
        <v>349</v>
      </c>
      <c r="D97" s="174">
        <f>SUMIFS(Пр.10!G$10:G$1615,Пр.10!$D$10:$D$1615,C97)</f>
        <v>0</v>
      </c>
      <c r="E97" s="551">
        <f>SUMIFS(Пр.10!H$10:H$1615,Пр.10!$D$10:$D$1615,C97)</f>
        <v>0</v>
      </c>
      <c r="F97" s="535">
        <f>SUMIFS(Пр.10!I$10:I$1615,Пр.10!$D$10:$D$1615,C97)</f>
        <v>0</v>
      </c>
    </row>
    <row r="98" spans="1:6" ht="32.25" hidden="1" thickBot="1" x14ac:dyDescent="0.25">
      <c r="A98" s="167"/>
      <c r="B98" s="537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23" t="s">
        <v>351</v>
      </c>
      <c r="D98" s="174">
        <f>SUMIFS(Пр.10!G$10:G$1615,Пр.10!$D$10:$D$1615,C98)</f>
        <v>0</v>
      </c>
      <c r="E98" s="551">
        <f>SUMIFS(Пр.10!H$10:H$1615,Пр.10!$D$10:$D$1615,C98)</f>
        <v>0</v>
      </c>
      <c r="F98" s="535">
        <f>SUMIFS(Пр.10!I$10:I$1615,Пр.10!$D$10:$D$1615,C98)</f>
        <v>0</v>
      </c>
    </row>
    <row r="99" spans="1:6" s="153" customFormat="1" ht="48" hidden="1" thickBot="1" x14ac:dyDescent="0.3">
      <c r="A99" s="168"/>
      <c r="B99" s="653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670" t="s">
        <v>353</v>
      </c>
      <c r="D99" s="654">
        <f>SUMIFS(Пр.10!G$10:G$1615,Пр.10!$D$10:$D$1615,C99)</f>
        <v>0</v>
      </c>
      <c r="E99" s="655">
        <f>SUMIFS(Пр.10!H$10:H$1615,Пр.10!$D$10:$D$1615,C99)</f>
        <v>0</v>
      </c>
      <c r="F99" s="671">
        <f>SUMIFS(Пр.10!I$10:I$1615,Пр.10!$D$10:$D$1615,C99)</f>
        <v>0</v>
      </c>
    </row>
    <row r="100" spans="1:6" ht="32.25" hidden="1" thickBot="1" x14ac:dyDescent="0.3">
      <c r="A100" s="167"/>
      <c r="B100" s="650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32" t="s">
        <v>355</v>
      </c>
      <c r="D100" s="157">
        <f>SUMIFS(Пр.10!G$10:G$1615,Пр.10!$D$10:$D$1615,C100)</f>
        <v>0</v>
      </c>
      <c r="E100" s="651">
        <f>SUMIFS(Пр.10!H$10:H$1615,Пр.10!$D$10:$D$1615,C100)</f>
        <v>0</v>
      </c>
      <c r="F100" s="652">
        <f>SUMIFS(Пр.10!I$10:I$1615,Пр.10!$D$10:$D$1615,C100)</f>
        <v>0</v>
      </c>
    </row>
    <row r="101" spans="1:6" s="153" customFormat="1" ht="48" hidden="1" thickBot="1" x14ac:dyDescent="0.3">
      <c r="A101" s="168"/>
      <c r="B101" s="653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670" t="s">
        <v>338</v>
      </c>
      <c r="D101" s="654">
        <f>SUMIFS(Пр.10!G$10:G$1615,Пр.10!$D$10:$D$1615,C101)</f>
        <v>0</v>
      </c>
      <c r="E101" s="655">
        <f>SUMIFS(Пр.10!H$10:H$1615,Пр.10!$D$10:$D$1615,C101)</f>
        <v>0</v>
      </c>
      <c r="F101" s="671">
        <f>SUMIFS(Пр.10!I$10:I$1615,Пр.10!$D$10:$D$1615,C101)</f>
        <v>0</v>
      </c>
    </row>
    <row r="102" spans="1:6" ht="48" hidden="1" thickBot="1" x14ac:dyDescent="0.3">
      <c r="A102" s="167"/>
      <c r="B102" s="650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32" t="s">
        <v>340</v>
      </c>
      <c r="D102" s="157">
        <f>SUMIFS(Пр.10!G$10:G$1615,Пр.10!$D$10:$D$1615,C102)</f>
        <v>0</v>
      </c>
      <c r="E102" s="651">
        <f>SUMIFS(Пр.10!H$10:H$1615,Пр.10!$D$10:$D$1615,C102)</f>
        <v>0</v>
      </c>
      <c r="F102" s="652">
        <f>SUMIFS(Пр.10!I$10:I$1615,Пр.10!$D$10:$D$1615,C102)</f>
        <v>0</v>
      </c>
    </row>
    <row r="103" spans="1:6" ht="16.5" hidden="1" thickBot="1" x14ac:dyDescent="0.3">
      <c r="A103" s="167"/>
      <c r="B103" s="650" t="str">
        <f>IF(C103&gt;0,VLOOKUP(C103,Программа!A$2:B$5124,2))</f>
        <v xml:space="preserve">Кадровое обеспечение агропромышленного комплекса </v>
      </c>
      <c r="C103" s="232" t="s">
        <v>342</v>
      </c>
      <c r="D103" s="157">
        <f>SUMIFS(Пр.10!G$10:G$1615,Пр.10!$D$10:$D$1615,C103)</f>
        <v>0</v>
      </c>
      <c r="E103" s="651">
        <f>SUMIFS(Пр.10!H$10:H$1615,Пр.10!$D$10:$D$1615,C103)</f>
        <v>0</v>
      </c>
      <c r="F103" s="652">
        <f>SUMIFS(Пр.10!I$10:I$1615,Пр.10!$D$10:$D$1615,C103)</f>
        <v>0</v>
      </c>
    </row>
    <row r="104" spans="1:6" ht="63.75" hidden="1" thickBot="1" x14ac:dyDescent="0.3">
      <c r="A104" s="167"/>
      <c r="B104" s="233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32" t="s">
        <v>345</v>
      </c>
      <c r="D104" s="157">
        <f>SUMIFS(Пр.10!G$10:G$1615,Пр.10!$D$10:$D$1615,C104)</f>
        <v>0</v>
      </c>
      <c r="E104" s="157">
        <f>SUMIFS(Пр.10!H$10:H$1615,Пр.10!$D$10:$D$1615,C104)</f>
        <v>0</v>
      </c>
      <c r="F104" s="157">
        <f>SUMIFS(Пр.10!I$10:I$1615,Пр.10!$D$10:$D$1615,C104)</f>
        <v>0</v>
      </c>
    </row>
    <row r="105" spans="1:6" ht="48" hidden="1" thickBot="1" x14ac:dyDescent="0.3">
      <c r="A105" s="167"/>
      <c r="B105" s="653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670" t="s">
        <v>1451</v>
      </c>
      <c r="D105" s="654">
        <f>SUMIFS(Пр.10!G$10:G$1615,Пр.10!$D$10:$D$1615,C105)</f>
        <v>0</v>
      </c>
      <c r="E105" s="655">
        <f>SUMIFS(Пр.10!H$10:H$1615,Пр.10!$D$10:$D$1615,C105)</f>
        <v>0</v>
      </c>
      <c r="F105" s="671">
        <f>SUMIFS(Пр.10!I$10:I$1615,Пр.10!$D$10:$D$1615,C105)</f>
        <v>0</v>
      </c>
    </row>
    <row r="106" spans="1:6" ht="48" hidden="1" thickBot="1" x14ac:dyDescent="0.3">
      <c r="A106" s="167"/>
      <c r="B106" s="656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548" t="s">
        <v>1452</v>
      </c>
      <c r="D106" s="663">
        <f>SUMIFS(Пр.10!G$10:G$1615,Пр.10!$D$10:$D$1615,C106)</f>
        <v>0</v>
      </c>
      <c r="E106" s="658">
        <f>SUMIFS(Пр.10!H$10:H$1615,Пр.10!$D$10:$D$1615,C106)</f>
        <v>0</v>
      </c>
      <c r="F106" s="664">
        <f>SUMIFS(Пр.10!I$10:I$1615,Пр.10!$D$10:$D$1615,C106)</f>
        <v>0</v>
      </c>
    </row>
    <row r="107" spans="1:6" s="152" customFormat="1" ht="63.75" thickBot="1" x14ac:dyDescent="0.25">
      <c r="A107" s="161"/>
      <c r="B107" s="453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62" t="s">
        <v>318</v>
      </c>
      <c r="D107" s="437">
        <f>SUMIFS(Пр.10!G$10:G$1615,Пр.10!$D$10:$D$1615,C107)</f>
        <v>350000</v>
      </c>
      <c r="E107" s="438">
        <f>SUMIFS(Пр.10!H$10:H$1615,Пр.10!$D$10:$D$1615,C107)</f>
        <v>0</v>
      </c>
      <c r="F107" s="612">
        <f>SUMIFS(Пр.10!I$10:I$1615,Пр.10!$D$10:$D$1615,C107)</f>
        <v>350000</v>
      </c>
    </row>
    <row r="108" spans="1:6" ht="16.5" hidden="1" thickBot="1" x14ac:dyDescent="0.25">
      <c r="A108" s="167"/>
      <c r="B108" s="544">
        <f>IF(C108&gt;0,VLOOKUP(C108,Программа!A$2:B$5124,2))</f>
        <v>0</v>
      </c>
      <c r="C108" s="172" t="s">
        <v>484</v>
      </c>
      <c r="D108" s="545">
        <f>SUMIFS(Пр.10!G$10:G$1615,Пр.10!$D$10:$D$1615,C108)</f>
        <v>0</v>
      </c>
      <c r="E108" s="443">
        <f>SUMIFS(Пр.10!H$10:H$1615,Пр.10!$D$10:$D$1615,C108)</f>
        <v>0</v>
      </c>
      <c r="F108" s="617">
        <f>SUMIFS(Пр.10!I$10:I$1615,Пр.10!$D$10:$D$1615,C108)</f>
        <v>0</v>
      </c>
    </row>
    <row r="109" spans="1:6" ht="63.75" thickBot="1" x14ac:dyDescent="0.3">
      <c r="A109" s="167"/>
      <c r="B109" s="650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32" t="s">
        <v>481</v>
      </c>
      <c r="D109" s="157">
        <f>SUMIFS(Пр.10!G$10:G$1615,Пр.10!$D$10:$D$1615,C109)</f>
        <v>350000</v>
      </c>
      <c r="E109" s="651">
        <f>SUMIFS(Пр.10!H$10:H$1615,Пр.10!$D$10:$D$1615,C109)</f>
        <v>0</v>
      </c>
      <c r="F109" s="652">
        <f>SUMIFS(Пр.10!I$10:I$1615,Пр.10!$D$10:$D$1615,C109)</f>
        <v>350000</v>
      </c>
    </row>
    <row r="110" spans="1:6" s="153" customFormat="1" ht="63.75" hidden="1" thickBot="1" x14ac:dyDescent="0.3">
      <c r="A110" s="168"/>
      <c r="B110" s="536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65" t="s">
        <v>475</v>
      </c>
      <c r="D110" s="654">
        <f>SUMIFS(Пр.10!G$10:G$1615,Пр.10!$D$10:$D$1615,C110)</f>
        <v>0</v>
      </c>
      <c r="E110" s="651">
        <f>SUMIFS(Пр.10!H$10:H$1615,Пр.10!$D$10:$D$1615,C110)</f>
        <v>0</v>
      </c>
      <c r="F110" s="652">
        <f>SUMIFS(Пр.10!I$10:I$1615,Пр.10!$D$10:$D$1615,C110)</f>
        <v>0</v>
      </c>
    </row>
    <row r="111" spans="1:6" ht="63.75" hidden="1" thickBot="1" x14ac:dyDescent="0.3">
      <c r="A111" s="167"/>
      <c r="B111" s="54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9" t="s">
        <v>476</v>
      </c>
      <c r="D111" s="663">
        <f>SUMIFS(Пр.10!G$10:G$1615,Пр.10!$D$10:$D$1615,C111)</f>
        <v>0</v>
      </c>
      <c r="E111" s="658">
        <f>SUMIFS(Пр.10!H$10:H$1615,Пр.10!$D$10:$D$1615,C111)</f>
        <v>0</v>
      </c>
      <c r="F111" s="664">
        <f>SUMIFS(Пр.10!I$10:I$1615,Пр.10!$D$10:$D$1615,C111)</f>
        <v>0</v>
      </c>
    </row>
    <row r="112" spans="1:6" s="152" customFormat="1" ht="79.5" thickBot="1" x14ac:dyDescent="0.25">
      <c r="A112" s="161"/>
      <c r="B112" s="715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16" t="s">
        <v>322</v>
      </c>
      <c r="D112" s="717">
        <f>SUMIFS(Пр.10!G$10:G$1615,Пр.10!$D$10:$D$1615,C112)</f>
        <v>5449865</v>
      </c>
      <c r="E112" s="718">
        <f>SUMIFS(Пр.10!H$10:H$1615,Пр.10!$D$10:$D$1615,C112)</f>
        <v>153274</v>
      </c>
      <c r="F112" s="719">
        <f>SUMIFS(Пр.10!I$10:I$1615,Пр.10!$D$10:$D$1615,C112)</f>
        <v>5603139</v>
      </c>
    </row>
    <row r="113" spans="1:6" ht="48" thickBot="1" x14ac:dyDescent="0.3">
      <c r="A113" s="167"/>
      <c r="B113" s="720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21" t="s">
        <v>323</v>
      </c>
      <c r="D113" s="722">
        <f>SUMIFS(Пр.10!G$10:G$1615,Пр.10!$D$10:$D$1615,C113)</f>
        <v>120000</v>
      </c>
      <c r="E113" s="722">
        <f>SUMIFS(Пр.10!H$10:H$1615,Пр.10!$D$10:$D$1615,C113)</f>
        <v>40000</v>
      </c>
      <c r="F113" s="723">
        <f>SUMIFS(Пр.10!I$10:I$1615,Пр.10!$D$10:$D$1615,C113)</f>
        <v>160000</v>
      </c>
    </row>
    <row r="114" spans="1:6" ht="63.75" thickBot="1" x14ac:dyDescent="0.3">
      <c r="A114" s="167"/>
      <c r="B114" s="72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25" t="s">
        <v>1518</v>
      </c>
      <c r="D114" s="726">
        <f>SUMIFS(Пр.10!G$10:G$1615,Пр.10!$D$10:$D$1615,C114)</f>
        <v>5329865</v>
      </c>
      <c r="E114" s="726">
        <f>SUMIFS(Пр.10!H$10:H$1615,Пр.10!$D$10:$D$1615,C114)</f>
        <v>113274</v>
      </c>
      <c r="F114" s="727">
        <f>SUMIFS(Пр.10!I$10:I$1615,Пр.10!$D$10:$D$1615,C114)</f>
        <v>5443139</v>
      </c>
    </row>
    <row r="115" spans="1:6" s="152" customFormat="1" ht="48" thickBot="1" x14ac:dyDescent="0.25">
      <c r="A115" s="161"/>
      <c r="B115" s="453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62" t="s">
        <v>326</v>
      </c>
      <c r="D115" s="437">
        <f>SUMIFS(Пр.10!G$10:G$1615,Пр.10!$D$10:$D$1615,C115)</f>
        <v>2976000</v>
      </c>
      <c r="E115" s="438">
        <f>SUMIFS(Пр.10!H$10:H$1615,Пр.10!$D$10:$D$1615,C115)</f>
        <v>0</v>
      </c>
      <c r="F115" s="612">
        <f>SUMIFS(Пр.10!I$10:I$1615,Пр.10!$D$10:$D$1615,C115)</f>
        <v>2976000</v>
      </c>
    </row>
    <row r="116" spans="1:6" ht="16.5" thickBot="1" x14ac:dyDescent="0.3">
      <c r="A116" s="167"/>
      <c r="B116" s="659" t="str">
        <f>IF(C116&gt;0,VLOOKUP(C116,Программа!A$2:B$5124,2))</f>
        <v>Бесперебойное функционирование информационных систем</v>
      </c>
      <c r="C116" s="660" t="s">
        <v>360</v>
      </c>
      <c r="D116" s="661">
        <f>SUMIFS(Пр.10!G$10:G$1615,Пр.10!$D$10:$D$1615,C116)</f>
        <v>2076000</v>
      </c>
      <c r="E116" s="662">
        <f>SUMIFS(Пр.10!H$10:H$1615,Пр.10!$D$10:$D$1615,C116)</f>
        <v>175000</v>
      </c>
      <c r="F116" s="649">
        <f>SUMIFS(Пр.10!I$10:I$1615,Пр.10!$D$10:$D$1615,C116)</f>
        <v>2251000</v>
      </c>
    </row>
    <row r="117" spans="1:6" ht="48" thickBot="1" x14ac:dyDescent="0.3">
      <c r="A117" s="167"/>
      <c r="B117" s="656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48" t="s">
        <v>328</v>
      </c>
      <c r="D117" s="663">
        <f>SUMIFS(Пр.10!G$10:G$1615,Пр.10!$D$10:$D$1615,C117)</f>
        <v>900000</v>
      </c>
      <c r="E117" s="658">
        <f>SUMIFS(Пр.10!H$10:H$1615,Пр.10!$D$10:$D$1615,C117)</f>
        <v>-175000</v>
      </c>
      <c r="F117" s="664">
        <f>SUMIFS(Пр.10!I$10:I$1615,Пр.10!$D$10:$D$1615,C117)</f>
        <v>725000</v>
      </c>
    </row>
    <row r="118" spans="1:6" s="152" customFormat="1" ht="63.75" thickBot="1" x14ac:dyDescent="0.25">
      <c r="A118" s="161"/>
      <c r="B118" s="453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62" t="s">
        <v>330</v>
      </c>
      <c r="D118" s="437">
        <f>SUMIFS(Пр.10!G$10:G$1615,Пр.10!$D$10:$D$1615,C118)</f>
        <v>2024056</v>
      </c>
      <c r="E118" s="438">
        <f>SUMIFS(Пр.10!H$10:H$1615,Пр.10!$D$10:$D$1615,C118)</f>
        <v>0</v>
      </c>
      <c r="F118" s="612">
        <f>SUMIFS(Пр.10!I$10:I$1615,Пр.10!$D$10:$D$1615,C118)</f>
        <v>2024056</v>
      </c>
    </row>
    <row r="119" spans="1:6" ht="63.75" thickBot="1" x14ac:dyDescent="0.25">
      <c r="A119" s="167"/>
      <c r="B119" s="544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72" t="s">
        <v>1687</v>
      </c>
      <c r="D119" s="545">
        <f>SUMIFS(Пр.10!G$10:G$1615,Пр.10!$D$10:$D$1615,C119)</f>
        <v>2024056</v>
      </c>
      <c r="E119" s="443">
        <f>SUMIFS(Пр.10!H$10:H$1615,Пр.10!$D$10:$D$1615,C119)</f>
        <v>0</v>
      </c>
      <c r="F119" s="617">
        <f>SUMIFS(Пр.10!I$10:I$1615,Пр.10!$D$10:$D$1615,C119)</f>
        <v>2024056</v>
      </c>
    </row>
    <row r="120" spans="1:6" ht="63.75" hidden="1" thickBot="1" x14ac:dyDescent="0.25">
      <c r="A120" s="166" t="s">
        <v>615</v>
      </c>
      <c r="B120" s="54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9" t="s">
        <v>616</v>
      </c>
      <c r="D120" s="543">
        <f>SUMIFS(Пр.10!G$10:G$1615,Пр.10!$D$10:$D$1615,C120)</f>
        <v>0</v>
      </c>
      <c r="E120" s="445">
        <f>SUMIFS(Пр.10!H$10:H$1615,Пр.10!$D$10:$D$1615,C120)</f>
        <v>0</v>
      </c>
      <c r="F120" s="607">
        <f>SUMIFS(Пр.10!I$10:I$1615,Пр.10!$D$10:$D$1615,C120)</f>
        <v>0</v>
      </c>
    </row>
    <row r="121" spans="1:6" s="152" customFormat="1" ht="48" thickBot="1" x14ac:dyDescent="0.25">
      <c r="A121" s="161" t="s">
        <v>617</v>
      </c>
      <c r="B121" s="540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62" t="s">
        <v>426</v>
      </c>
      <c r="D121" s="541">
        <f>SUMIFS(Пр.10!G$10:G$1615,Пр.10!$D$10:$D$1615,C121)</f>
        <v>304700</v>
      </c>
      <c r="E121" s="438">
        <f>SUMIFS(Пр.10!H$10:H$1615,Пр.10!$D$10:$D$1615,C121)</f>
        <v>99000</v>
      </c>
      <c r="F121" s="613">
        <f>SUMIFS(Пр.10!I$10:I$1615,Пр.10!$D$10:$D$1615,C121)</f>
        <v>403700</v>
      </c>
    </row>
    <row r="122" spans="1:6" ht="16.5" thickBot="1" x14ac:dyDescent="0.25">
      <c r="A122" s="166" t="s">
        <v>618</v>
      </c>
      <c r="B122" s="546" t="str">
        <f>IF(C122&gt;0,VLOOKUP(C122,Программа!A$2:B$5124,2))</f>
        <v>Реализация мероприятий по профилактике правонарушений</v>
      </c>
      <c r="C122" s="171" t="s">
        <v>428</v>
      </c>
      <c r="D122" s="547">
        <f>SUMIFS(Пр.10!G$10:G$1615,Пр.10!$D$10:$D$1615,C122)</f>
        <v>180000</v>
      </c>
      <c r="E122" s="477">
        <f>SUMIFS(Пр.10!H$10:H$1615,Пр.10!$D$10:$D$1615,C122)</f>
        <v>99000</v>
      </c>
      <c r="F122" s="611">
        <f>SUMIFS(Пр.10!I$10:I$1615,Пр.10!$D$10:$D$1615,C122)</f>
        <v>279000</v>
      </c>
    </row>
    <row r="123" spans="1:6" ht="16.5" thickBot="1" x14ac:dyDescent="0.25">
      <c r="A123" s="166"/>
      <c r="B123" s="624" t="str">
        <f>IF(C123&gt;0,VLOOKUP(C123,Программа!A$2:B$5124,2))</f>
        <v>Воспрепятствование проявлениям терроризма и экстремизма</v>
      </c>
      <c r="C123" s="398" t="s">
        <v>1781</v>
      </c>
      <c r="D123" s="626">
        <f>SUMIFS(Пр.10!G$10:G$1615,Пр.10!$D$10:$D$1615,C123)</f>
        <v>124700</v>
      </c>
      <c r="E123" s="907">
        <f>SUMIFS(Пр.10!H$10:H$1615,Пр.10!$D$10:$D$1615,C123)</f>
        <v>0</v>
      </c>
      <c r="F123" s="908">
        <f>SUMIFS(Пр.10!I$10:I$1615,Пр.10!$D$10:$D$1615,C123)</f>
        <v>124700</v>
      </c>
    </row>
    <row r="124" spans="1:6" s="152" customFormat="1" ht="48" thickBot="1" x14ac:dyDescent="0.25">
      <c r="A124" s="161" t="s">
        <v>619</v>
      </c>
      <c r="B124" s="453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62" t="s">
        <v>533</v>
      </c>
      <c r="D124" s="437">
        <f>SUMIFS(Пр.10!G$10:G$1615,Пр.10!$D$10:$D$1615,C124)</f>
        <v>21354246</v>
      </c>
      <c r="E124" s="438">
        <f>SUMIFS(Пр.10!H$10:H$1615,Пр.10!$D$10:$D$1615,C124)</f>
        <v>0</v>
      </c>
      <c r="F124" s="612">
        <f>SUMIFS(Пр.10!I$10:I$1615,Пр.10!$D$10:$D$1615,C124)</f>
        <v>21354246</v>
      </c>
    </row>
    <row r="125" spans="1:6" ht="48" thickBot="1" x14ac:dyDescent="0.3">
      <c r="A125" s="167" t="s">
        <v>620</v>
      </c>
      <c r="B125" s="659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660" t="s">
        <v>539</v>
      </c>
      <c r="D125" s="661">
        <f>SUMIFS(Пр.10!G$10:G$1615,Пр.10!$D$10:$D$1615,C125)</f>
        <v>21354246</v>
      </c>
      <c r="E125" s="662">
        <f>SUMIFS(Пр.10!H$10:H$1615,Пр.10!$D$10:$D$1615,C125)</f>
        <v>0</v>
      </c>
      <c r="F125" s="649">
        <f>SUMIFS(Пр.10!I$10:I$1615,Пр.10!$D$10:$D$1615,C125)</f>
        <v>21354246</v>
      </c>
    </row>
    <row r="126" spans="1:6" ht="32.25" hidden="1" thickBot="1" x14ac:dyDescent="0.3">
      <c r="A126" s="167" t="s">
        <v>1307</v>
      </c>
      <c r="B126" s="656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548" t="s">
        <v>1194</v>
      </c>
      <c r="D126" s="663">
        <f>SUMIFS(Пр.10!G$10:G$1615,Пр.10!$D$10:$D$1615,C126)</f>
        <v>0</v>
      </c>
      <c r="E126" s="658">
        <f>SUMIFS(Пр.10!H$10:H$1615,Пр.10!$D$10:$D$1615,C126)</f>
        <v>0</v>
      </c>
      <c r="F126" s="652">
        <f>SUMIFS(Пр.10!I$10:I$1615,Пр.10!$D$10:$D$1615,C126)</f>
        <v>0</v>
      </c>
    </row>
    <row r="127" spans="1:6" s="152" customFormat="1" ht="32.25" hidden="1" thickBot="1" x14ac:dyDescent="0.25">
      <c r="A127" s="362" t="s">
        <v>70</v>
      </c>
      <c r="B127" s="540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402" t="s">
        <v>622</v>
      </c>
      <c r="D127" s="541">
        <f>SUMIFS(Пр.10!G$10:G$1615,Пр.10!$D$10:$D$1615,C127)</f>
        <v>0</v>
      </c>
      <c r="E127" s="438">
        <f>SUMIFS(Пр.10!H$10:H$1615,Пр.10!$D$10:$D$1615,C127)</f>
        <v>0</v>
      </c>
      <c r="F127" s="533">
        <f>SUMIFS(Пр.10!I$10:I$1615,Пр.10!$D$10:$D$1615,C127)</f>
        <v>0</v>
      </c>
    </row>
    <row r="128" spans="1:6" s="153" customFormat="1" ht="48" hidden="1" thickBot="1" x14ac:dyDescent="0.25">
      <c r="A128" s="168" t="s">
        <v>623</v>
      </c>
      <c r="B128" s="538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403" t="s">
        <v>625</v>
      </c>
      <c r="D128" s="539">
        <f>SUMIFS(Пр.10!G$10:G$1615,Пр.10!$D$10:$D$1615,C128)</f>
        <v>0</v>
      </c>
      <c r="E128" s="443">
        <f>SUMIFS(Пр.10!H$10:H$1615,Пр.10!$D$10:$D$1615,C128)</f>
        <v>0</v>
      </c>
      <c r="F128" s="535">
        <f>SUMIFS(Пр.10!I$10:I$1615,Пр.10!$D$10:$D$1615,C128)</f>
        <v>0</v>
      </c>
    </row>
    <row r="129" spans="1:6" ht="32.25" hidden="1" thickBot="1" x14ac:dyDescent="0.25">
      <c r="A129" s="167" t="s">
        <v>626</v>
      </c>
      <c r="B129" s="537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404" t="s">
        <v>628</v>
      </c>
      <c r="D129" s="174">
        <f>SUMIFS(Пр.10!G$10:G$1615,Пр.10!$D$10:$D$1615,C129)</f>
        <v>0</v>
      </c>
      <c r="E129" s="551">
        <f>SUMIFS(Пр.10!H$10:H$1615,Пр.10!$D$10:$D$1615,C129)</f>
        <v>0</v>
      </c>
      <c r="F129" s="535">
        <f>SUMIFS(Пр.10!I$10:I$1615,Пр.10!$D$10:$D$1615,C129)</f>
        <v>0</v>
      </c>
    </row>
    <row r="130" spans="1:6" s="153" customFormat="1" ht="48" hidden="1" thickBot="1" x14ac:dyDescent="0.25">
      <c r="A130" s="168" t="s">
        <v>629</v>
      </c>
      <c r="B130" s="536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74" t="s">
        <v>631</v>
      </c>
      <c r="D130" s="176">
        <f>SUMIFS(Пр.10!G$10:G$1615,Пр.10!$D$10:$D$1615,C130)</f>
        <v>0</v>
      </c>
      <c r="E130" s="551">
        <f>SUMIFS(Пр.10!H$10:H$1615,Пр.10!$D$10:$D$1615,C130)</f>
        <v>0</v>
      </c>
      <c r="F130" s="534">
        <f>SUMIFS(Пр.10!I$10:I$1615,Пр.10!$D$10:$D$1615,C130)</f>
        <v>0</v>
      </c>
    </row>
    <row r="131" spans="1:6" ht="32.25" hidden="1" thickBot="1" x14ac:dyDescent="0.25">
      <c r="A131" s="166" t="s">
        <v>43</v>
      </c>
      <c r="B131" s="537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404" t="s">
        <v>633</v>
      </c>
      <c r="D131" s="174">
        <f>SUMIFS(Пр.10!G$10:G$1615,Пр.10!$D$10:$D$1615,C131)</f>
        <v>0</v>
      </c>
      <c r="E131" s="551">
        <f>SUMIFS(Пр.10!H$10:H$1615,Пр.10!$D$10:$D$1615,C131)</f>
        <v>0</v>
      </c>
      <c r="F131" s="535">
        <f>SUMIFS(Пр.10!I$10:I$1615,Пр.10!$D$10:$D$1615,C131)</f>
        <v>0</v>
      </c>
    </row>
    <row r="132" spans="1:6" ht="32.25" hidden="1" thickBot="1" x14ac:dyDescent="0.25">
      <c r="A132" s="167" t="s">
        <v>634</v>
      </c>
      <c r="B132" s="537" t="str">
        <f>IF(C132&gt;0,VLOOKUP(C132,Программа!A$2:B$5124,2))</f>
        <v>Обеспечение мероприятий по ремонту общедомового имущества</v>
      </c>
      <c r="C132" s="404" t="s">
        <v>636</v>
      </c>
      <c r="D132" s="174">
        <f>SUMIFS(Пр.10!G$10:G$1615,Пр.10!$D$10:$D$1615,C132)</f>
        <v>0</v>
      </c>
      <c r="E132" s="551">
        <f>SUMIFS(Пр.10!H$10:H$1615,Пр.10!$D$10:$D$1615,C132)</f>
        <v>0</v>
      </c>
      <c r="F132" s="535">
        <f>SUMIFS(Пр.10!I$10:I$1615,Пр.10!$D$10:$D$1615,C132)</f>
        <v>0</v>
      </c>
    </row>
    <row r="133" spans="1:6" ht="32.25" hidden="1" thickBot="1" x14ac:dyDescent="0.25">
      <c r="A133" s="166" t="s">
        <v>53</v>
      </c>
      <c r="B133" s="537" t="str">
        <f>IF(C133&gt;0,VLOOKUP(C133,Программа!A$2:B$5124,2))</f>
        <v>Обеспечение мероприятий по ремонту муниципальных квартир</v>
      </c>
      <c r="C133" s="404" t="s">
        <v>637</v>
      </c>
      <c r="D133" s="174">
        <f>SUMIFS(Пр.10!G$10:G$1615,Пр.10!$D$10:$D$1615,C133)</f>
        <v>0</v>
      </c>
      <c r="E133" s="551">
        <f>SUMIFS(Пр.10!H$10:H$1615,Пр.10!$D$10:$D$1615,C133)</f>
        <v>0</v>
      </c>
      <c r="F133" s="535">
        <f>SUMIFS(Пр.10!I$10:I$1615,Пр.10!$D$10:$D$1615,C133)</f>
        <v>0</v>
      </c>
    </row>
    <row r="134" spans="1:6" ht="16.5" hidden="1" thickBot="1" x14ac:dyDescent="0.25">
      <c r="A134" s="166"/>
      <c r="B134" s="542" t="str">
        <f>IF(C134&gt;0,VLOOKUP(C134,Программа!A$2:B$5124,2))</f>
        <v>Обеспечение мероприятий по обследованию жилых домов</v>
      </c>
      <c r="C134" s="405" t="s">
        <v>1196</v>
      </c>
      <c r="D134" s="543">
        <f>SUMIFS(Пр.10!G$10:G$1615,Пр.10!$D$10:$D$1615,C134)</f>
        <v>0</v>
      </c>
      <c r="E134" s="445">
        <f>SUMIFS(Пр.10!H$10:H$1615,Пр.10!$D$10:$D$1615,C134)</f>
        <v>0</v>
      </c>
      <c r="F134" s="607">
        <f>SUMIFS(Пр.10!I$10:I$1615,Пр.10!$D$10:$D$1615,C134)</f>
        <v>0</v>
      </c>
    </row>
    <row r="135" spans="1:6" s="152" customFormat="1" ht="48" thickBot="1" x14ac:dyDescent="0.25">
      <c r="A135" s="161"/>
      <c r="B135" s="453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402" t="s">
        <v>640</v>
      </c>
      <c r="D135" s="437">
        <f>SUMIFS(Пр.10!G$10:G$1615,Пр.10!$D$10:$D$1615,C135)</f>
        <v>42468301</v>
      </c>
      <c r="E135" s="438">
        <f>SUMIFS(Пр.10!H$10:H$1615,Пр.10!$D$10:$D$1615,C135)</f>
        <v>7816632</v>
      </c>
      <c r="F135" s="612">
        <f>SUMIFS(Пр.10!I$10:I$1615,Пр.10!$D$10:$D$1615,C135)</f>
        <v>50284933</v>
      </c>
    </row>
    <row r="136" spans="1:6" s="153" customFormat="1" ht="48" thickBot="1" x14ac:dyDescent="0.3">
      <c r="A136" s="168"/>
      <c r="B136" s="645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646" t="s">
        <v>642</v>
      </c>
      <c r="D136" s="647">
        <f>SUMIFS(Пр.10!G$10:G$1615,Пр.10!$D$10:$D$1615,C136)</f>
        <v>489830</v>
      </c>
      <c r="E136" s="648">
        <f>SUMIFS(Пр.10!H$10:H$1615,Пр.10!$D$10:$D$1615,C136)</f>
        <v>-10890</v>
      </c>
      <c r="F136" s="649">
        <f>SUMIFS(Пр.10!I$10:I$1615,Пр.10!$D$10:$D$1615,C136)</f>
        <v>478940</v>
      </c>
    </row>
    <row r="137" spans="1:6" ht="32.25" thickBot="1" x14ac:dyDescent="0.3">
      <c r="A137" s="167"/>
      <c r="B137" s="650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73" t="s">
        <v>644</v>
      </c>
      <c r="D137" s="157">
        <f>SUMIFS(Пр.10!G$10:G$1615,Пр.10!$D$10:$D$1615,C137)</f>
        <v>489830</v>
      </c>
      <c r="E137" s="651">
        <f>SUMIFS(Пр.10!H$10:H$1615,Пр.10!$D$10:$D$1615,C137)</f>
        <v>-10890</v>
      </c>
      <c r="F137" s="652">
        <f>SUMIFS(Пр.10!I$10:I$1615,Пр.10!$D$10:$D$1615,C137)</f>
        <v>478940</v>
      </c>
    </row>
    <row r="138" spans="1:6" s="153" customFormat="1" ht="48" thickBot="1" x14ac:dyDescent="0.3">
      <c r="A138" s="168"/>
      <c r="B138" s="653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75" t="s">
        <v>645</v>
      </c>
      <c r="D138" s="654">
        <f>SUMIFS(Пр.10!G$10:G$1615,Пр.10!$D$10:$D$1615,C138)</f>
        <v>24830693</v>
      </c>
      <c r="E138" s="655">
        <f>SUMIFS(Пр.10!H$10:H$1615,Пр.10!$D$10:$D$1615,C138)</f>
        <v>7127522</v>
      </c>
      <c r="F138" s="652">
        <f>SUMIFS(Пр.10!I$10:I$1615,Пр.10!$D$10:$D$1615,C138)</f>
        <v>31958215</v>
      </c>
    </row>
    <row r="139" spans="1:6" ht="32.25" thickBot="1" x14ac:dyDescent="0.3">
      <c r="A139" s="167"/>
      <c r="B139" s="650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73" t="s">
        <v>647</v>
      </c>
      <c r="D139" s="157">
        <f>SUMIFS(Пр.10!G$10:G$1615,Пр.10!$D$10:$D$1615,C139)</f>
        <v>20181300</v>
      </c>
      <c r="E139" s="651">
        <f>SUMIFS(Пр.10!H$10:H$1615,Пр.10!$D$10:$D$1615,C139)</f>
        <v>5832300</v>
      </c>
      <c r="F139" s="652">
        <f>SUMIFS(Пр.10!I$10:I$1615,Пр.10!$D$10:$D$1615,C139)</f>
        <v>26013600</v>
      </c>
    </row>
    <row r="140" spans="1:6" ht="31.7" customHeight="1" thickBot="1" x14ac:dyDescent="0.3">
      <c r="A140" s="167"/>
      <c r="B140" s="650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73" t="s">
        <v>649</v>
      </c>
      <c r="D140" s="157">
        <f>SUMIFS(Пр.10!G$10:G$1615,Пр.10!$D$10:$D$1615,C140)</f>
        <v>4649393</v>
      </c>
      <c r="E140" s="651">
        <f>SUMIFS(Пр.10!H$10:H$1615,Пр.10!$D$10:$D$1615,C140)</f>
        <v>298578</v>
      </c>
      <c r="F140" s="652">
        <f>SUMIFS(Пр.10!I$10:I$1615,Пр.10!$D$10:$D$1615,C140)</f>
        <v>4947971</v>
      </c>
    </row>
    <row r="141" spans="1:6" ht="32.25" customHeight="1" thickBot="1" x14ac:dyDescent="0.3">
      <c r="A141" s="167"/>
      <c r="B141" s="650" t="str">
        <f>IF(C141&gt;0,VLOOKUP(C141,Программа!A$2:B$5124,2))</f>
        <v>Обеспечение мероприятий по благоустройству воинских захоронений</v>
      </c>
      <c r="C141" s="173" t="s">
        <v>650</v>
      </c>
      <c r="D141" s="157">
        <f>SUMIFS(Пр.10!G$10:G$1615,Пр.10!$D$10:$D$1615,C141)</f>
        <v>0</v>
      </c>
      <c r="E141" s="651">
        <f>SUMIFS(Пр.10!H$10:H$1615,Пр.10!$D$10:$D$1615,C141)</f>
        <v>996644</v>
      </c>
      <c r="F141" s="652">
        <f>SUMIFS(Пр.10!I$10:I$1615,Пр.10!$D$10:$D$1615,C141)</f>
        <v>996644</v>
      </c>
    </row>
    <row r="142" spans="1:6" ht="53.25" hidden="1" customHeight="1" thickBot="1" x14ac:dyDescent="0.3">
      <c r="A142" s="167"/>
      <c r="B142" s="650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73" t="s">
        <v>1583</v>
      </c>
      <c r="D142" s="157">
        <f>SUMIFS(Пр.10!G$10:G$1615,Пр.10!$D$10:$D$1615,C142)</f>
        <v>0</v>
      </c>
      <c r="E142" s="651">
        <f>SUMIFS(Пр.10!H$10:H$1615,Пр.10!$D$10:$D$1615,C142)</f>
        <v>0</v>
      </c>
      <c r="F142" s="652">
        <f>SUMIFS(Пр.10!I$10:I$1615,Пр.10!$D$10:$D$1615,C142)</f>
        <v>0</v>
      </c>
    </row>
    <row r="143" spans="1:6" ht="79.5" thickBot="1" x14ac:dyDescent="0.3">
      <c r="A143" s="167"/>
      <c r="B143" s="653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75" t="s">
        <v>1391</v>
      </c>
      <c r="D143" s="157">
        <f>SUMIFS(Пр.10!G$10:G$1615,Пр.10!$D$10:$D$1615,C143)</f>
        <v>14647778</v>
      </c>
      <c r="E143" s="655">
        <f>SUMIFS(Пр.10!H$10:H$1615,Пр.10!$D$10:$D$1615,C143)</f>
        <v>0</v>
      </c>
      <c r="F143" s="652">
        <f>SUMIFS(Пр.10!I$10:I$1615,Пр.10!$D$10:$D$1615,C143)</f>
        <v>14647778</v>
      </c>
    </row>
    <row r="144" spans="1:6" ht="32.25" thickBot="1" x14ac:dyDescent="0.3">
      <c r="A144" s="167"/>
      <c r="B144" s="650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75" t="s">
        <v>1392</v>
      </c>
      <c r="D144" s="157">
        <f>SUMIFS(Пр.10!G$10:G$1615,Пр.10!$D$10:$D$1615,C144)</f>
        <v>14647778</v>
      </c>
      <c r="E144" s="651">
        <f>SUMIFS(Пр.10!H$10:H$1615,Пр.10!$D$10:$D$1615,C144)</f>
        <v>0</v>
      </c>
      <c r="F144" s="652">
        <f>SUMIFS(Пр.10!I$10:I$1615,Пр.10!$D$10:$D$1615,C144)</f>
        <v>14647778</v>
      </c>
    </row>
    <row r="145" spans="1:6" ht="48" thickBot="1" x14ac:dyDescent="0.3">
      <c r="A145" s="167"/>
      <c r="B145" s="653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75" t="s">
        <v>1393</v>
      </c>
      <c r="D145" s="157">
        <f>SUMIFS(Пр.10!G$10:G$1615,Пр.10!$D$10:$D$1615,C145)</f>
        <v>2500000</v>
      </c>
      <c r="E145" s="655">
        <f>SUMIFS(Пр.10!H$10:H$1615,Пр.10!$D$10:$D$1615,C145)</f>
        <v>700000</v>
      </c>
      <c r="F145" s="652">
        <f>SUMIFS(Пр.10!I$10:I$1615,Пр.10!$D$10:$D$1615,C145)</f>
        <v>3200000</v>
      </c>
    </row>
    <row r="146" spans="1:6" ht="32.25" thickBot="1" x14ac:dyDescent="0.3">
      <c r="A146" s="167"/>
      <c r="B146" s="656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657" t="s">
        <v>1394</v>
      </c>
      <c r="D146" s="157">
        <f>SUMIFS(Пр.10!G$10:G$1615,Пр.10!$D$10:$D$1615,C146)</f>
        <v>2500000</v>
      </c>
      <c r="E146" s="658">
        <f>SUMIFS(Пр.10!H$10:H$1615,Пр.10!$D$10:$D$1615,C146)</f>
        <v>700000</v>
      </c>
      <c r="F146" s="652">
        <f>SUMIFS(Пр.10!I$10:I$1615,Пр.10!$D$10:$D$1615,C146)</f>
        <v>3200000</v>
      </c>
    </row>
    <row r="147" spans="1:6" s="152" customFormat="1" ht="32.25" hidden="1" thickBot="1" x14ac:dyDescent="0.25">
      <c r="A147" s="161"/>
      <c r="B147" s="540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62" t="s">
        <v>652</v>
      </c>
      <c r="D147" s="541">
        <f>SUMIFS(Пр.10!G$10:G$1615,Пр.10!$D$10:$D$1615,C147)</f>
        <v>0</v>
      </c>
      <c r="E147" s="438">
        <f>SUMIFS(Пр.10!H$10:H$1615,Пр.10!$D$10:$D$1615,C147)</f>
        <v>0</v>
      </c>
      <c r="F147" s="533">
        <f>SUMIFS(Пр.10!I$10:I$1615,Пр.10!$D$10:$D$1615,C147)</f>
        <v>0</v>
      </c>
    </row>
    <row r="148" spans="1:6" ht="32.25" hidden="1" thickBot="1" x14ac:dyDescent="0.25">
      <c r="A148" s="167"/>
      <c r="B148" s="546" t="str">
        <f>IF(C148&gt;0,VLOOKUP(C148,Программа!A$2:B$5124,2))</f>
        <v>Обеспечение населения Тутаевского муниципального района банными услугами</v>
      </c>
      <c r="C148" s="586" t="s">
        <v>654</v>
      </c>
      <c r="D148" s="547">
        <f>SUMIFS(Пр.10!G$10:G$1615,Пр.10!$D$10:$D$1615,C148)</f>
        <v>0</v>
      </c>
      <c r="E148" s="477">
        <f>SUMIFS(Пр.10!H$10:H$1615,Пр.10!$D$10:$D$1615,C148)</f>
        <v>0</v>
      </c>
      <c r="F148" s="607">
        <f>SUMIFS(Пр.10!I$10:I$1615,Пр.10!$D$10:$D$1615,C148)</f>
        <v>0</v>
      </c>
    </row>
    <row r="149" spans="1:6" s="152" customFormat="1" ht="48" thickBot="1" x14ac:dyDescent="0.25">
      <c r="A149" s="161"/>
      <c r="B149" s="453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402" t="s">
        <v>1026</v>
      </c>
      <c r="D149" s="437">
        <f>SUMIFS(Пр.10!G$10:G$1615,Пр.10!$D$10:$D$1615,C149)</f>
        <v>1855865</v>
      </c>
      <c r="E149" s="438">
        <f>SUMIFS(Пр.10!H$10:H$1615,Пр.10!$D$10:$D$1615,C149)</f>
        <v>-161750</v>
      </c>
      <c r="F149" s="612">
        <f>SUMIFS(Пр.10!I$10:I$1615,Пр.10!$D$10:$D$1615,C149)</f>
        <v>1694115</v>
      </c>
    </row>
    <row r="150" spans="1:6" ht="32.25" hidden="1" thickBot="1" x14ac:dyDescent="0.25">
      <c r="A150" s="167"/>
      <c r="B150" s="544" t="str">
        <f>IF(C150&gt;0,VLOOKUP(C150,Программа!A$2:B$5124,2))</f>
        <v>Развитие водохозяйственного комплекса Тутаевского муниципального района</v>
      </c>
      <c r="C150" s="407" t="s">
        <v>1027</v>
      </c>
      <c r="D150" s="545">
        <f>SUMIFS(Пр.10!G$10:G$1615,Пр.10!$D$10:$D$1615,C150)</f>
        <v>0</v>
      </c>
      <c r="E150" s="443">
        <f>SUMIFS(Пр.10!H$10:H$1615,Пр.10!$D$10:$D$1615,C150)</f>
        <v>0</v>
      </c>
      <c r="F150" s="617">
        <f>SUMIFS(Пр.10!I$10:I$1615,Пр.10!$D$10:$D$1615,C150)</f>
        <v>0</v>
      </c>
    </row>
    <row r="151" spans="1:6" ht="48" thickBot="1" x14ac:dyDescent="0.3">
      <c r="A151" s="167"/>
      <c r="B151" s="656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77" t="s">
        <v>1067</v>
      </c>
      <c r="D151" s="663">
        <f>SUMIFS(Пр.10!G$10:G$1615,Пр.10!$D$10:$D$1615,C151)</f>
        <v>1855865</v>
      </c>
      <c r="E151" s="658">
        <f>SUMIFS(Пр.10!H$10:H$1615,Пр.10!$D$10:$D$1615,C151)</f>
        <v>-161750</v>
      </c>
      <c r="F151" s="652">
        <f>SUMIFS(Пр.10!I$10:I$1615,Пр.10!$D$10:$D$1615,C151)</f>
        <v>1694115</v>
      </c>
    </row>
    <row r="152" spans="1:6" s="152" customFormat="1" ht="48" hidden="1" thickBot="1" x14ac:dyDescent="0.25">
      <c r="A152" s="161"/>
      <c r="B152" s="540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402" t="s">
        <v>1038</v>
      </c>
      <c r="D152" s="541">
        <f>SUMIFS(Пр.10!G$10:G$1615,Пр.10!$D$10:$D$1615,C152)</f>
        <v>0</v>
      </c>
      <c r="E152" s="438">
        <f>SUMIFS(Пр.10!H$10:H$1615,Пр.10!$D$10:$D$1615,C152)</f>
        <v>0</v>
      </c>
      <c r="F152" s="533">
        <f>SUMIFS(Пр.10!I$10:I$1615,Пр.10!$D$10:$D$1615,C152)</f>
        <v>0</v>
      </c>
    </row>
    <row r="153" spans="1:6" ht="48" hidden="1" thickBot="1" x14ac:dyDescent="0.25">
      <c r="A153" s="167"/>
      <c r="B153" s="544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407" t="s">
        <v>1040</v>
      </c>
      <c r="D153" s="545">
        <f>SUMIFS(Пр.10!G$10:G$1615,Пр.10!$D$10:$D$1615,C153)</f>
        <v>0</v>
      </c>
      <c r="E153" s="443">
        <f>SUMIFS(Пр.10!H$10:H$1615,Пр.10!$D$10:$D$1615,C153)</f>
        <v>0</v>
      </c>
      <c r="F153" s="535">
        <f>SUMIFS(Пр.10!I$10:I$1615,Пр.10!$D$10:$D$1615,C153)</f>
        <v>0</v>
      </c>
    </row>
    <row r="154" spans="1:6" ht="63.75" hidden="1" thickBot="1" x14ac:dyDescent="0.25">
      <c r="A154" s="167"/>
      <c r="B154" s="54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405" t="s">
        <v>1042</v>
      </c>
      <c r="D154" s="543">
        <f>SUMIFS(Пр.10!G$10:G$1615,Пр.10!$D$10:$D$1615,C154)</f>
        <v>0</v>
      </c>
      <c r="E154" s="445">
        <f>SUMIFS(Пр.10!H$10:H$1615,Пр.10!$D$10:$D$1615,C154)</f>
        <v>0</v>
      </c>
      <c r="F154" s="535">
        <f>SUMIFS(Пр.10!I$10:I$1615,Пр.10!$D$10:$D$1615,C154)</f>
        <v>0</v>
      </c>
    </row>
    <row r="155" spans="1:6" ht="48" hidden="1" thickBot="1" x14ac:dyDescent="0.25">
      <c r="A155" s="167"/>
      <c r="B155" s="540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85" t="s">
        <v>1044</v>
      </c>
      <c r="D155" s="541">
        <f>SUMIFS(Пр.10!G$10:G$1615,Пр.10!$D$10:$D$1615,C155)</f>
        <v>0</v>
      </c>
      <c r="E155" s="438">
        <f>SUMIFS(Пр.10!H$10:H$1615,Пр.10!$D$10:$D$1615,C155)</f>
        <v>0</v>
      </c>
      <c r="F155" s="533">
        <f>SUMIFS(Пр.10!I$10:I$1615,Пр.10!$D$10:$D$1615,C155)</f>
        <v>0</v>
      </c>
    </row>
    <row r="156" spans="1:6" ht="32.25" hidden="1" thickBot="1" x14ac:dyDescent="0.25">
      <c r="A156" s="167"/>
      <c r="B156" s="544" t="str">
        <f>IF(C156&gt;0,VLOOKUP(C156,Программа!A$2:B$5124,2))</f>
        <v>Обеспечение условий для исполнения функций финансового органа</v>
      </c>
      <c r="C156" s="407" t="s">
        <v>1045</v>
      </c>
      <c r="D156" s="545">
        <f>SUMIFS(Пр.10!G$10:G$1615,Пр.10!$D$10:$D$1615,C156)</f>
        <v>0</v>
      </c>
      <c r="E156" s="443">
        <f>SUMIFS(Пр.10!H$10:H$1615,Пр.10!$D$10:$D$1615,C156)</f>
        <v>0</v>
      </c>
      <c r="F156" s="535">
        <f>SUMIFS(Пр.10!I$10:I$1615,Пр.10!$D$10:$D$1615,C156)</f>
        <v>0</v>
      </c>
    </row>
    <row r="157" spans="1:6" ht="32.25" hidden="1" thickBot="1" x14ac:dyDescent="0.25">
      <c r="A157" s="167"/>
      <c r="B157" s="537" t="str">
        <f>IF(C157&gt;0,VLOOKUP(C157,Программа!A$2:B$5124,2))</f>
        <v>Организационно-техническое обеспечение бюджетного процесса</v>
      </c>
      <c r="C157" s="404" t="s">
        <v>1130</v>
      </c>
      <c r="D157" s="174">
        <f>SUMIFS(Пр.10!G$10:G$1615,Пр.10!$D$10:$D$1615,C157)</f>
        <v>0</v>
      </c>
      <c r="E157" s="551">
        <f>SUMIFS(Пр.10!H$10:H$1615,Пр.10!$D$10:$D$1615,C157)</f>
        <v>0</v>
      </c>
      <c r="F157" s="535">
        <f>SUMIFS(Пр.10!I$10:I$1615,Пр.10!$D$10:$D$1615,C157)</f>
        <v>0</v>
      </c>
    </row>
    <row r="158" spans="1:6" ht="16.5" hidden="1" thickBot="1" x14ac:dyDescent="0.25">
      <c r="A158" s="396"/>
      <c r="B158" s="542" t="str">
        <f>IF(C158&gt;0,VLOOKUP(C158,Программа!A$2:B$5124,2))</f>
        <v>Нормативно-методическое обеспечение бюджетного процесса</v>
      </c>
      <c r="C158" s="405" t="s">
        <v>1132</v>
      </c>
      <c r="D158" s="543">
        <f>SUMIFS(Пр.10!G$10:G$1615,Пр.10!$D$10:$D$1615,C158)</f>
        <v>0</v>
      </c>
      <c r="E158" s="445">
        <f>SUMIFS(Пр.10!H$10:H$1615,Пр.10!$D$10:$D$1615,C158)</f>
        <v>0</v>
      </c>
      <c r="F158" s="607">
        <f>SUMIFS(Пр.10!I$10:I$1615,Пр.10!$D$10:$D$1615,C158)</f>
        <v>0</v>
      </c>
    </row>
    <row r="159" spans="1:6" s="152" customFormat="1" ht="32.25" thickBot="1" x14ac:dyDescent="0.25">
      <c r="A159" s="161"/>
      <c r="B159" s="453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402" t="s">
        <v>1134</v>
      </c>
      <c r="D159" s="437">
        <f>SUMIFS(Пр.10!G$10:G$1615,Пр.10!$D$10:$D$1615,C159)</f>
        <v>131977163</v>
      </c>
      <c r="E159" s="438">
        <f>SUMIFS(Пр.10!H$10:H$1615,Пр.10!$D$10:$D$1615,C159)</f>
        <v>2910703</v>
      </c>
      <c r="F159" s="612">
        <f>SUMIFS(Пр.10!I$10:I$1615,Пр.10!$D$10:$D$1615,C159)</f>
        <v>134887866</v>
      </c>
    </row>
    <row r="160" spans="1:6" ht="15.75" x14ac:dyDescent="0.25">
      <c r="A160" s="530"/>
      <c r="B160" s="659" t="str">
        <f>IF(C160&gt;0,VLOOKUP(C160,Программа!A$2:B$5124,2))</f>
        <v>Повышение уровня благоустройства территорий</v>
      </c>
      <c r="C160" s="285" t="s">
        <v>1152</v>
      </c>
      <c r="D160" s="661">
        <f>SUMIFS(Пр.10!G$10:G$1615,Пр.10!$D$10:$D$1615,C160)</f>
        <v>11976480</v>
      </c>
      <c r="E160" s="662">
        <f>SUMIFS(Пр.10!H$10:H$1615,Пр.10!$D$10:$D$1615,C160)</f>
        <v>2910703</v>
      </c>
      <c r="F160" s="649">
        <f>SUMIFS(Пр.10!I$10:I$1615,Пр.10!$D$10:$D$1615,C160)</f>
        <v>14887183</v>
      </c>
    </row>
    <row r="161" spans="1:6" ht="15.75" x14ac:dyDescent="0.25">
      <c r="A161" s="531"/>
      <c r="B161" s="650" t="str">
        <f>IF(C161&gt;0,VLOOKUP(C161,Программа!A$2:B$5124,2))</f>
        <v>Реализация  Губернаторского  проекта "Наши дворы"</v>
      </c>
      <c r="C161" s="173" t="s">
        <v>1153</v>
      </c>
      <c r="D161" s="157">
        <f>SUMIFS(Пр.10!G$10:G$1615,Пр.10!$D$10:$D$1615,C161)</f>
        <v>79471764</v>
      </c>
      <c r="E161" s="651">
        <f>SUMIFS(Пр.10!H$10:H$1615,Пр.10!$D$10:$D$1615,C161)</f>
        <v>0</v>
      </c>
      <c r="F161" s="652">
        <f>SUMIFS(Пр.10!I$10:I$1615,Пр.10!$D$10:$D$1615,C161)</f>
        <v>79471764</v>
      </c>
    </row>
    <row r="162" spans="1:6" ht="31.5" hidden="1" x14ac:dyDescent="0.25">
      <c r="A162" s="531"/>
      <c r="B162" s="650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73" t="s">
        <v>1154</v>
      </c>
      <c r="D162" s="157">
        <f>SUMIFS(Пр.10!G$10:G$1615,Пр.10!$D$10:$D$1615,C162)</f>
        <v>0</v>
      </c>
      <c r="E162" s="651">
        <f>SUMIFS(Пр.10!H$10:H$1615,Пр.10!$D$10:$D$1615,C162)</f>
        <v>0</v>
      </c>
      <c r="F162" s="652">
        <f>SUMIFS(Пр.10!I$10:I$1615,Пр.10!$D$10:$D$1615,C162)</f>
        <v>0</v>
      </c>
    </row>
    <row r="163" spans="1:6" ht="32.25" thickBot="1" x14ac:dyDescent="0.3">
      <c r="A163" s="532"/>
      <c r="B163" s="656" t="str">
        <f>IF(C163&gt;0,VLOOKUP(C163,Программа!A$2:B$5124,2))</f>
        <v>Реализация   проекта "Формирование комфортной городской среды"</v>
      </c>
      <c r="C163" s="548" t="s">
        <v>1314</v>
      </c>
      <c r="D163" s="663">
        <f>SUMIFS(Пр.10!G$10:G$1615,Пр.10!$D$10:$D$1615,C163)</f>
        <v>40528919</v>
      </c>
      <c r="E163" s="658">
        <f>SUMIFS(Пр.10!H$10:H$1615,Пр.10!$D$10:$D$1615,C163)</f>
        <v>0</v>
      </c>
      <c r="F163" s="664">
        <f>SUMIFS(Пр.10!I$10:I$1615,Пр.10!$D$10:$D$1615,C163)</f>
        <v>40528919</v>
      </c>
    </row>
    <row r="164" spans="1:6" s="152" customFormat="1" ht="63.75" thickBot="1" x14ac:dyDescent="0.25">
      <c r="A164" s="427"/>
      <c r="B164" s="453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402" t="s">
        <v>1136</v>
      </c>
      <c r="D164" s="437">
        <f>D165</f>
        <v>120000</v>
      </c>
      <c r="E164" s="438">
        <f t="shared" ref="E164:F164" si="0">E165</f>
        <v>161883</v>
      </c>
      <c r="F164" s="612">
        <f t="shared" si="0"/>
        <v>281883</v>
      </c>
    </row>
    <row r="165" spans="1:6" ht="16.5" thickBot="1" x14ac:dyDescent="0.3">
      <c r="A165" s="167"/>
      <c r="B165" s="546" t="str">
        <f>IF(C165&gt;0,VLOOKUP(C165,Программа!A$2:B$5124,2))</f>
        <v>Мероприятия по обеспечению безопасности жителей района</v>
      </c>
      <c r="C165" s="178" t="s">
        <v>1137</v>
      </c>
      <c r="D165" s="547">
        <f>SUMIFS(Пр.10!G$10:G$1615,Пр.10!$D$10:$D$1615,C165)</f>
        <v>120000</v>
      </c>
      <c r="E165" s="477">
        <f>SUMIFS(Пр.10!H$10:H$1615,Пр.10!$D$10:$D$1615,C165)</f>
        <v>161883</v>
      </c>
      <c r="F165" s="611">
        <f>SUMIFS(Пр.10!I$10:I$1615,Пр.10!$D$10:$D$1615,C165)</f>
        <v>281883</v>
      </c>
    </row>
    <row r="166" spans="1:6" s="152" customFormat="1" ht="48" hidden="1" thickBot="1" x14ac:dyDescent="0.25">
      <c r="A166" s="161"/>
      <c r="B166" s="453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402" t="s">
        <v>1188</v>
      </c>
      <c r="D166" s="437">
        <f>SUMIFS(Пр.10!G$10:G$1615,Пр.10!$D$10:$D$1615,C166)</f>
        <v>0</v>
      </c>
      <c r="E166" s="438">
        <f>SUMIFS(Пр.10!H$10:H$1615,Пр.10!$D$10:$D$1615,C166)</f>
        <v>0</v>
      </c>
      <c r="F166" s="612">
        <f>SUMIFS(Пр.10!I$10:I$1615,Пр.10!$D$10:$D$1615,C166)</f>
        <v>0</v>
      </c>
    </row>
    <row r="167" spans="1:6" ht="32.25" hidden="1" thickBot="1" x14ac:dyDescent="0.25">
      <c r="A167" s="167"/>
      <c r="B167" s="544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407" t="s">
        <v>1189</v>
      </c>
      <c r="D167" s="545">
        <f>SUMIFS(Пр.10!G$10:G$1615,Пр.10!$D$10:$D$1615,C167)</f>
        <v>0</v>
      </c>
      <c r="E167" s="443">
        <f>SUMIFS(Пр.10!H$10:H$1615,Пр.10!$D$10:$D$1615,C167)</f>
        <v>0</v>
      </c>
      <c r="F167" s="617">
        <f>SUMIFS(Пр.10!I$10:I$1615,Пр.10!$D$10:$D$1615,C167)</f>
        <v>0</v>
      </c>
    </row>
    <row r="168" spans="1:6" ht="32.25" hidden="1" thickBot="1" x14ac:dyDescent="0.3">
      <c r="A168" s="167"/>
      <c r="B168" s="656" t="str">
        <f>IF(C168&gt;0,VLOOKUP(C168,Программа!A$2:B$5124,2))</f>
        <v>Проведение историко-культурной экспертизы объектов культурного наследия</v>
      </c>
      <c r="C168" s="177" t="s">
        <v>1192</v>
      </c>
      <c r="D168" s="663">
        <f>SUMIFS(Пр.10!G$10:G$1615,Пр.10!$D$10:$D$1615,C168)</f>
        <v>0</v>
      </c>
      <c r="E168" s="658">
        <f>SUMIFS(Пр.10!H$10:H$1615,Пр.10!$D$10:$D$1615,C168)</f>
        <v>0</v>
      </c>
      <c r="F168" s="664">
        <f>SUMIFS(Пр.10!I$10:I$1615,Пр.10!$D$10:$D$1615,C168)</f>
        <v>0</v>
      </c>
    </row>
    <row r="169" spans="1:6" ht="48" hidden="1" thickBot="1" x14ac:dyDescent="0.25">
      <c r="A169" s="167"/>
      <c r="B169" s="453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402" t="s">
        <v>1335</v>
      </c>
      <c r="D169" s="437">
        <f>SUMIFS(Пр.10!G$10:G$1615,Пр.10!$D$10:$D$1615,C169)</f>
        <v>0</v>
      </c>
      <c r="E169" s="438">
        <f>SUMIFS(Пр.10!H$10:H$1615,Пр.10!$D$10:$D$1615,C169)</f>
        <v>0</v>
      </c>
      <c r="F169" s="612">
        <f>SUMIFS(Пр.10!I$10:I$1615,Пр.10!$D$10:$D$1615,C169)</f>
        <v>0</v>
      </c>
    </row>
    <row r="170" spans="1:6" ht="32.25" hidden="1" thickBot="1" x14ac:dyDescent="0.3">
      <c r="A170" s="167"/>
      <c r="B170" s="659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85" t="s">
        <v>1336</v>
      </c>
      <c r="D170" s="661">
        <f>SUMIFS(Пр.10!G$10:G$1615,Пр.10!$D$10:$D$1615,C170)</f>
        <v>0</v>
      </c>
      <c r="E170" s="662">
        <f>SUMIFS(Пр.10!H$10:H$1615,Пр.10!$D$10:$D$1615,C170)</f>
        <v>0</v>
      </c>
      <c r="F170" s="649">
        <f>SUMIFS(Пр.10!I$10:I$1615,Пр.10!$D$10:$D$1615,C170)</f>
        <v>0</v>
      </c>
    </row>
    <row r="171" spans="1:6" ht="32.25" hidden="1" thickBot="1" x14ac:dyDescent="0.25">
      <c r="A171" s="167"/>
      <c r="B171" s="542" t="str">
        <f>IF(C171&gt;0,VLOOKUP(C171,Программа!A$2:B$5124,2))</f>
        <v>Разработка проектов планирования и (или) проектов межевания территории</v>
      </c>
      <c r="C171" s="405" t="s">
        <v>1337</v>
      </c>
      <c r="D171" s="547">
        <f>SUMIFS(Пр.10!G$10:G$1615,Пр.10!$D$10:$D$1615,C171)</f>
        <v>0</v>
      </c>
      <c r="E171" s="445">
        <f>SUMIFS(Пр.10!H$10:H$1615,Пр.10!$D$10:$D$1615,C171)</f>
        <v>0</v>
      </c>
      <c r="F171" s="607">
        <f>SUMIFS(Пр.10!I$10:I$1615,Пр.10!$D$10:$D$1615,C171)</f>
        <v>0</v>
      </c>
    </row>
    <row r="172" spans="1:6" s="610" customFormat="1" ht="32.25" thickBot="1" x14ac:dyDescent="0.25">
      <c r="A172" s="608"/>
      <c r="B172" s="609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85" t="s">
        <v>1411</v>
      </c>
      <c r="D172" s="437">
        <f>SUMIFS(Пр.10!G$10:G$1615,Пр.10!$D$10:$D$1615,C172)</f>
        <v>216150343</v>
      </c>
      <c r="E172" s="552">
        <f>SUMIFS(Пр.10!H$10:H$1615,Пр.10!$D$10:$D$1615,C172)</f>
        <v>55866875</v>
      </c>
      <c r="F172" s="612">
        <f>SUMIFS(Пр.10!I$10:I$1615,Пр.10!$D$10:$D$1615,C172)</f>
        <v>272017218</v>
      </c>
    </row>
    <row r="173" spans="1:6" ht="32.25" thickBot="1" x14ac:dyDescent="0.3">
      <c r="A173" s="167"/>
      <c r="B173" s="659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85" t="s">
        <v>1412</v>
      </c>
      <c r="D173" s="661">
        <f>SUMIFS(Пр.10!G$10:G$1615,Пр.10!$D$10:$D$1615,C173)</f>
        <v>3639100</v>
      </c>
      <c r="E173" s="662">
        <f>SUMIFS(Пр.10!H$10:H$1615,Пр.10!$D$10:$D$1615,C173)</f>
        <v>1130025</v>
      </c>
      <c r="F173" s="665">
        <f>SUMIFS(Пр.10!I$10:I$1615,Пр.10!$D$10:$D$1615,C173)</f>
        <v>4769125</v>
      </c>
    </row>
    <row r="174" spans="1:6" ht="48" thickBot="1" x14ac:dyDescent="0.3">
      <c r="A174" s="167"/>
      <c r="B174" s="233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73" t="s">
        <v>1413</v>
      </c>
      <c r="D174" s="157">
        <f>SUMIFS(Пр.10!G$10:G$1615,Пр.10!$D$10:$D$1615,C174)</f>
        <v>97057564</v>
      </c>
      <c r="E174" s="157">
        <f>SUMIFS(Пр.10!H$10:H$1615,Пр.10!$D$10:$D$1615,C174)</f>
        <v>57816000</v>
      </c>
      <c r="F174" s="157">
        <f>SUMIFS(Пр.10!I$10:I$1615,Пр.10!$D$10:$D$1615,C174)</f>
        <v>154873564</v>
      </c>
    </row>
    <row r="175" spans="1:6" ht="63.75" thickBot="1" x14ac:dyDescent="0.3">
      <c r="A175" s="167"/>
      <c r="B175" s="233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73" t="s">
        <v>1577</v>
      </c>
      <c r="D175" s="157">
        <f>SUMIFS(Пр.10!G$10:G$1615,Пр.10!$D$10:$D$1615,C175)</f>
        <v>56097679</v>
      </c>
      <c r="E175" s="157">
        <f>SUMIFS(Пр.10!H$10:H$1615,Пр.10!$D$10:$D$1615,C175)</f>
        <v>-3079150</v>
      </c>
      <c r="F175" s="157">
        <f>SUMIFS(Пр.10!I$10:I$1615,Пр.10!$D$10:$D$1615,C175)</f>
        <v>53018529</v>
      </c>
    </row>
    <row r="176" spans="1:6" ht="16.5" thickBot="1" x14ac:dyDescent="0.3">
      <c r="A176" s="167"/>
      <c r="B176" s="656" t="str">
        <f>IF(C176&gt;0,VLOOKUP(C176,Программа!A$2:B$5124,2))</f>
        <v>Реализация федерального проекта "Дорожная сеть"</v>
      </c>
      <c r="C176" s="177" t="s">
        <v>1414</v>
      </c>
      <c r="D176" s="663">
        <f>SUMIFS(Пр.10!G$10:G$1615,Пр.10!$D$10:$D$1615,C176)</f>
        <v>59356000</v>
      </c>
      <c r="E176" s="658">
        <f>SUMIFS(Пр.10!H$10:H$1615,Пр.10!$D$10:$D$1615,C176)</f>
        <v>0</v>
      </c>
      <c r="F176" s="664">
        <f>SUMIFS(Пр.10!I$10:I$1615,Пр.10!$D$10:$D$1615,C176)</f>
        <v>59356000</v>
      </c>
    </row>
    <row r="177" spans="1:6" ht="48" thickBot="1" x14ac:dyDescent="0.25">
      <c r="A177" s="167"/>
      <c r="B177" s="453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402" t="s">
        <v>1416</v>
      </c>
      <c r="D177" s="437">
        <f>SUMIFS(Пр.10!G$10:G$1615,Пр.10!$D$10:$D$1615,C177)</f>
        <v>5131090</v>
      </c>
      <c r="E177" s="438">
        <f>SUMIFS(Пр.10!H$10:H$1615,Пр.10!$D$10:$D$1615,C177)</f>
        <v>0</v>
      </c>
      <c r="F177" s="612">
        <f>SUMIFS(Пр.10!I$10:I$1615,Пр.10!$D$10:$D$1615,C177)</f>
        <v>5131090</v>
      </c>
    </row>
    <row r="178" spans="1:6" ht="32.25" thickBot="1" x14ac:dyDescent="0.3">
      <c r="A178" s="167"/>
      <c r="B178" s="666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78" t="s">
        <v>1418</v>
      </c>
      <c r="D178" s="667">
        <f>SUMIFS(Пр.10!G$10:G$1615,Пр.10!$D$10:$D$1615,C178)</f>
        <v>5131090</v>
      </c>
      <c r="E178" s="668">
        <f>SUMIFS(Пр.10!H$10:H$1615,Пр.10!$D$10:$D$1615,C178)</f>
        <v>0</v>
      </c>
      <c r="F178" s="665">
        <f>SUMIFS(Пр.10!I$10:I$1615,Пр.10!$D$10:$D$1615,C178)</f>
        <v>5131090</v>
      </c>
    </row>
    <row r="179" spans="1:6" s="152" customFormat="1" ht="48" hidden="1" thickBot="1" x14ac:dyDescent="0.25">
      <c r="A179" s="161"/>
      <c r="B179" s="453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402" t="s">
        <v>1460</v>
      </c>
      <c r="D179" s="437">
        <f>SUMIFS(Пр.10!G$10:G$1615,Пр.10!$D$10:$D$1615,C179)</f>
        <v>0</v>
      </c>
      <c r="E179" s="437">
        <f>SUMIFS(Пр.10!H$10:H$1615,Пр.10!$D$10:$D$1615,C179)</f>
        <v>0</v>
      </c>
      <c r="F179" s="612">
        <f>SUMIFS(Пр.10!I$10:I$1615,Пр.10!$D$10:$D$1615,C179)</f>
        <v>0</v>
      </c>
    </row>
    <row r="180" spans="1:6" ht="32.25" hidden="1" thickBot="1" x14ac:dyDescent="0.3">
      <c r="A180" s="167"/>
      <c r="B180" s="860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78" t="s">
        <v>1461</v>
      </c>
      <c r="D180" s="667">
        <f>SUMIFS(Пр.10!G$10:G$1615,Пр.10!$D$10:$D$1615,C180)</f>
        <v>0</v>
      </c>
      <c r="E180" s="667">
        <f>SUMIFS(Пр.10!H$10:H$1615,Пр.10!$D$10:$D$1615,C180)</f>
        <v>0</v>
      </c>
      <c r="F180" s="665">
        <f>SUMIFS(Пр.10!I$10:I$1615,Пр.10!$D$10:$D$1615,C180)</f>
        <v>0</v>
      </c>
    </row>
    <row r="181" spans="1:6" ht="48" thickBot="1" x14ac:dyDescent="0.3">
      <c r="A181" s="167"/>
      <c r="B181" s="856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864" t="s">
        <v>1675</v>
      </c>
      <c r="D181" s="865">
        <f>SUMIFS(Пр.10!G$10:G$1615,Пр.10!$D$10:$D$1615,C181)</f>
        <v>254590</v>
      </c>
      <c r="E181" s="865">
        <f>SUMIFS(Пр.10!H$10:H$1615,Пр.10!$D$10:$D$1615,C181)</f>
        <v>0</v>
      </c>
      <c r="F181" s="906">
        <f>SUMIFS(Пр.10!I$10:I$1615,Пр.10!$D$10:$D$1615,C181)</f>
        <v>254590</v>
      </c>
    </row>
    <row r="182" spans="1:6" ht="32.25" thickBot="1" x14ac:dyDescent="0.3">
      <c r="A182" s="167"/>
      <c r="B182" s="861" t="str">
        <f>IF(C182&gt;0,VLOOKUP(C182,Программа!A$2:B$5124,2))</f>
        <v>Стимулирование развития сельскохозяйственного производства</v>
      </c>
      <c r="C182" s="862" t="s">
        <v>1676</v>
      </c>
      <c r="D182" s="863">
        <f>SUMIFS(Пр.10!G$10:G$1615,Пр.10!$D$10:$D$1615,C182)</f>
        <v>250000</v>
      </c>
      <c r="E182" s="863">
        <f>SUMIFS(Пр.10!H$10:H$1615,Пр.10!$D$10:$D$1615,C182)</f>
        <v>0</v>
      </c>
      <c r="F182" s="661">
        <f>SUMIFS(Пр.10!I$10:I$1615,Пр.10!$D$10:$D$1615,C182)</f>
        <v>250000</v>
      </c>
    </row>
    <row r="183" spans="1:6" ht="48" thickBot="1" x14ac:dyDescent="0.3">
      <c r="A183" s="167"/>
      <c r="B183" s="866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867" t="s">
        <v>1677</v>
      </c>
      <c r="D183" s="868">
        <f>SUMIFS(Пр.10!G$10:G$1615,Пр.10!$D$10:$D$1615,C183)</f>
        <v>4590</v>
      </c>
      <c r="E183" s="868">
        <f>SUMIFS(Пр.10!H$10:H$1615,Пр.10!$D$10:$D$1615,C183)</f>
        <v>0</v>
      </c>
      <c r="F183" s="663">
        <f>SUMIFS(Пр.10!I$10:I$1615,Пр.10!$D$10:$D$1615,C183)</f>
        <v>4590</v>
      </c>
    </row>
    <row r="184" spans="1:6" ht="32.25" thickBot="1" x14ac:dyDescent="0.3">
      <c r="A184" s="167"/>
      <c r="B184" s="856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864" t="s">
        <v>1694</v>
      </c>
      <c r="D184" s="865">
        <f>SUMIFS(Пр.10!G$10:G$1615,Пр.10!$D$10:$D$1615,C184)</f>
        <v>326196</v>
      </c>
      <c r="E184" s="865">
        <f>SUMIFS(Пр.10!H$10:H$1615,Пр.10!$D$10:$D$1615,C184)</f>
        <v>0</v>
      </c>
      <c r="F184" s="906">
        <f>SUMIFS(Пр.10!I$10:I$1615,Пр.10!$D$10:$D$1615,C184)</f>
        <v>326196</v>
      </c>
    </row>
    <row r="185" spans="1:6" ht="51.75" customHeight="1" thickBot="1" x14ac:dyDescent="0.3">
      <c r="A185" s="167"/>
      <c r="B185" s="861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862" t="s">
        <v>1695</v>
      </c>
      <c r="D185" s="863">
        <f>SUMIFS(Пр.10!G$10:G$1615,Пр.10!$D$10:$D$1615,C185)</f>
        <v>326196</v>
      </c>
      <c r="E185" s="863">
        <f>SUMIFS(Пр.10!H$10:H$1615,Пр.10!$D$10:$D$1615,C185)</f>
        <v>0</v>
      </c>
      <c r="F185" s="661">
        <f>SUMIFS(Пр.10!I$10:I$1615,Пр.10!$D$10:$D$1615,C185)</f>
        <v>326196</v>
      </c>
    </row>
    <row r="186" spans="1:6" s="152" customFormat="1" ht="16.5" thickBot="1" x14ac:dyDescent="0.25">
      <c r="A186" s="161"/>
      <c r="B186" s="540" t="s">
        <v>129</v>
      </c>
      <c r="C186" s="869"/>
      <c r="D186" s="438">
        <f t="shared" ref="D186:E186" si="1">D147+D135+D127+D124+D121+D118+D115+D112+D107+D95+D85+D80+D78+D62+D60+D48+D27+D10+D149+D152+D155+D159+D164+D166+D169+D172+D179+D177+D184+D181</f>
        <v>2536298379</v>
      </c>
      <c r="E186" s="438">
        <f t="shared" si="1"/>
        <v>40663750</v>
      </c>
      <c r="F186" s="438">
        <f>F147+F135+F127+F124+F121+F118+F115+F112+F107+F95+F85+F80+F78+F62+F60+F48+F27+F10+F149+F152+F155+F159+F164+F166+F169+F172+F179+F177+F184+F181</f>
        <v>2576962129</v>
      </c>
    </row>
    <row r="187" spans="1:6" ht="16.5" thickBot="1" x14ac:dyDescent="0.25">
      <c r="A187" s="166" t="s">
        <v>655</v>
      </c>
      <c r="B187" s="619" t="str">
        <f>IF(C187&gt;0,VLOOKUP(C187,Программа!A$2:B$5124,2))</f>
        <v>Непрограммные расходы бюджета</v>
      </c>
      <c r="C187" s="620" t="s">
        <v>311</v>
      </c>
      <c r="D187" s="621">
        <f>SUMIFS(Пр.10!G$10:G$1615,Пр.10!$D$10:$D$1615,C187)</f>
        <v>182710672.03</v>
      </c>
      <c r="E187" s="622">
        <f>SUMIFS(Пр.10!H$10:H$1615,Пр.10!$D$10:$D$1615,C187)</f>
        <v>9021072.5999999996</v>
      </c>
      <c r="F187" s="623">
        <f>SUMIFS(Пр.10!I$10:I$1615,Пр.10!$D$10:$D$1615,C187)</f>
        <v>191731744.63</v>
      </c>
    </row>
    <row r="188" spans="1:6" ht="16.5" hidden="1" thickBot="1" x14ac:dyDescent="0.25">
      <c r="A188" s="166"/>
      <c r="B188" s="619" t="str">
        <f>IF(C188&gt;0,VLOOKUP(C188,Программа!A$2:B$5124,2))</f>
        <v>Непрограммные расходы бюджета</v>
      </c>
      <c r="C188" s="748" t="s">
        <v>1530</v>
      </c>
      <c r="D188" s="621">
        <f>SUMIFS(Пр.10!G$10:G$1615,Пр.10!$D$10:$D$1615,C188)</f>
        <v>0</v>
      </c>
      <c r="E188" s="622">
        <f>SUMIFS(Пр.10!H$10:H$1615,Пр.10!$D$10:$D$1615,C188)</f>
        <v>0</v>
      </c>
      <c r="F188" s="623">
        <f>SUMIFS(Пр.10!I$10:I$1615,Пр.10!$D$10:$D$1615,C188)</f>
        <v>0</v>
      </c>
    </row>
    <row r="189" spans="1:6" ht="16.5" thickBot="1" x14ac:dyDescent="0.25">
      <c r="A189" s="166" t="s">
        <v>656</v>
      </c>
      <c r="B189" s="624" t="str">
        <f>IF(C189&gt;0,VLOOKUP(C189,Программа!A$2:B$5124,2))</f>
        <v>Межбюджетные трансферты  поселениям района</v>
      </c>
      <c r="C189" s="625" t="s">
        <v>478</v>
      </c>
      <c r="D189" s="626">
        <f>SUMIFS(Пр.10!G$10:G$1615,Пр.10!$D$10:$D$1615,C189)</f>
        <v>510708</v>
      </c>
      <c r="E189" s="450">
        <f>SUMIFS(Пр.10!H$10:H$1615,Пр.10!$D$10:$D$1615,C189)</f>
        <v>287330.40000000002</v>
      </c>
      <c r="F189" s="627">
        <f>SUMIFS(Пр.10!I$10:I$1615,Пр.10!$D$10:$D$1615,C189)</f>
        <v>798038.4</v>
      </c>
    </row>
    <row r="190" spans="1:6" s="152" customFormat="1" ht="16.5" thickBot="1" x14ac:dyDescent="0.25">
      <c r="A190" s="362"/>
      <c r="B190" s="605" t="s">
        <v>657</v>
      </c>
      <c r="C190" s="618"/>
      <c r="D190" s="606">
        <f>D186+D187+D189+D188</f>
        <v>2719519759.0300002</v>
      </c>
      <c r="E190" s="606">
        <f t="shared" ref="E190" si="2">E186+E187+E189+E188</f>
        <v>49972153</v>
      </c>
      <c r="F190" s="606">
        <f>F186+F187+F189+F188</f>
        <v>2769491912.0300002</v>
      </c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  <row r="256" spans="3:3" x14ac:dyDescent="0.2">
      <c r="C256" s="154"/>
    </row>
    <row r="257" spans="3:3" x14ac:dyDescent="0.2">
      <c r="C257" s="154"/>
    </row>
    <row r="258" spans="3:3" x14ac:dyDescent="0.2">
      <c r="C258" s="154"/>
    </row>
    <row r="259" spans="3:3" x14ac:dyDescent="0.2">
      <c r="C259" s="154"/>
    </row>
    <row r="260" spans="3:3" x14ac:dyDescent="0.2">
      <c r="C260" s="154"/>
    </row>
    <row r="261" spans="3:3" x14ac:dyDescent="0.2">
      <c r="C261" s="154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showGridLines="0" tabSelected="1" view="pageBreakPreview" topLeftCell="B1" zoomScale="115" zoomScaleSheetLayoutView="115" workbookViewId="0">
      <selection activeCell="F5" sqref="F5"/>
    </sheetView>
  </sheetViews>
  <sheetFormatPr defaultColWidth="9.140625" defaultRowHeight="15.75" x14ac:dyDescent="0.2"/>
  <cols>
    <col min="1" max="1" width="92.28515625" style="410" hidden="1" customWidth="1"/>
    <col min="2" max="2" width="55.85546875" style="410" customWidth="1"/>
    <col min="3" max="3" width="13.140625" style="410" customWidth="1"/>
    <col min="4" max="4" width="16.42578125" style="410" hidden="1" customWidth="1"/>
    <col min="5" max="5" width="15.5703125" style="410" hidden="1" customWidth="1"/>
    <col min="6" max="6" width="16.5703125" style="410" customWidth="1"/>
    <col min="7" max="7" width="17.5703125" style="410" hidden="1" customWidth="1"/>
    <col min="8" max="8" width="21" style="410" hidden="1" customWidth="1"/>
    <col min="9" max="9" width="16.5703125" style="410" customWidth="1"/>
    <col min="10" max="16384" width="9.140625" style="410"/>
  </cols>
  <sheetData>
    <row r="1" spans="1:10" x14ac:dyDescent="0.2">
      <c r="B1" s="1017" t="s">
        <v>1537</v>
      </c>
      <c r="C1" s="1017"/>
      <c r="D1" s="1018"/>
      <c r="E1" s="1018"/>
      <c r="F1" s="1017"/>
      <c r="G1" s="1018"/>
      <c r="H1" s="1018"/>
      <c r="I1" s="1017"/>
      <c r="J1" s="411"/>
    </row>
    <row r="2" spans="1:10" x14ac:dyDescent="0.2">
      <c r="B2" s="1017" t="s">
        <v>1</v>
      </c>
      <c r="C2" s="1017"/>
      <c r="D2" s="1018"/>
      <c r="E2" s="1018"/>
      <c r="F2" s="1017"/>
      <c r="G2" s="1018"/>
      <c r="H2" s="1018"/>
      <c r="I2" s="1017"/>
      <c r="J2" s="411"/>
    </row>
    <row r="3" spans="1:10" x14ac:dyDescent="0.2">
      <c r="B3" s="1017" t="s">
        <v>2</v>
      </c>
      <c r="C3" s="1017"/>
      <c r="D3" s="1018"/>
      <c r="E3" s="1018"/>
      <c r="F3" s="1017"/>
      <c r="G3" s="1018"/>
      <c r="H3" s="1018"/>
      <c r="I3" s="1017"/>
      <c r="J3" s="411"/>
    </row>
    <row r="4" spans="1:10" x14ac:dyDescent="0.2">
      <c r="B4" s="1017" t="s">
        <v>1790</v>
      </c>
      <c r="C4" s="1017"/>
      <c r="D4" s="1018"/>
      <c r="E4" s="1018"/>
      <c r="F4" s="1017"/>
      <c r="G4" s="1018"/>
      <c r="H4" s="1018"/>
      <c r="I4" s="1017"/>
      <c r="J4" s="411"/>
    </row>
    <row r="5" spans="1:10" x14ac:dyDescent="0.2">
      <c r="B5" s="468"/>
      <c r="C5" s="488"/>
      <c r="D5" s="401"/>
      <c r="E5" s="401"/>
      <c r="F5" s="488"/>
      <c r="G5" s="401"/>
      <c r="H5" s="401"/>
      <c r="I5" s="488"/>
      <c r="J5" s="401"/>
    </row>
    <row r="6" spans="1:10" ht="37.5" customHeight="1" x14ac:dyDescent="0.2">
      <c r="B6" s="1019" t="s">
        <v>1636</v>
      </c>
      <c r="C6" s="1019"/>
      <c r="D6" s="924"/>
      <c r="E6" s="924"/>
      <c r="F6" s="1019"/>
      <c r="G6" s="924"/>
      <c r="H6" s="924"/>
      <c r="I6" s="1019"/>
    </row>
    <row r="7" spans="1:10" ht="16.5" thickBot="1" x14ac:dyDescent="0.25">
      <c r="A7" s="155"/>
      <c r="B7" s="468"/>
      <c r="C7" s="468"/>
      <c r="D7" s="155"/>
      <c r="E7" s="1022"/>
      <c r="F7" s="1022"/>
      <c r="G7" s="1022"/>
      <c r="H7" s="1022"/>
      <c r="I7" s="1022"/>
    </row>
    <row r="8" spans="1:10" ht="16.5" thickBot="1" x14ac:dyDescent="0.25">
      <c r="A8" s="1015" t="s">
        <v>571</v>
      </c>
      <c r="B8" s="1007" t="s">
        <v>572</v>
      </c>
      <c r="C8" s="1002" t="s">
        <v>573</v>
      </c>
      <c r="D8" s="1004" t="s">
        <v>1171</v>
      </c>
      <c r="E8" s="1013" t="s">
        <v>658</v>
      </c>
      <c r="F8" s="1020" t="s">
        <v>1543</v>
      </c>
      <c r="G8" s="1004" t="s">
        <v>1388</v>
      </c>
      <c r="H8" s="1013" t="s">
        <v>658</v>
      </c>
      <c r="I8" s="1020" t="s">
        <v>1637</v>
      </c>
    </row>
    <row r="9" spans="1:10" ht="16.5" thickBot="1" x14ac:dyDescent="0.25">
      <c r="A9" s="1015"/>
      <c r="B9" s="1008"/>
      <c r="C9" s="1016"/>
      <c r="D9" s="1005"/>
      <c r="E9" s="1014"/>
      <c r="F9" s="1021"/>
      <c r="G9" s="1005"/>
      <c r="H9" s="1014"/>
      <c r="I9" s="1021"/>
    </row>
    <row r="10" spans="1:10" s="413" customFormat="1" ht="48" thickBot="1" x14ac:dyDescent="0.25">
      <c r="A10" s="412" t="s">
        <v>575</v>
      </c>
      <c r="B10" s="453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629" t="s">
        <v>396</v>
      </c>
      <c r="D10" s="612">
        <f>SUMIFS(Пр11!G$10:G$1493,Пр11!$D$10:$D$1493,C10)</f>
        <v>144027391</v>
      </c>
      <c r="E10" s="563">
        <f>SUMIFS(Пр11!H$10:H$1493,Пр11!$D$10:$D$1493,C10)</f>
        <v>0</v>
      </c>
      <c r="F10" s="485">
        <f>SUMIFS(Пр11!I$10:I$1493,Пр11!$D$10:$D$1493,C10)</f>
        <v>144027391</v>
      </c>
      <c r="G10" s="612">
        <f>SUMIFS(Пр11!J$10:J$1493,Пр11!$D$10:$D$1493,C10)</f>
        <v>113002391</v>
      </c>
      <c r="H10" s="563">
        <f>SUMIFS(Пр11!K$10:K$1493,Пр11!$D$10:$D$1493,C10)</f>
        <v>0</v>
      </c>
      <c r="I10" s="485">
        <f>SUMIFS(Пр11!L$10:L$1493,Пр11!$D$10:$D$1493,C10)</f>
        <v>113002391</v>
      </c>
    </row>
    <row r="11" spans="1:10" ht="16.5" thickBot="1" x14ac:dyDescent="0.3">
      <c r="A11" s="414" t="s">
        <v>659</v>
      </c>
      <c r="B11" s="813" t="str">
        <f>IF(C11&gt;0,VLOOKUP(C11,Программа!A$2:B$5124,2))</f>
        <v>Ведомственная целевая программа «Молодежь»</v>
      </c>
      <c r="C11" s="818" t="s">
        <v>499</v>
      </c>
      <c r="D11" s="673">
        <f>SUMIFS(Пр11!G$10:G$1493,Пр11!$D$10:$D$1493,C11)</f>
        <v>8000000</v>
      </c>
      <c r="E11" s="647">
        <f>SUMIFS(Пр11!H$10:H$1493,Пр11!$D$10:$D$1493,C11)</f>
        <v>0</v>
      </c>
      <c r="F11" s="647">
        <f>SUMIFS(Пр11!I$10:I$1493,Пр11!$D$10:$D$1493,C11)</f>
        <v>8000000</v>
      </c>
      <c r="G11" s="673">
        <f>SUMIFS(Пр11!J$10:J$1493,Пр11!$D$10:$D$1493,C11)</f>
        <v>5644928</v>
      </c>
      <c r="H11" s="647">
        <f>SUMIFS(Пр11!K$10:K$1493,Пр11!$D$10:$D$1493,C11)</f>
        <v>0</v>
      </c>
      <c r="I11" s="647">
        <f>SUMIFS(Пр11!L$10:L$1493,Пр11!$D$10:$D$1493,C11)</f>
        <v>5644928</v>
      </c>
    </row>
    <row r="12" spans="1:10" ht="48" thickBot="1" x14ac:dyDescent="0.3">
      <c r="A12" s="414"/>
      <c r="B12" s="233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501</v>
      </c>
      <c r="D12" s="652">
        <f>SUMIFS(Пр11!G$10:G$1493,Пр11!$D$10:$D$1493,C12)</f>
        <v>8000000</v>
      </c>
      <c r="E12" s="157">
        <f>SUMIFS(Пр11!H$10:H$1493,Пр11!$D$10:$D$1493,C12)</f>
        <v>0</v>
      </c>
      <c r="F12" s="157">
        <f>SUMIFS(Пр11!I$10:I$1493,Пр11!$D$10:$D$1493,C12)</f>
        <v>8000000</v>
      </c>
      <c r="G12" s="652">
        <f>SUMIFS(Пр11!J$10:J$1493,Пр11!$D$10:$D$1493,C12)</f>
        <v>5644928</v>
      </c>
      <c r="H12" s="157">
        <f>SUMIFS(Пр11!K$10:K$1493,Пр11!$D$10:$D$1493,C12)</f>
        <v>0</v>
      </c>
      <c r="I12" s="157">
        <f>SUMIFS(Пр11!L$10:L$1493,Пр11!$D$10:$D$1493,C12)</f>
        <v>5644928</v>
      </c>
    </row>
    <row r="13" spans="1:10" ht="32.25" hidden="1" thickBot="1" x14ac:dyDescent="0.25">
      <c r="A13" s="414"/>
      <c r="B13" s="473" t="str">
        <f>IF(C13&gt;0,VLOOKUP(C13,Программа!A$2:B$5124,2))</f>
        <v>Обеспечение качества и доступности услуг(работ) в сфере молодежной политики</v>
      </c>
      <c r="C13" s="475" t="s">
        <v>1091</v>
      </c>
      <c r="D13" s="425">
        <f>SUMIFS(Пр11!G$10:G$1493,Пр11!$D$10:$D$1493,C13)</f>
        <v>0</v>
      </c>
      <c r="E13" s="425">
        <f>SUMIFS(Пр11!H$10:H$1493,Пр11!$D$10:$D$1493,C13)</f>
        <v>0</v>
      </c>
      <c r="F13" s="476">
        <f>SUMIFS(Пр11!I$10:I$1493,Пр11!$D$10:$D$1493,C13)</f>
        <v>0</v>
      </c>
      <c r="G13" s="476">
        <f>SUMIFS(Пр11!J$10:J$1493,Пр11!$D$10:$D$1493,C13)</f>
        <v>0</v>
      </c>
      <c r="H13" s="476">
        <f>SUMIFS(Пр11!K$10:K$1493,Пр11!$D$10:$D$1493,C13)</f>
        <v>0</v>
      </c>
      <c r="I13" s="477">
        <f>SUMIFS(Пр11!L$10:L$1493,Пр11!$D$10:$D$1493,C13)</f>
        <v>0</v>
      </c>
    </row>
    <row r="14" spans="1:10" ht="63.75" thickBot="1" x14ac:dyDescent="0.25">
      <c r="A14" s="414"/>
      <c r="B14" s="461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398</v>
      </c>
      <c r="D14" s="631">
        <f>SUMIFS(Пр11!G$10:G$1493,Пр11!$D$10:$D$1493,C14)</f>
        <v>320000</v>
      </c>
      <c r="E14" s="614">
        <f>SUMIFS(Пр11!H$10:H$1493,Пр11!$D$10:$D$1493,C14)</f>
        <v>0</v>
      </c>
      <c r="F14" s="164">
        <f>SUMIFS(Пр11!I$10:I$1493,Пр11!$D$10:$D$1493,C14)</f>
        <v>320000</v>
      </c>
      <c r="G14" s="631">
        <f>SUMIFS(Пр11!J$10:J$1493,Пр11!$D$10:$D$1493,C14)</f>
        <v>340000</v>
      </c>
      <c r="H14" s="164">
        <f>SUMIFS(Пр11!K$10:K$1493,Пр11!$D$10:$D$1493,C14)</f>
        <v>0</v>
      </c>
      <c r="I14" s="164">
        <f>SUMIFS(Пр11!L$10:L$1493,Пр11!$D$10:$D$1493,C14)</f>
        <v>340000</v>
      </c>
    </row>
    <row r="15" spans="1:10" ht="63.75" thickBot="1" x14ac:dyDescent="0.25">
      <c r="A15" s="419" t="s">
        <v>78</v>
      </c>
      <c r="B15" s="462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3" t="s">
        <v>400</v>
      </c>
      <c r="D15" s="630">
        <f>SUMIFS(Пр11!G$10:G$1493,Пр11!$D$10:$D$1493,C15)</f>
        <v>320000</v>
      </c>
      <c r="E15" s="164">
        <f>SUMIFS(Пр11!H$10:H$1493,Пр11!$D$10:$D$1493,C15)</f>
        <v>0</v>
      </c>
      <c r="F15" s="164">
        <f>SUMIFS(Пр11!I$10:I$1493,Пр11!$D$10:$D$1493,C15)</f>
        <v>320000</v>
      </c>
      <c r="G15" s="630">
        <f>SUMIFS(Пр11!J$10:J$1493,Пр11!$D$10:$D$1493,C15)</f>
        <v>340000</v>
      </c>
      <c r="H15" s="164">
        <f>SUMIFS(Пр11!K$10:K$1493,Пр11!$D$10:$D$1493,C15)</f>
        <v>0</v>
      </c>
      <c r="I15" s="164">
        <f>SUMIFS(Пр11!L$10:L$1493,Пр11!$D$10:$D$1493,C15)</f>
        <v>340000</v>
      </c>
    </row>
    <row r="16" spans="1:10" ht="48" hidden="1" thickBot="1" x14ac:dyDescent="0.25">
      <c r="A16" s="419" t="s">
        <v>578</v>
      </c>
      <c r="B16" s="454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403</v>
      </c>
      <c r="D16" s="415">
        <f>SUMIFS(Пр11!G$10:G$1493,Пр11!$D$10:$D$1493,C16)</f>
        <v>0</v>
      </c>
      <c r="E16" s="415">
        <f>SUMIFS(Пр11!H$10:H$1493,Пр11!$D$10:$D$1493,C16)</f>
        <v>0</v>
      </c>
      <c r="F16" s="442">
        <f>SUMIFS(Пр11!I$10:I$1493,Пр11!$D$10:$D$1493,C16)</f>
        <v>0</v>
      </c>
      <c r="G16" s="442">
        <f>SUMIFS(Пр11!J$10:J$1493,Пр11!$D$10:$D$1493,C16)</f>
        <v>0</v>
      </c>
      <c r="H16" s="442">
        <f>SUMIFS(Пр11!K$10:K$1493,Пр11!$D$10:$D$1493,C16)</f>
        <v>0</v>
      </c>
      <c r="I16" s="443">
        <f>SUMIFS(Пр11!L$10:L$1493,Пр11!$D$10:$D$1493,C16)</f>
        <v>0</v>
      </c>
    </row>
    <row r="17" spans="1:9" ht="32.25" hidden="1" thickBot="1" x14ac:dyDescent="0.25">
      <c r="A17" s="419" t="s">
        <v>579</v>
      </c>
      <c r="B17" s="460" t="str">
        <f>IF(C17&gt;0,VLOOKUP(C17,Программа!A$2:B$5124,2))</f>
        <v>Развитие системы профилактики немедицинского потребления наркотиков</v>
      </c>
      <c r="C17" s="169" t="s">
        <v>405</v>
      </c>
      <c r="D17" s="424">
        <f>SUMIFS(Пр11!G$10:G$1493,Пр11!$D$10:$D$1493,C17)</f>
        <v>0</v>
      </c>
      <c r="E17" s="424">
        <f>SUMIFS(Пр11!H$10:H$1493,Пр11!$D$10:$D$1493,C17)</f>
        <v>0</v>
      </c>
      <c r="F17" s="444">
        <f>SUMIFS(Пр11!I$10:I$1493,Пр11!$D$10:$D$1493,C17)</f>
        <v>0</v>
      </c>
      <c r="G17" s="444">
        <f>SUMIFS(Пр11!J$10:J$1493,Пр11!$D$10:$D$1493,C17)</f>
        <v>0</v>
      </c>
      <c r="H17" s="444">
        <f>SUMIFS(Пр11!K$10:K$1493,Пр11!$D$10:$D$1493,C17)</f>
        <v>0</v>
      </c>
      <c r="I17" s="445">
        <f>SUMIFS(Пр11!L$10:L$1493,Пр11!$D$10:$D$1493,C17)</f>
        <v>0</v>
      </c>
    </row>
    <row r="18" spans="1:9" s="421" customFormat="1" ht="48" thickBot="1" x14ac:dyDescent="0.3">
      <c r="A18" s="420"/>
      <c r="B18" s="808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670" t="s">
        <v>494</v>
      </c>
      <c r="D18" s="671">
        <f>SUMIFS(Пр11!G$10:G$1493,Пр11!$D$10:$D$1493,C18)</f>
        <v>135707391</v>
      </c>
      <c r="E18" s="654">
        <f>SUMIFS(Пр11!H$10:H$1493,Пр11!$D$10:$D$1493,C18)</f>
        <v>0</v>
      </c>
      <c r="F18" s="654">
        <f>SUMIFS(Пр11!I$10:I$1493,Пр11!$D$10:$D$1493,C18)</f>
        <v>135707391</v>
      </c>
      <c r="G18" s="671">
        <f>SUMIFS(Пр11!J$10:J$1493,Пр11!$D$10:$D$1493,C18)</f>
        <v>107017463</v>
      </c>
      <c r="H18" s="654">
        <f>SUMIFS(Пр11!K$10:K$1493,Пр11!$D$10:$D$1493,C18)</f>
        <v>0</v>
      </c>
      <c r="I18" s="654">
        <f>SUMIFS(Пр11!L$10:L$1493,Пр11!$D$10:$D$1493,C18)</f>
        <v>107017463</v>
      </c>
    </row>
    <row r="19" spans="1:9" ht="32.25" thickBot="1" x14ac:dyDescent="0.3">
      <c r="A19" s="419"/>
      <c r="B19" s="233" t="str">
        <f>IF(C19&gt;0,VLOOKUP(C19,Программа!A$2:B$5124,2))</f>
        <v>Реализация дополнительных образовательных программ в сфере культуры</v>
      </c>
      <c r="C19" s="232" t="s">
        <v>496</v>
      </c>
      <c r="D19" s="652">
        <f>SUMIFS(Пр11!G$10:G$1493,Пр11!$D$10:$D$1493,C19)</f>
        <v>23318609</v>
      </c>
      <c r="E19" s="157">
        <f>SUMIFS(Пр11!H$10:H$1493,Пр11!$D$10:$D$1493,C19)</f>
        <v>0</v>
      </c>
      <c r="F19" s="157">
        <f>SUMIFS(Пр11!I$10:I$1493,Пр11!$D$10:$D$1493,C19)</f>
        <v>23318609</v>
      </c>
      <c r="G19" s="652">
        <f>SUMIFS(Пр11!J$10:J$1493,Пр11!$D$10:$D$1493,C19)</f>
        <v>20716221</v>
      </c>
      <c r="H19" s="157">
        <f>SUMIFS(Пр11!K$10:K$1493,Пр11!$D$10:$D$1493,C19)</f>
        <v>0</v>
      </c>
      <c r="I19" s="157">
        <f>SUMIFS(Пр11!L$10:L$1493,Пр11!$D$10:$D$1493,C19)</f>
        <v>20716221</v>
      </c>
    </row>
    <row r="20" spans="1:9" ht="16.5" thickBot="1" x14ac:dyDescent="0.3">
      <c r="A20" s="419"/>
      <c r="B20" s="233" t="str">
        <f>IF(C20&gt;0,VLOOKUP(C20,Программа!A$2:B$5124,2))</f>
        <v>Содействие доступу граждан к культурным ценностям</v>
      </c>
      <c r="C20" s="232" t="s">
        <v>512</v>
      </c>
      <c r="D20" s="652">
        <f>SUMIFS(Пр11!G$10:G$1493,Пр11!$D$10:$D$1493,C20)</f>
        <v>73077200</v>
      </c>
      <c r="E20" s="157">
        <f>SUMIFS(Пр11!H$10:H$1493,Пр11!$D$10:$D$1493,C20)</f>
        <v>0</v>
      </c>
      <c r="F20" s="157">
        <f>SUMIFS(Пр11!I$10:I$1493,Пр11!$D$10:$D$1493,C20)</f>
        <v>73077200</v>
      </c>
      <c r="G20" s="652">
        <f>SUMIFS(Пр11!J$10:J$1493,Пр11!$D$10:$D$1493,C20)</f>
        <v>62874077</v>
      </c>
      <c r="H20" s="157">
        <f>SUMIFS(Пр11!K$10:K$1493,Пр11!$D$10:$D$1493,C20)</f>
        <v>0</v>
      </c>
      <c r="I20" s="157">
        <f>SUMIFS(Пр11!L$10:L$1493,Пр11!$D$10:$D$1493,C20)</f>
        <v>62874077</v>
      </c>
    </row>
    <row r="21" spans="1:9" ht="32.25" thickBot="1" x14ac:dyDescent="0.3">
      <c r="A21" s="419" t="s">
        <v>582</v>
      </c>
      <c r="B21" s="233" t="str">
        <f>IF(C21&gt;0,VLOOKUP(C21,Программа!A$2:B$5124,2))</f>
        <v>Поддержка доступа граждан к информационно-библиотечным ресурсам</v>
      </c>
      <c r="C21" s="232" t="s">
        <v>517</v>
      </c>
      <c r="D21" s="652">
        <f>SUMIFS(Пр11!G$10:G$1493,Пр11!$D$10:$D$1493,C21)</f>
        <v>22011582</v>
      </c>
      <c r="E21" s="157">
        <f>SUMIFS(Пр11!H$10:H$1493,Пр11!$D$10:$D$1493,C21)</f>
        <v>0</v>
      </c>
      <c r="F21" s="157">
        <f>SUMIFS(Пр11!I$10:I$1493,Пр11!$D$10:$D$1493,C21)</f>
        <v>22011582</v>
      </c>
      <c r="G21" s="652">
        <f>SUMIFS(Пр11!J$10:J$1493,Пр11!$D$10:$D$1493,C21)</f>
        <v>23427165</v>
      </c>
      <c r="H21" s="157">
        <f>SUMIFS(Пр11!K$10:K$1493,Пр11!$D$10:$D$1493,C21)</f>
        <v>0</v>
      </c>
      <c r="I21" s="157">
        <f>SUMIFS(Пр11!L$10:L$1493,Пр11!$D$10:$D$1493,C21)</f>
        <v>23427165</v>
      </c>
    </row>
    <row r="22" spans="1:9" ht="32.25" thickBot="1" x14ac:dyDescent="0.3">
      <c r="A22" s="419" t="s">
        <v>583</v>
      </c>
      <c r="B22" s="233" t="str">
        <f>IF(C22&gt;0,VLOOKUP(C22,Программа!A$2:B$5124,2))</f>
        <v>Обеспечение эффективности управления системой культуры</v>
      </c>
      <c r="C22" s="232" t="s">
        <v>520</v>
      </c>
      <c r="D22" s="649">
        <f>SUMIFS(Пр11!G$10:G$1493,Пр11!$D$10:$D$1493,C22)</f>
        <v>12300000</v>
      </c>
      <c r="E22" s="157">
        <f>SUMIFS(Пр11!H$10:H$1493,Пр11!$D$10:$D$1493,C22)</f>
        <v>0</v>
      </c>
      <c r="F22" s="157">
        <f>SUMIFS(Пр11!I$10:I$1493,Пр11!$D$10:$D$1493,C22)</f>
        <v>12300000</v>
      </c>
      <c r="G22" s="649">
        <f>SUMIFS(Пр11!J$10:J$1493,Пр11!$D$10:$D$1493,C22)</f>
        <v>0</v>
      </c>
      <c r="H22" s="661">
        <f>SUMIFS(Пр11!K$10:K$1493,Пр11!$D$10:$D$1493,C22)</f>
        <v>0</v>
      </c>
      <c r="I22" s="157">
        <f>SUMIFS(Пр11!L$10:L$1493,Пр11!$D$10:$D$1493,C22)</f>
        <v>0</v>
      </c>
    </row>
    <row r="23" spans="1:9" ht="16.5" thickBot="1" x14ac:dyDescent="0.3">
      <c r="A23" s="419"/>
      <c r="B23" s="233" t="str">
        <f>IF(C23&gt;0,VLOOKUP(C23,Программа!A$2:B$5124,2))</f>
        <v>Федеральный проект "Культурная среда"</v>
      </c>
      <c r="C23" s="232" t="s">
        <v>1570</v>
      </c>
      <c r="D23" s="652">
        <f>SUMIFS(Пр11!G$10:G$1493,Пр11!$D$10:$D$1493,C23)</f>
        <v>5000000</v>
      </c>
      <c r="E23" s="157">
        <f>SUMIFS(Пр11!H$10:H$1493,Пр11!$D$10:$D$1493,C23)</f>
        <v>0</v>
      </c>
      <c r="F23" s="157">
        <f>SUMIFS(Пр11!I$10:I$1493,Пр11!$D$10:$D$1493,C23)</f>
        <v>5000000</v>
      </c>
      <c r="G23" s="652">
        <f>SUMIFS(Пр11!J$10:J$1493,Пр11!$D$10:$D$1493,C23)</f>
        <v>0</v>
      </c>
      <c r="H23" s="157"/>
      <c r="I23" s="157">
        <f>SUMIFS(Пр11!L$10:L$1493,Пр11!$D$10:$D$1493,C23)</f>
        <v>0</v>
      </c>
    </row>
    <row r="24" spans="1:9" ht="48" hidden="1" thickBot="1" x14ac:dyDescent="0.25">
      <c r="A24" s="419" t="s">
        <v>660</v>
      </c>
      <c r="B24" s="454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489</v>
      </c>
      <c r="D24" s="616">
        <f>SUMIFS(Пр11!G$10:G$1493,Пр11!$D$10:$D$1493,C24)</f>
        <v>0</v>
      </c>
      <c r="E24" s="470">
        <f>SUMIFS(Пр11!H$10:H$1493,Пр11!$D$10:$D$1493,C24)</f>
        <v>0</v>
      </c>
      <c r="F24" s="478">
        <f>SUMIFS(Пр11!I$10:I$1493,Пр11!$D$10:$D$1493,C24)</f>
        <v>0</v>
      </c>
      <c r="G24" s="596">
        <f>SUMIFS(Пр11!J$10:J$1493,Пр11!$D$10:$D$1493,C24)</f>
        <v>0</v>
      </c>
      <c r="H24" s="471">
        <f>SUMIFS(Пр11!K$10:K$1493,Пр11!$D$10:$D$1493,C24)</f>
        <v>0</v>
      </c>
      <c r="I24" s="439">
        <f>SUMIFS(Пр11!L$10:L$1493,Пр11!$D$10:$D$1493,C24)</f>
        <v>0</v>
      </c>
    </row>
    <row r="25" spans="1:9" ht="32.25" hidden="1" thickBot="1" x14ac:dyDescent="0.25">
      <c r="A25" s="419" t="s">
        <v>584</v>
      </c>
      <c r="B25" s="460" t="str">
        <f>IF(C25&gt;0,VLOOKUP(C25,Программа!A$2:B$5124,2))</f>
        <v>Создание благоприятных условий для развития туризма</v>
      </c>
      <c r="C25" s="169" t="s">
        <v>491</v>
      </c>
      <c r="D25" s="554">
        <f>SUMIFS(Пр11!G$10:G$1493,Пр11!$D$10:$D$1493,C25)</f>
        <v>0</v>
      </c>
      <c r="E25" s="469">
        <f>SUMIFS(Пр11!H$10:H$1493,Пр11!$D$10:$D$1493,C25)</f>
        <v>0</v>
      </c>
      <c r="F25" s="558">
        <f>SUMIFS(Пр11!I$10:I$1493,Пр11!$D$10:$D$1493,C25)</f>
        <v>0</v>
      </c>
      <c r="G25" s="583">
        <f>SUMIFS(Пр11!J$10:J$1493,Пр11!$D$10:$D$1493,C25)</f>
        <v>0</v>
      </c>
      <c r="H25" s="571">
        <f>SUMIFS(Пр11!K$10:K$1493,Пр11!$D$10:$D$1493,C25)</f>
        <v>0</v>
      </c>
      <c r="I25" s="440">
        <f>SUMIFS(Пр11!L$10:L$1493,Пр11!$D$10:$D$1493,C25)</f>
        <v>0</v>
      </c>
    </row>
    <row r="26" spans="1:9" ht="48" thickBot="1" x14ac:dyDescent="0.25">
      <c r="A26" s="419" t="s">
        <v>585</v>
      </c>
      <c r="B26" s="453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629" t="s">
        <v>367</v>
      </c>
      <c r="D26" s="612">
        <f>SUMIFS(Пр11!G$10:G$1493,Пр11!$D$10:$D$1493,C26)</f>
        <v>1074428262</v>
      </c>
      <c r="E26" s="563">
        <f>SUMIFS(Пр11!H$10:H$1493,Пр11!$D$10:$D$1493,C26)</f>
        <v>0</v>
      </c>
      <c r="F26" s="485">
        <f>SUMIFS(Пр11!I$10:I$1493,Пр11!$D$10:$D$1493,C26)</f>
        <v>1074428262</v>
      </c>
      <c r="G26" s="612">
        <f>SUMIFS(Пр11!J$10:J$1493,Пр11!$D$10:$D$1493,C26)</f>
        <v>1243548137</v>
      </c>
      <c r="H26" s="563">
        <f>SUMIFS(Пр11!K$10:K$1493,Пр11!$D$10:$D$1493,C26)</f>
        <v>0</v>
      </c>
      <c r="I26" s="485">
        <f>SUMIFS(Пр11!L$10:L$1493,Пр11!$D$10:$D$1493,C26)</f>
        <v>1243548137</v>
      </c>
    </row>
    <row r="27" spans="1:9" ht="48" thickBot="1" x14ac:dyDescent="0.3">
      <c r="A27" s="419" t="s">
        <v>586</v>
      </c>
      <c r="B27" s="813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672" t="s">
        <v>369</v>
      </c>
      <c r="D27" s="814">
        <f>SUMIFS(Пр11!G$10:G$1493,Пр11!$D$10:$D$1493,C27)</f>
        <v>1033284354</v>
      </c>
      <c r="E27" s="815">
        <f>SUMIFS(Пр11!H$10:H$1493,Пр11!$D$10:$D$1493,C27)</f>
        <v>0</v>
      </c>
      <c r="F27" s="647">
        <f>SUMIFS(Пр11!I$10:I$1493,Пр11!$D$10:$D$1493,C27)</f>
        <v>1033284354</v>
      </c>
      <c r="G27" s="814">
        <f>SUMIFS(Пр11!J$10:J$1493,Пр11!$D$10:$D$1493,C27)</f>
        <v>950929402</v>
      </c>
      <c r="H27" s="815">
        <f>SUMIFS(Пр11!K$10:K$1493,Пр11!$D$10:$D$1493,C27)</f>
        <v>0</v>
      </c>
      <c r="I27" s="647">
        <f>SUMIFS(Пр11!L$10:L$1493,Пр11!$D$10:$D$1493,C27)</f>
        <v>950929402</v>
      </c>
    </row>
    <row r="28" spans="1:9" ht="48" thickBot="1" x14ac:dyDescent="0.3">
      <c r="A28" s="419" t="s">
        <v>587</v>
      </c>
      <c r="B28" s="233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32" t="s">
        <v>370</v>
      </c>
      <c r="D28" s="812">
        <f>SUMIFS(Пр11!G$10:G$1493,Пр11!$D$10:$D$1493,C28)</f>
        <v>398328457</v>
      </c>
      <c r="E28" s="804">
        <f>SUMIFS(Пр11!H$10:H$1493,Пр11!$D$10:$D$1493,C28)</f>
        <v>0</v>
      </c>
      <c r="F28" s="157">
        <f>SUMIFS(Пр11!I$10:I$1493,Пр11!$D$10:$D$1493,C28)</f>
        <v>398328457</v>
      </c>
      <c r="G28" s="812">
        <f>SUMIFS(Пр11!J$10:J$1493,Пр11!$D$10:$D$1493,C28)</f>
        <v>349920457</v>
      </c>
      <c r="H28" s="804">
        <f>SUMIFS(Пр11!K$10:K$1493,Пр11!$D$10:$D$1493,C28)</f>
        <v>0</v>
      </c>
      <c r="I28" s="157">
        <f>SUMIFS(Пр11!L$10:L$1493,Пр11!$D$10:$D$1493,C28)</f>
        <v>349920457</v>
      </c>
    </row>
    <row r="29" spans="1:9" ht="32.25" thickBot="1" x14ac:dyDescent="0.3">
      <c r="A29" s="419"/>
      <c r="B29" s="233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32" t="s">
        <v>409</v>
      </c>
      <c r="D29" s="817">
        <f>SUMIFS(Пр11!G$10:G$1493,Пр11!$D$10:$D$1493,C29)</f>
        <v>499852113</v>
      </c>
      <c r="E29" s="816">
        <f>SUMIFS(Пр11!H$10:H$1493,Пр11!$D$10:$D$1493,C29)</f>
        <v>0</v>
      </c>
      <c r="F29" s="157">
        <f>SUMIFS(Пр11!I$10:I$1493,Пр11!$D$10:$D$1493,C29)</f>
        <v>499852113</v>
      </c>
      <c r="G29" s="817">
        <f>SUMIFS(Пр11!J$10:J$1493,Пр11!$D$10:$D$1493,C29)</f>
        <v>474789040</v>
      </c>
      <c r="H29" s="816">
        <f>SUMIFS(Пр11!K$10:K$1493,Пр11!$D$10:$D$1493,C29)</f>
        <v>0</v>
      </c>
      <c r="I29" s="157">
        <f>SUMIFS(Пр11!L$10:L$1493,Пр11!$D$10:$D$1493,C29)</f>
        <v>474789040</v>
      </c>
    </row>
    <row r="30" spans="1:9" ht="48" thickBot="1" x14ac:dyDescent="0.3">
      <c r="A30" s="419"/>
      <c r="B30" s="233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32" t="s">
        <v>431</v>
      </c>
      <c r="D30" s="652">
        <f>SUMIFS(Пр11!G$10:G$1493,Пр11!$D$10:$D$1493,C30)</f>
        <v>46919472</v>
      </c>
      <c r="E30" s="157">
        <f>SUMIFS(Пр11!H$10:H$1493,Пр11!$D$10:$D$1493,C30)</f>
        <v>0</v>
      </c>
      <c r="F30" s="157">
        <f>SUMIFS(Пр11!I$10:I$1493,Пр11!$D$10:$D$1493,C30)</f>
        <v>46919472</v>
      </c>
      <c r="G30" s="652">
        <f>SUMIFS(Пр11!J$10:J$1493,Пр11!$D$10:$D$1493,C30)</f>
        <v>45219472</v>
      </c>
      <c r="H30" s="157">
        <f>SUMIFS(Пр11!K$10:K$1493,Пр11!$D$10:$D$1493,C30)</f>
        <v>0</v>
      </c>
      <c r="I30" s="157">
        <f>SUMIFS(Пр11!L$10:L$1493,Пр11!$D$10:$D$1493,C30)</f>
        <v>45219472</v>
      </c>
    </row>
    <row r="31" spans="1:9" ht="32.25" hidden="1" thickBot="1" x14ac:dyDescent="0.25">
      <c r="A31" s="419" t="s">
        <v>590</v>
      </c>
      <c r="B31" s="473" t="str">
        <f>IF(C31&gt;0,VLOOKUP(C31,Программа!A$2:B$5124,2))</f>
        <v>Повышение мотивации участников образовательного процесса</v>
      </c>
      <c r="C31" s="171" t="s">
        <v>411</v>
      </c>
      <c r="D31" s="425">
        <f>SUMIFS(Пр11!G$10:G$1493,Пр11!$D$10:$D$1493,C31)</f>
        <v>0</v>
      </c>
      <c r="E31" s="416">
        <f>SUMIFS(Пр11!H$10:H$1493,Пр11!$D$10:$D$1493,C31)</f>
        <v>0</v>
      </c>
      <c r="F31" s="476">
        <f>SUMIFS(Пр11!I$10:I$1493,Пр11!$D$10:$D$1493,C31)</f>
        <v>0</v>
      </c>
      <c r="G31" s="476">
        <f>SUMIFS(Пр11!J$10:J$1493,Пр11!$D$10:$D$1493,C31)</f>
        <v>0</v>
      </c>
      <c r="H31" s="442">
        <f>SUMIFS(Пр11!K$10:K$1493,Пр11!$D$10:$D$1493,C31)</f>
        <v>0</v>
      </c>
      <c r="I31" s="477">
        <f>SUMIFS(Пр11!L$10:L$1493,Пр11!$D$10:$D$1493,C31)</f>
        <v>0</v>
      </c>
    </row>
    <row r="32" spans="1:9" ht="63.75" thickBot="1" x14ac:dyDescent="0.3">
      <c r="A32" s="419" t="s">
        <v>591</v>
      </c>
      <c r="B32" s="233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2" t="s">
        <v>388</v>
      </c>
      <c r="D32" s="803">
        <f>SUMIFS(Пр11!G$10:G$1493,Пр11!$D$10:$D$1493,C32)</f>
        <v>8084600</v>
      </c>
      <c r="E32" s="804">
        <f>SUMIFS(Пр11!H$10:H$1493,Пр11!$D$10:$D$1493,C32)</f>
        <v>0</v>
      </c>
      <c r="F32" s="157">
        <f>SUMIFS(Пр11!I$10:I$1493,Пр11!$D$10:$D$1493,C32)</f>
        <v>8084600</v>
      </c>
      <c r="G32" s="803">
        <f>SUMIFS(Пр11!J$10:J$1493,Пр11!$D$10:$D$1493,C32)</f>
        <v>4084600</v>
      </c>
      <c r="H32" s="804">
        <f>SUMIFS(Пр11!K$10:K$1493,Пр11!$D$10:$D$1493,C32)</f>
        <v>0</v>
      </c>
      <c r="I32" s="157">
        <f>SUMIFS(Пр11!L$10:L$1493,Пр11!$D$10:$D$1493,C32)</f>
        <v>4084600</v>
      </c>
    </row>
    <row r="33" spans="1:9" ht="48" thickBot="1" x14ac:dyDescent="0.3">
      <c r="A33" s="419" t="s">
        <v>592</v>
      </c>
      <c r="B33" s="233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32" t="s">
        <v>416</v>
      </c>
      <c r="D33" s="812">
        <f>SUMIFS(Пр11!G$10:G$1493,Пр11!$D$10:$D$1493,C33)</f>
        <v>30835562</v>
      </c>
      <c r="E33" s="804">
        <f>SUMIFS(Пр11!H$10:H$1493,Пр11!$D$10:$D$1493,C33)</f>
        <v>0</v>
      </c>
      <c r="F33" s="157">
        <f>SUMIFS(Пр11!I$10:I$1493,Пр11!$D$10:$D$1493,C33)</f>
        <v>30835562</v>
      </c>
      <c r="G33" s="812">
        <f>SUMIFS(Пр11!J$10:J$1493,Пр11!$D$10:$D$1493,C33)</f>
        <v>30835562</v>
      </c>
      <c r="H33" s="804">
        <f>SUMIFS(Пр11!K$10:K$1493,Пр11!$D$10:$D$1493,C33)</f>
        <v>0</v>
      </c>
      <c r="I33" s="157">
        <f>SUMIFS(Пр11!L$10:L$1493,Пр11!$D$10:$D$1493,C33)</f>
        <v>30835562</v>
      </c>
    </row>
    <row r="34" spans="1:9" ht="32.25" thickBot="1" x14ac:dyDescent="0.3">
      <c r="A34" s="419"/>
      <c r="B34" s="233" t="str">
        <f>IF(C34&gt;0,VLOOKUP(C34,Программа!A$2:B$5124,2))</f>
        <v>Обеспечение детей организованными формами отдыха и оздоровления</v>
      </c>
      <c r="C34" s="232" t="s">
        <v>1055</v>
      </c>
      <c r="D34" s="812">
        <f>SUMIFS(Пр11!G$10:G$1493,Пр11!$D$10:$D$1493,C34)</f>
        <v>6296198</v>
      </c>
      <c r="E34" s="804">
        <f>SUMIFS(Пр11!H$10:H$1493,Пр11!$D$10:$D$1493,C34)</f>
        <v>0</v>
      </c>
      <c r="F34" s="157">
        <f>SUMIFS(Пр11!I$10:I$1493,Пр11!$D$10:$D$1493,C34)</f>
        <v>6296198</v>
      </c>
      <c r="G34" s="812">
        <f>SUMIFS(Пр11!J$10:J$1493,Пр11!$D$10:$D$1493,C34)</f>
        <v>6296198</v>
      </c>
      <c r="H34" s="804">
        <f>SUMIFS(Пр11!K$10:K$1493,Пр11!$D$10:$D$1493,C34)</f>
        <v>0</v>
      </c>
      <c r="I34" s="157">
        <f>SUMIFS(Пр11!L$10:L$1493,Пр11!$D$10:$D$1493,C34)</f>
        <v>6296198</v>
      </c>
    </row>
    <row r="35" spans="1:9" ht="16.5" thickBot="1" x14ac:dyDescent="0.3">
      <c r="A35" s="419"/>
      <c r="B35" s="233" t="str">
        <f>IF(C35&gt;0,VLOOKUP(C35,Программа!A$2:B$5124,2))</f>
        <v>Обеспечение компенсационных выплат</v>
      </c>
      <c r="C35" s="232" t="s">
        <v>1060</v>
      </c>
      <c r="D35" s="812">
        <f>SUMIFS(Пр11!G$10:G$1493,Пр11!$D$10:$D$1493,C35)</f>
        <v>9355500</v>
      </c>
      <c r="E35" s="804">
        <f>SUMIFS(Пр11!H$10:H$1493,Пр11!$D$10:$D$1493,C35)</f>
        <v>0</v>
      </c>
      <c r="F35" s="157">
        <f>SUMIFS(Пр11!I$10:I$1493,Пр11!$D$10:$D$1493,C35)</f>
        <v>9355500</v>
      </c>
      <c r="G35" s="812">
        <f>SUMIFS(Пр11!J$10:J$1493,Пр11!$D$10:$D$1493,C35)</f>
        <v>9355500</v>
      </c>
      <c r="H35" s="804">
        <f>SUMIFS(Пр11!K$10:K$1493,Пр11!$D$10:$D$1493,C35)</f>
        <v>0</v>
      </c>
      <c r="I35" s="157">
        <f>SUMIFS(Пр11!L$10:L$1493,Пр11!$D$10:$D$1493,C35)</f>
        <v>9355500</v>
      </c>
    </row>
    <row r="36" spans="1:9" ht="32.25" thickBot="1" x14ac:dyDescent="0.3">
      <c r="A36" s="419"/>
      <c r="B36" s="233" t="str">
        <f>IF(C36&gt;0,VLOOKUP(C36,Программа!A$2:B$5124,2))</f>
        <v>Обеспечение эффективности управления системой образования</v>
      </c>
      <c r="C36" s="232" t="s">
        <v>1057</v>
      </c>
      <c r="D36" s="812">
        <f>SUMIFS(Пр11!G$10:G$1493,Пр11!$D$10:$D$1493,C36)</f>
        <v>31768012</v>
      </c>
      <c r="E36" s="804">
        <f>SUMIFS(Пр11!H$10:H$1493,Пр11!$D$10:$D$1493,C36)</f>
        <v>0</v>
      </c>
      <c r="F36" s="157">
        <f>SUMIFS(Пр11!I$10:I$1493,Пр11!$D$10:$D$1493,C36)</f>
        <v>31768012</v>
      </c>
      <c r="G36" s="812">
        <f>SUMIFS(Пр11!J$10:J$1493,Пр11!$D$10:$D$1493,C36)</f>
        <v>28344713</v>
      </c>
      <c r="H36" s="804">
        <f>SUMIFS(Пр11!K$10:K$1493,Пр11!$D$10:$D$1493,C36)</f>
        <v>0</v>
      </c>
      <c r="I36" s="157">
        <f>SUMIFS(Пр11!L$10:L$1493,Пр11!$D$10:$D$1493,C36)</f>
        <v>28344713</v>
      </c>
    </row>
    <row r="37" spans="1:9" ht="16.5" thickBot="1" x14ac:dyDescent="0.3">
      <c r="A37" s="419"/>
      <c r="B37" s="233" t="str">
        <f>IF(C37&gt;0,VLOOKUP(C37,Программа!A$2:B$5124,2))</f>
        <v>Региональный проект "Успех каждого ребенка"</v>
      </c>
      <c r="C37" s="232" t="s">
        <v>1429</v>
      </c>
      <c r="D37" s="812">
        <f>SUMIFS(Пр11!G$10:G$1493,Пр11!$D$10:$D$1493,C37)</f>
        <v>1844440</v>
      </c>
      <c r="E37" s="804">
        <f>SUMIFS(Пр11!H$10:H$1493,Пр11!$D$10:$D$1493,C37)</f>
        <v>0</v>
      </c>
      <c r="F37" s="157">
        <f>SUMIFS(Пр11!I$10:I$1493,Пр11!$D$10:$D$1493,C37)</f>
        <v>1844440</v>
      </c>
      <c r="G37" s="812">
        <f>SUMIFS(Пр11!J$10:J$1493,Пр11!$D$10:$D$1493,C37)</f>
        <v>2083860</v>
      </c>
      <c r="H37" s="804">
        <f>SUMIFS(Пр11!K$10:K$1493,Пр11!$D$10:$D$1493,C37)</f>
        <v>0</v>
      </c>
      <c r="I37" s="157">
        <f>SUMIFS(Пр11!L$10:L$1493,Пр11!$D$10:$D$1493,C37)</f>
        <v>2083860</v>
      </c>
    </row>
    <row r="38" spans="1:9" ht="48" thickBot="1" x14ac:dyDescent="0.3">
      <c r="A38" s="419"/>
      <c r="B38" s="233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32" t="s">
        <v>418</v>
      </c>
      <c r="D38" s="812">
        <f>SUMIFS(Пр11!G$10:G$1493,Пр11!$D$10:$D$1493,C38)</f>
        <v>5000</v>
      </c>
      <c r="E38" s="804">
        <f>SUMIFS(Пр11!H$10:H$1493,Пр11!$D$10:$D$1493,C38)</f>
        <v>0</v>
      </c>
      <c r="F38" s="157">
        <f>SUMIFS(Пр11!I$10:I$1493,Пр11!$D$10:$D$1493,C38)</f>
        <v>5000</v>
      </c>
      <c r="G38" s="812">
        <f>SUMIFS(Пр11!J$10:J$1493,Пр11!$D$10:$D$1493,C38)</f>
        <v>5000</v>
      </c>
      <c r="H38" s="804">
        <f>SUMIFS(Пр11!K$10:K$1493,Пр11!$D$10:$D$1493,C38)</f>
        <v>0</v>
      </c>
      <c r="I38" s="157">
        <f>SUMIFS(Пр11!L$10:L$1493,Пр11!$D$10:$D$1493,C38)</f>
        <v>5000</v>
      </c>
    </row>
    <row r="39" spans="1:9" ht="48" thickBot="1" x14ac:dyDescent="0.3">
      <c r="A39" s="419"/>
      <c r="B39" s="233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32" t="s">
        <v>420</v>
      </c>
      <c r="D39" s="812">
        <f>SUMIFS(Пр11!G$10:G$1493,Пр11!$D$10:$D$1493,C39)</f>
        <v>5000</v>
      </c>
      <c r="E39" s="804">
        <f>SUMIFS(Пр11!H$10:H$1493,Пр11!$D$10:$D$1493,C39)</f>
        <v>0</v>
      </c>
      <c r="F39" s="157">
        <f>SUMIFS(Пр11!I$10:I$1493,Пр11!$D$10:$D$1493,C39)</f>
        <v>5000</v>
      </c>
      <c r="G39" s="812">
        <f>SUMIFS(Пр11!J$10:J$1493,Пр11!$D$10:$D$1493,C39)</f>
        <v>5000</v>
      </c>
      <c r="H39" s="804">
        <f>SUMIFS(Пр11!K$10:K$1493,Пр11!$D$10:$D$1493,C39)</f>
        <v>0</v>
      </c>
      <c r="I39" s="157">
        <f>SUMIFS(Пр11!L$10:L$1493,Пр11!$D$10:$D$1493,C39)</f>
        <v>5000</v>
      </c>
    </row>
    <row r="40" spans="1:9" ht="16.5" hidden="1" thickBot="1" x14ac:dyDescent="0.3">
      <c r="A40" s="419"/>
      <c r="B40" s="233"/>
      <c r="C40" s="232"/>
      <c r="D40" s="812">
        <f>SUMIFS(Пр11!G$10:G$1493,Пр11!$D$10:$D$1493,C40)</f>
        <v>0</v>
      </c>
      <c r="E40" s="804">
        <f>SUMIFS(Пр11!H$10:H$1493,Пр11!$D$10:$D$1493,C40)</f>
        <v>0</v>
      </c>
      <c r="F40" s="157">
        <f>SUMIFS(Пр11!I$10:I$1493,Пр11!$D$10:$D$1493,C40)</f>
        <v>0</v>
      </c>
      <c r="G40" s="812">
        <f>SUMIFS(Пр11!J$10:J$1493,Пр11!$D$10:$D$1493,C40)</f>
        <v>0</v>
      </c>
      <c r="H40" s="804">
        <f>SUMIFS(Пр11!K$10:K$1493,Пр11!$D$10:$D$1493,C40)</f>
        <v>0</v>
      </c>
      <c r="I40" s="157">
        <f>SUMIFS(Пр11!L$10:L$1493,Пр11!$D$10:$D$1493,C40)</f>
        <v>0</v>
      </c>
    </row>
    <row r="41" spans="1:9" s="421" customFormat="1" ht="48" thickBot="1" x14ac:dyDescent="0.3">
      <c r="A41" s="420"/>
      <c r="B41" s="808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670" t="s">
        <v>386</v>
      </c>
      <c r="D41" s="809">
        <f>SUMIFS(Пр11!G$10:G$1493,Пр11!$D$10:$D$1493,C41)</f>
        <v>40488908</v>
      </c>
      <c r="E41" s="810">
        <f>SUMIFS(Пр11!H$10:H$1493,Пр11!$D$10:$D$1493,C41)</f>
        <v>0</v>
      </c>
      <c r="F41" s="654">
        <f>SUMIFS(Пр11!I$10:I$1493,Пр11!$D$10:$D$1493,C41)</f>
        <v>40488908</v>
      </c>
      <c r="G41" s="809">
        <f>SUMIFS(Пр11!J$10:J$1493,Пр11!$D$10:$D$1493,C41)</f>
        <v>291963735</v>
      </c>
      <c r="H41" s="810">
        <f>SUMIFS(Пр11!K$10:K$1493,Пр11!$D$10:$D$1493,C41)</f>
        <v>0</v>
      </c>
      <c r="I41" s="654">
        <f>SUMIFS(Пр11!L$10:L$1493,Пр11!$D$10:$D$1493,C41)</f>
        <v>291963735</v>
      </c>
    </row>
    <row r="42" spans="1:9" ht="63.75" thickBot="1" x14ac:dyDescent="0.3">
      <c r="A42" s="419"/>
      <c r="B42" s="885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48" t="s">
        <v>441</v>
      </c>
      <c r="D42" s="817">
        <f>SUMIFS(Пр11!G$10:G$1493,Пр11!$D$10:$D$1493,C42)</f>
        <v>24488908</v>
      </c>
      <c r="E42" s="816">
        <f>SUMIFS(Пр11!H$10:H$1493,Пр11!$D$10:$D$1493,C42)</f>
        <v>0</v>
      </c>
      <c r="F42" s="663">
        <f>SUMIFS(Пр11!I$10:I$1493,Пр11!$D$10:$D$1493,C42)</f>
        <v>24488908</v>
      </c>
      <c r="G42" s="817">
        <f>SUMIFS(Пр11!J$10:J$1493,Пр11!$D$10:$D$1493,C42)</f>
        <v>23726855</v>
      </c>
      <c r="H42" s="816">
        <f>SUMIFS(Пр11!K$10:K$1493,Пр11!$D$10:$D$1493,C42)</f>
        <v>0</v>
      </c>
      <c r="I42" s="663">
        <f>SUMIFS(Пр11!L$10:L$1493,Пр11!$D$10:$D$1493,C42)</f>
        <v>23726855</v>
      </c>
    </row>
    <row r="43" spans="1:9" ht="32.25" thickBot="1" x14ac:dyDescent="0.3">
      <c r="A43" s="419"/>
      <c r="B43" s="885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548" t="s">
        <v>387</v>
      </c>
      <c r="D43" s="817">
        <f>SUMIFS(Пр11!G$10:G$1493,Пр11!$D$10:$D$1493,C43)</f>
        <v>16000000</v>
      </c>
      <c r="E43" s="816">
        <f>SUMIFS(Пр11!H$10:H$1493,Пр11!$D$10:$D$1493,C43)</f>
        <v>0</v>
      </c>
      <c r="F43" s="663">
        <f>SUMIFS(Пр11!I$10:I$1493,Пр11!$D$10:$D$1493,C43)</f>
        <v>16000000</v>
      </c>
      <c r="G43" s="817">
        <f>SUMIFS(Пр11!J$10:J$1493,Пр11!$D$10:$D$1493,C43)</f>
        <v>0</v>
      </c>
      <c r="H43" s="816">
        <f>SUMIFS(Пр11!K$10:K$1493,Пр11!$D$10:$D$1493,C43)</f>
        <v>0</v>
      </c>
      <c r="I43" s="663">
        <f>SUMIFS(Пр11!L$10:L$1493,Пр11!$D$10:$D$1493,C43)</f>
        <v>0</v>
      </c>
    </row>
    <row r="44" spans="1:9" ht="16.5" thickBot="1" x14ac:dyDescent="0.25">
      <c r="A44" s="419"/>
      <c r="B44" s="462" t="str">
        <f>IF(C44&gt;0,VLOOKUP(C44,Программа!A$2:B$5124,2))</f>
        <v>Региональный проект "Спорт – норма жизни"</v>
      </c>
      <c r="C44" s="123" t="s">
        <v>1659</v>
      </c>
      <c r="D44" s="417">
        <f>SUMIFS(Пр11!G$10:G$1493,Пр11!$D$10:$D$1493,C44)</f>
        <v>0</v>
      </c>
      <c r="E44" s="417">
        <f>SUMIFS(Пр11!H$10:H$1493,Пр11!$D$10:$D$1493,C44)</f>
        <v>0</v>
      </c>
      <c r="F44" s="164">
        <f>SUMIFS(Пр11!I$10:I$1493,Пр11!$D$10:$D$1493,C44)</f>
        <v>0</v>
      </c>
      <c r="G44" s="164">
        <f>SUMIFS(Пр11!J$10:J$1493,Пр11!$D$10:$D$1493,C44)</f>
        <v>268236880</v>
      </c>
      <c r="H44" s="164">
        <f>SUMIFS(Пр11!K$10:K$1493,Пр11!$D$10:$D$1493,C44)</f>
        <v>0</v>
      </c>
      <c r="I44" s="164">
        <f>SUMIFS(Пр11!L$10:L$1493,Пр11!$D$10:$D$1493,C44)</f>
        <v>268236880</v>
      </c>
    </row>
    <row r="45" spans="1:9" ht="63.75" thickBot="1" x14ac:dyDescent="0.25">
      <c r="A45" s="419"/>
      <c r="B45" s="462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23" t="s">
        <v>1764</v>
      </c>
      <c r="D45" s="417">
        <f>SUMIFS(Пр11!G$10:G$1493,Пр11!$D$10:$D$1493,C45)</f>
        <v>650000</v>
      </c>
      <c r="E45" s="417">
        <f>SUMIFS(Пр11!H$10:H$1493,Пр11!$D$10:$D$1493,C45)</f>
        <v>0</v>
      </c>
      <c r="F45" s="164">
        <f>SUMIFS(Пр11!I$10:I$1493,Пр11!$D$10:$D$1493,C45)</f>
        <v>650000</v>
      </c>
      <c r="G45" s="164">
        <f>SUMIFS(Пр11!J$10:J$1493,Пр11!$D$10:$D$1493,C45)</f>
        <v>650000</v>
      </c>
      <c r="H45" s="164">
        <f>SUMIFS(Пр11!K$10:K$1493,Пр11!$D$10:$D$1493,C45)</f>
        <v>0</v>
      </c>
      <c r="I45" s="164">
        <f>SUMIFS(Пр11!L$10:L$1493,Пр11!$D$10:$D$1493,C45)</f>
        <v>650000</v>
      </c>
    </row>
    <row r="46" spans="1:9" ht="63.75" thickBot="1" x14ac:dyDescent="0.25">
      <c r="A46" s="419"/>
      <c r="B46" s="462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69" t="s">
        <v>1763</v>
      </c>
      <c r="D46" s="417">
        <f>SUMIFS(Пр11!G$10:G$1493,Пр11!$D$10:$D$1493,C46)</f>
        <v>650000</v>
      </c>
      <c r="E46" s="417">
        <f>SUMIFS(Пр11!H$10:H$1493,Пр11!$D$10:$D$1493,C46)</f>
        <v>0</v>
      </c>
      <c r="F46" s="164">
        <f>SUMIFS(Пр11!I$10:I$1493,Пр11!$D$10:$D$1493,C46)</f>
        <v>650000</v>
      </c>
      <c r="G46" s="164">
        <f>SUMIFS(Пр11!J$10:J$1493,Пр11!$D$10:$D$1493,C46)</f>
        <v>650000</v>
      </c>
      <c r="H46" s="164">
        <f>SUMIFS(Пр11!K$10:K$1493,Пр11!$D$10:$D$1493,C46)</f>
        <v>0</v>
      </c>
      <c r="I46" s="164">
        <f>SUMIFS(Пр11!L$10:L$1493,Пр11!$D$10:$D$1493,C46)</f>
        <v>650000</v>
      </c>
    </row>
    <row r="47" spans="1:9" ht="48" thickBot="1" x14ac:dyDescent="0.25">
      <c r="A47" s="419" t="s">
        <v>619</v>
      </c>
      <c r="B47" s="453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629" t="s">
        <v>376</v>
      </c>
      <c r="D47" s="612">
        <f>SUMIFS(Пр11!G$10:G$1493,Пр11!$D$10:$D$1493,C47)</f>
        <v>610851381</v>
      </c>
      <c r="E47" s="563">
        <f>SUMIFS(Пр11!H$10:H$1493,Пр11!$D$10:$D$1493,C47)</f>
        <v>0</v>
      </c>
      <c r="F47" s="485">
        <f>SUMIFS(Пр11!I$10:I$1493,Пр11!$D$10:$D$1493,C47)</f>
        <v>610851381</v>
      </c>
      <c r="G47" s="612">
        <f>SUMIFS(Пр11!J$10:J$1493,Пр11!$D$10:$D$1493,C47)</f>
        <v>634257739</v>
      </c>
      <c r="H47" s="563">
        <f>SUMIFS(Пр11!K$10:K$1493,Пр11!$D$10:$D$1493,C47)</f>
        <v>0</v>
      </c>
      <c r="I47" s="485">
        <f>SUMIFS(Пр11!L$10:L$1493,Пр11!$D$10:$D$1493,C47)</f>
        <v>634257739</v>
      </c>
    </row>
    <row r="48" spans="1:9" ht="48" thickBot="1" x14ac:dyDescent="0.3">
      <c r="A48" s="419"/>
      <c r="B48" s="813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672" t="s">
        <v>446</v>
      </c>
      <c r="D48" s="814">
        <f>SUMIFS(Пр11!G$10:G$1493,Пр11!$D$10:$D$1493,C48)</f>
        <v>610851381</v>
      </c>
      <c r="E48" s="815">
        <f>SUMIFS(Пр11!H$10:H$1493,Пр11!$D$10:$D$1493,C48)</f>
        <v>0</v>
      </c>
      <c r="F48" s="647">
        <f>SUMIFS(Пр11!I$10:I$1493,Пр11!$D$10:$D$1493,C48)</f>
        <v>610851381</v>
      </c>
      <c r="G48" s="814">
        <f>SUMIFS(Пр11!J$10:J$1493,Пр11!$D$10:$D$1493,C48)</f>
        <v>634257739</v>
      </c>
      <c r="H48" s="815">
        <f>SUMIFS(Пр11!K$10:K$1493,Пр11!$D$10:$D$1493,C48)</f>
        <v>0</v>
      </c>
      <c r="I48" s="647">
        <f>SUMIFS(Пр11!L$10:L$1493,Пр11!$D$10:$D$1493,C48)</f>
        <v>634257739</v>
      </c>
    </row>
    <row r="49" spans="1:9" ht="32.25" thickBot="1" x14ac:dyDescent="0.3">
      <c r="A49" s="419"/>
      <c r="B49" s="233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32" t="s">
        <v>448</v>
      </c>
      <c r="D49" s="812">
        <f>SUMIFS(Пр11!G$10:G$1493,Пр11!$D$10:$D$1493,C49)</f>
        <v>397183120</v>
      </c>
      <c r="E49" s="804">
        <f>SUMIFS(Пр11!H$10:H$1493,Пр11!$D$10:$D$1493,C49)</f>
        <v>0</v>
      </c>
      <c r="F49" s="157">
        <f>SUMIFS(Пр11!I$10:I$1493,Пр11!$D$10:$D$1493,C49)</f>
        <v>397183120</v>
      </c>
      <c r="G49" s="812">
        <f>SUMIFS(Пр11!J$10:J$1493,Пр11!$D$10:$D$1493,C49)</f>
        <v>412130535</v>
      </c>
      <c r="H49" s="804">
        <f>SUMIFS(Пр11!K$10:K$1493,Пр11!$D$10:$D$1493,C49)</f>
        <v>0</v>
      </c>
      <c r="I49" s="157">
        <f>SUMIFS(Пр11!L$10:L$1493,Пр11!$D$10:$D$1493,C49)</f>
        <v>412130535</v>
      </c>
    </row>
    <row r="50" spans="1:9" ht="48" thickBot="1" x14ac:dyDescent="0.3">
      <c r="A50" s="419"/>
      <c r="B50" s="233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32" t="s">
        <v>451</v>
      </c>
      <c r="D50" s="812">
        <f>SUMIFS(Пр11!G$10:G$1493,Пр11!$D$10:$D$1493,C50)</f>
        <v>84274175</v>
      </c>
      <c r="E50" s="804">
        <f>SUMIFS(Пр11!H$10:H$1493,Пр11!$D$10:$D$1493,C50)</f>
        <v>0</v>
      </c>
      <c r="F50" s="157">
        <f>SUMIFS(Пр11!I$10:I$1493,Пр11!$D$10:$D$1493,C50)</f>
        <v>84274175</v>
      </c>
      <c r="G50" s="812">
        <f>SUMIFS(Пр11!J$10:J$1493,Пр11!$D$10:$D$1493,C50)</f>
        <v>84274175</v>
      </c>
      <c r="H50" s="804">
        <f>SUMIFS(Пр11!K$10:K$1493,Пр11!$D$10:$D$1493,C50)</f>
        <v>0</v>
      </c>
      <c r="I50" s="157">
        <f>SUMIFS(Пр11!L$10:L$1493,Пр11!$D$10:$D$1493,C50)</f>
        <v>84274175</v>
      </c>
    </row>
    <row r="51" spans="1:9" ht="48" thickBot="1" x14ac:dyDescent="0.3">
      <c r="A51" s="419" t="s">
        <v>70</v>
      </c>
      <c r="B51" s="233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32" t="s">
        <v>466</v>
      </c>
      <c r="D51" s="812">
        <f>SUMIFS(Пр11!G$10:G$1493,Пр11!$D$10:$D$1493,C51)</f>
        <v>20127906</v>
      </c>
      <c r="E51" s="804">
        <f>SUMIFS(Пр11!H$10:H$1493,Пр11!$D$10:$D$1493,C51)</f>
        <v>0</v>
      </c>
      <c r="F51" s="157">
        <f>SUMIFS(Пр11!I$10:I$1493,Пр11!$D$10:$D$1493,C51)</f>
        <v>20127906</v>
      </c>
      <c r="G51" s="812">
        <f>SUMIFS(Пр11!J$10:J$1493,Пр11!$D$10:$D$1493,C51)</f>
        <v>20127906</v>
      </c>
      <c r="H51" s="804">
        <f>SUMIFS(Пр11!K$10:K$1493,Пр11!$D$10:$D$1493,C51)</f>
        <v>0</v>
      </c>
      <c r="I51" s="157">
        <f>SUMIFS(Пр11!L$10:L$1493,Пр11!$D$10:$D$1493,C51)</f>
        <v>20127906</v>
      </c>
    </row>
    <row r="52" spans="1:9" ht="32.25" thickBot="1" x14ac:dyDescent="0.3">
      <c r="A52" s="419"/>
      <c r="B52" s="233" t="str">
        <f>IF(C52&gt;0,VLOOKUP(C52,Программа!A$2:B$5124,2))</f>
        <v>Информационное обеспечение реализации мероприятий программы</v>
      </c>
      <c r="C52" s="232" t="s">
        <v>1167</v>
      </c>
      <c r="D52" s="812">
        <f>SUMIFS(Пр11!G$10:G$1493,Пр11!$D$10:$D$1493,C52)</f>
        <v>731000</v>
      </c>
      <c r="E52" s="816">
        <f>SUMIFS(Пр11!H$10:H$1493,Пр11!$D$10:$D$1493,C52)</f>
        <v>0</v>
      </c>
      <c r="F52" s="157">
        <f>SUMIFS(Пр11!I$10:I$1493,Пр11!$D$10:$D$1493,C52)</f>
        <v>731000</v>
      </c>
      <c r="G52" s="812">
        <f>SUMIFS(Пр11!J$10:J$1493,Пр11!$D$10:$D$1493,C52)</f>
        <v>731000</v>
      </c>
      <c r="H52" s="816">
        <f>SUMIFS(Пр11!K$10:K$1493,Пр11!$D$10:$D$1493,C52)</f>
        <v>0</v>
      </c>
      <c r="I52" s="157">
        <f>SUMIFS(Пр11!L$10:L$1493,Пр11!$D$10:$D$1493,C52)</f>
        <v>731000</v>
      </c>
    </row>
    <row r="53" spans="1:9" ht="32.25" thickBot="1" x14ac:dyDescent="0.3">
      <c r="A53" s="419"/>
      <c r="B53" s="233" t="str">
        <f>IF(C53&gt;0,VLOOKUP(C53,Программа!A$2:B$5124,2))</f>
        <v>Федеральный проект "Финансовая поддержка семей при рождении детей"</v>
      </c>
      <c r="C53" s="232" t="s">
        <v>1323</v>
      </c>
      <c r="D53" s="812">
        <f>SUMIFS(Пр11!G$10:G$1493,Пр11!$D$10:$D$1493,C53)</f>
        <v>108535180</v>
      </c>
      <c r="E53" s="804"/>
      <c r="F53" s="157">
        <f>SUMIFS(Пр11!I$10:I$1493,Пр11!$D$10:$D$1493,C53)</f>
        <v>108535180</v>
      </c>
      <c r="G53" s="812">
        <f>SUMIFS(Пр11!J$10:J$1493,Пр11!$D$10:$D$1493,C53)</f>
        <v>116994123</v>
      </c>
      <c r="H53" s="804"/>
      <c r="I53" s="157">
        <f>SUMIFS(Пр11!L$10:L$1493,Пр11!$D$10:$D$1493,C53)</f>
        <v>116994123</v>
      </c>
    </row>
    <row r="54" spans="1:9" ht="16.5" hidden="1" thickBot="1" x14ac:dyDescent="0.25">
      <c r="A54" s="419"/>
      <c r="B54" s="473" t="str">
        <f>IF(C54&gt;0,VLOOKUP(C54,Программа!A$2:B$5124,2))</f>
        <v>Федеральный проект "Старшее поколение"</v>
      </c>
      <c r="C54" s="171" t="s">
        <v>1324</v>
      </c>
      <c r="D54" s="487">
        <f>SUMIFS(Пр11!G$10:G$1493,Пр11!$D$10:$D$1493,C54)</f>
        <v>0</v>
      </c>
      <c r="E54" s="424"/>
      <c r="F54" s="476">
        <f>SUMIFS(Пр11!I$10:I$1493,Пр11!$D$10:$D$1493,C54)</f>
        <v>0</v>
      </c>
      <c r="G54" s="483">
        <f>SUMIFS(Пр11!J$10:J$1493,Пр11!$D$10:$D$1493,C54)</f>
        <v>0</v>
      </c>
      <c r="H54" s="444"/>
      <c r="I54" s="477">
        <f>SUMIFS(Пр11!L$10:L$1493,Пр11!$D$10:$D$1493,C54)</f>
        <v>0</v>
      </c>
    </row>
    <row r="55" spans="1:9" ht="48" hidden="1" thickBot="1" x14ac:dyDescent="0.25">
      <c r="A55" s="419" t="s">
        <v>623</v>
      </c>
      <c r="B55" s="461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65" t="s">
        <v>378</v>
      </c>
      <c r="D55" s="418">
        <f>SUMIFS(Пр11!G$10:G$1493,Пр11!$D$10:$D$1493,C55)</f>
        <v>0</v>
      </c>
      <c r="E55" s="418">
        <f>SUMIFS(Пр11!H$10:H$1493,Пр11!$D$10:$D$1493,C55)</f>
        <v>0</v>
      </c>
      <c r="F55" s="446">
        <f>SUMIFS(Пр11!I$10:I$1493,Пр11!$D$10:$D$1493,C55)</f>
        <v>0</v>
      </c>
      <c r="G55" s="446">
        <f>SUMIFS(Пр11!J$10:J$1493,Пр11!$D$10:$D$1493,C55)</f>
        <v>0</v>
      </c>
      <c r="H55" s="446">
        <f>SUMIFS(Пр11!K$10:K$1493,Пр11!$D$10:$D$1493,C55)</f>
        <v>0</v>
      </c>
      <c r="I55" s="446">
        <f>SUMIFS(Пр11!L$10:L$1493,Пр11!$D$10:$D$1493,C55)</f>
        <v>0</v>
      </c>
    </row>
    <row r="56" spans="1:9" ht="48" hidden="1" thickBot="1" x14ac:dyDescent="0.25">
      <c r="A56" s="419"/>
      <c r="B56" s="462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23" t="s">
        <v>379</v>
      </c>
      <c r="D56" s="417">
        <f>SUMIFS(Пр11!G$10:G$1493,Пр11!$D$10:$D$1493,C56)</f>
        <v>0</v>
      </c>
      <c r="E56" s="417">
        <f>SUMIFS(Пр11!H$10:H$1493,Пр11!$D$10:$D$1493,C56)</f>
        <v>0</v>
      </c>
      <c r="F56" s="446">
        <f>SUMIFS(Пр11!I$10:I$1493,Пр11!$D$10:$D$1493,C56)</f>
        <v>0</v>
      </c>
      <c r="G56" s="446">
        <f>SUMIFS(Пр11!J$10:J$1493,Пр11!$D$10:$D$1493,C56)</f>
        <v>0</v>
      </c>
      <c r="H56" s="446">
        <f>SUMIFS(Пр11!K$10:K$1493,Пр11!$D$10:$D$1493,C56)</f>
        <v>0</v>
      </c>
      <c r="I56" s="446">
        <f>SUMIFS(Пр11!L$10:L$1493,Пр11!$D$10:$D$1493,C56)</f>
        <v>0</v>
      </c>
    </row>
    <row r="57" spans="1:9" ht="16.5" hidden="1" thickBot="1" x14ac:dyDescent="0.25">
      <c r="A57" s="419"/>
      <c r="B57" s="462" t="str">
        <f>IF(C57&gt;0,VLOOKUP(C57,Программа!A$2:B$5124,2))</f>
        <v>Муниципальная программа "Доступная среда "</v>
      </c>
      <c r="C57" s="397" t="s">
        <v>508</v>
      </c>
      <c r="D57" s="426">
        <f>SUMIFS(Пр11!G$10:G$1493,Пр11!$D$10:$D$1493,C57)</f>
        <v>0</v>
      </c>
      <c r="E57" s="426">
        <f>SUMIFS(Пр11!H$10:H$1493,Пр11!$D$10:$D$1493,C57)</f>
        <v>0</v>
      </c>
      <c r="F57" s="446">
        <f>SUMIFS(Пр11!I$10:I$1493,Пр11!$D$10:$D$1493,C57)</f>
        <v>0</v>
      </c>
      <c r="G57" s="446">
        <f>SUMIFS(Пр11!J$10:J$1493,Пр11!$D$10:$D$1493,C57)</f>
        <v>0</v>
      </c>
      <c r="H57" s="446">
        <f>SUMIFS(Пр11!K$10:K$1493,Пр11!$D$10:$D$1493,C57)</f>
        <v>0</v>
      </c>
      <c r="I57" s="446">
        <f>SUMIFS(Пр11!L$10:L$1493,Пр11!$D$10:$D$1493,C57)</f>
        <v>0</v>
      </c>
    </row>
    <row r="58" spans="1:9" ht="79.5" hidden="1" thickBot="1" x14ac:dyDescent="0.25">
      <c r="A58" s="419" t="s">
        <v>43</v>
      </c>
      <c r="B58" s="458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69" t="s">
        <v>509</v>
      </c>
      <c r="D58" s="424">
        <f>SUMIFS(Пр11!G$10:G$1493,Пр11!$D$10:$D$1493,C58)</f>
        <v>0</v>
      </c>
      <c r="E58" s="424">
        <f>SUMIFS(Пр11!H$10:H$1493,Пр11!$D$10:$D$1493,C58)</f>
        <v>0</v>
      </c>
      <c r="F58" s="440">
        <f>SUMIFS(Пр11!I$10:I$1493,Пр11!$D$10:$D$1493,C58)</f>
        <v>0</v>
      </c>
      <c r="G58" s="440">
        <f>SUMIFS(Пр11!J$10:J$1493,Пр11!$D$10:$D$1493,C58)</f>
        <v>0</v>
      </c>
      <c r="H58" s="440">
        <f>SUMIFS(Пр11!K$10:K$1493,Пр11!$D$10:$D$1493,C58)</f>
        <v>0</v>
      </c>
      <c r="I58" s="440">
        <f>SUMIFS(Пр11!L$10:L$1493,Пр11!$D$10:$D$1493,C58)</f>
        <v>0</v>
      </c>
    </row>
    <row r="59" spans="1:9" ht="48" thickBot="1" x14ac:dyDescent="0.25">
      <c r="A59" s="419" t="s">
        <v>634</v>
      </c>
      <c r="B59" s="453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629" t="s">
        <v>525</v>
      </c>
      <c r="D59" s="612">
        <f>SUMIFS(Пр11!G$10:G$1493,Пр11!$D$10:$D$1493,C59)</f>
        <v>24663000</v>
      </c>
      <c r="E59" s="563">
        <f>SUMIFS(Пр11!H$10:H$1493,Пр11!$D$10:$D$1493,C59)</f>
        <v>0</v>
      </c>
      <c r="F59" s="485">
        <f>SUMIFS(Пр11!I$10:I$1493,Пр11!$D$10:$D$1493,C59)</f>
        <v>24663000</v>
      </c>
      <c r="G59" s="612">
        <f>SUMIFS(Пр11!J$10:J$1493,Пр11!$D$10:$D$1493,C59)</f>
        <v>0</v>
      </c>
      <c r="H59" s="563">
        <f>SUMIFS(Пр11!K$10:K$1493,Пр11!$D$10:$D$1493,C59)</f>
        <v>0</v>
      </c>
      <c r="I59" s="485">
        <f>SUMIFS(Пр11!L$10:L$1493,Пр11!$D$10:$D$1493,C59)</f>
        <v>0</v>
      </c>
    </row>
    <row r="60" spans="1:9" ht="63.75" hidden="1" thickBot="1" x14ac:dyDescent="0.25">
      <c r="A60" s="419" t="s">
        <v>53</v>
      </c>
      <c r="B60" s="454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70" t="s">
        <v>527</v>
      </c>
      <c r="D60" s="415">
        <f>SUMIFS(Пр11!G$10:G$1493,Пр11!$D$10:$D$1493,C60)</f>
        <v>0</v>
      </c>
      <c r="E60" s="415">
        <f>SUMIFS(Пр11!H$10:H$1493,Пр11!$D$10:$D$1493,C60)</f>
        <v>0</v>
      </c>
      <c r="F60" s="439">
        <f>SUMIFS(Пр11!I$10:I$1493,Пр11!$D$10:$D$1493,C60)</f>
        <v>0</v>
      </c>
      <c r="G60" s="439">
        <f>SUMIFS(Пр11!J$10:J$1493,Пр11!$D$10:$D$1493,C60)</f>
        <v>0</v>
      </c>
      <c r="H60" s="439">
        <f>SUMIFS(Пр11!K$10:K$1493,Пр11!$D$10:$D$1493,C60)</f>
        <v>0</v>
      </c>
      <c r="I60" s="447">
        <f>SUMIFS(Пр11!L$10:L$1493,Пр11!$D$10:$D$1493,C60)</f>
        <v>0</v>
      </c>
    </row>
    <row r="61" spans="1:9" ht="79.5" hidden="1" thickBot="1" x14ac:dyDescent="0.25">
      <c r="A61" s="419" t="s">
        <v>638</v>
      </c>
      <c r="B61" s="455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23" t="s">
        <v>551</v>
      </c>
      <c r="D61" s="417">
        <f>SUMIFS(Пр11!G$10:G$1493,Пр11!$D$10:$D$1493,C61)</f>
        <v>0</v>
      </c>
      <c r="E61" s="417">
        <f>SUMIFS(Пр11!H$10:H$1493,Пр11!$D$10:$D$1493,C61)</f>
        <v>0</v>
      </c>
      <c r="F61" s="446">
        <f>SUMIFS(Пр11!I$10:I$1493,Пр11!$D$10:$D$1493,C61)</f>
        <v>0</v>
      </c>
      <c r="G61" s="446">
        <f>SUMIFS(Пр11!J$10:J$1493,Пр11!$D$10:$D$1493,C61)</f>
        <v>0</v>
      </c>
      <c r="H61" s="446">
        <f>SUMIFS(Пр11!K$10:K$1493,Пр11!$D$10:$D$1493,C61)</f>
        <v>0</v>
      </c>
      <c r="I61" s="448">
        <f>SUMIFS(Пр11!L$10:L$1493,Пр11!$D$10:$D$1493,C61)</f>
        <v>0</v>
      </c>
    </row>
    <row r="62" spans="1:9" ht="48" hidden="1" thickBot="1" x14ac:dyDescent="0.25">
      <c r="A62" s="419" t="s">
        <v>58</v>
      </c>
      <c r="B62" s="460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69" t="s">
        <v>528</v>
      </c>
      <c r="D62" s="424">
        <f>SUMIFS(Пр11!G$10:G$1493,Пр11!$D$10:$D$1493,C62)</f>
        <v>0</v>
      </c>
      <c r="E62" s="417">
        <f>SUMIFS(Пр11!H$10:H$1493,Пр11!$D$10:$D$1493,C62)</f>
        <v>0</v>
      </c>
      <c r="F62" s="440">
        <f>SUMIFS(Пр11!I$10:I$1493,Пр11!$D$10:$D$1493,C62)</f>
        <v>0</v>
      </c>
      <c r="G62" s="440">
        <f>SUMIFS(Пр11!J$10:J$1493,Пр11!$D$10:$D$1493,C62)</f>
        <v>0</v>
      </c>
      <c r="H62" s="446">
        <f>SUMIFS(Пр11!K$10:K$1493,Пр11!$D$10:$D$1493,C62)</f>
        <v>0</v>
      </c>
      <c r="I62" s="472">
        <f>SUMIFS(Пр11!L$10:L$1493,Пр11!$D$10:$D$1493,C62)</f>
        <v>0</v>
      </c>
    </row>
    <row r="63" spans="1:9" ht="63.75" thickBot="1" x14ac:dyDescent="0.3">
      <c r="A63" s="419" t="s">
        <v>661</v>
      </c>
      <c r="B63" s="808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670" t="s">
        <v>554</v>
      </c>
      <c r="D63" s="811">
        <f>SUMIFS(Пр11!G$10:G$1493,Пр11!$D$10:$D$1493,C63)</f>
        <v>24663000</v>
      </c>
      <c r="E63" s="810">
        <f>SUMIFS(Пр11!H$10:H$1493,Пр11!$D$10:$D$1493,C63)</f>
        <v>0</v>
      </c>
      <c r="F63" s="654">
        <f>SUMIFS(Пр11!I$10:I$1493,Пр11!$D$10:$D$1493,C63)</f>
        <v>24663000</v>
      </c>
      <c r="G63" s="811">
        <f>SUMIFS(Пр11!J$10:J$1493,Пр11!$D$10:$D$1493,C63)</f>
        <v>0</v>
      </c>
      <c r="H63" s="810">
        <f>SUMIFS(Пр11!K$10:K$1493,Пр11!$D$10:$D$1493,C63)</f>
        <v>0</v>
      </c>
      <c r="I63" s="654">
        <f>SUMIFS(Пр11!L$10:L$1493,Пр11!$D$10:$D$1493,C63)</f>
        <v>0</v>
      </c>
    </row>
    <row r="64" spans="1:9" ht="32.25" thickBot="1" x14ac:dyDescent="0.25">
      <c r="A64" s="419" t="s">
        <v>63</v>
      </c>
      <c r="B64" s="455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23" t="s">
        <v>555</v>
      </c>
      <c r="D64" s="487">
        <f>SUMIFS(Пр11!G$10:G$1493,Пр11!$D$10:$D$1493,C64)</f>
        <v>10000000</v>
      </c>
      <c r="E64" s="565">
        <f>SUMIFS(Пр11!H$10:H$1493,Пр11!$D$10:$D$1493,C64)</f>
        <v>0</v>
      </c>
      <c r="F64" s="553">
        <f>SUMIFS(Пр11!I$10:I$1493,Пр11!$D$10:$D$1493,C64)</f>
        <v>10000000</v>
      </c>
      <c r="G64" s="483">
        <f>SUMIFS(Пр11!J$10:J$1493,Пр11!$D$10:$D$1493,C64)</f>
        <v>0</v>
      </c>
      <c r="H64" s="565">
        <f>SUMIFS(Пр11!K$10:K$1493,Пр11!$D$10:$D$1493,C64)</f>
        <v>0</v>
      </c>
      <c r="I64" s="483">
        <f>SUMIFS(Пр11!L$10:L$1493,Пр11!$D$10:$D$1493,C64)</f>
        <v>0</v>
      </c>
    </row>
    <row r="65" spans="1:9" ht="63.75" thickBot="1" x14ac:dyDescent="0.3">
      <c r="A65" s="419" t="s">
        <v>662</v>
      </c>
      <c r="B65" s="233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32" t="s">
        <v>595</v>
      </c>
      <c r="D65" s="812">
        <f>SUMIFS(Пр11!G$10:G$1493,Пр11!$D$10:$D$1493,C65)</f>
        <v>14663000</v>
      </c>
      <c r="E65" s="804">
        <f>SUMIFS(Пр11!H$10:H$1493,Пр11!$D$10:$D$1493,C65)</f>
        <v>0</v>
      </c>
      <c r="F65" s="157">
        <f>SUMIFS(Пр11!I$10:I$1493,Пр11!$D$10:$D$1493,C65)</f>
        <v>14663000</v>
      </c>
      <c r="G65" s="812">
        <f>SUMIFS(Пр11!J$10:J$1493,Пр11!$D$10:$D$1493,C65)</f>
        <v>0</v>
      </c>
      <c r="H65" s="804">
        <f>SUMIFS(Пр11!K$10:K$1493,Пр11!$D$10:$D$1493,C65)</f>
        <v>0</v>
      </c>
      <c r="I65" s="157">
        <f>SUMIFS(Пр11!L$10:L$1493,Пр11!$D$10:$D$1493,C65)</f>
        <v>0</v>
      </c>
    </row>
    <row r="66" spans="1:9" ht="63.75" hidden="1" thickBot="1" x14ac:dyDescent="0.25">
      <c r="A66" s="419" t="s">
        <v>663</v>
      </c>
      <c r="B66" s="456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65" t="s">
        <v>558</v>
      </c>
      <c r="D66" s="575">
        <f>SUMIFS(Пр11!G$10:G$1493,Пр11!$D$10:$D$1493,C66)</f>
        <v>0</v>
      </c>
      <c r="E66" s="566">
        <f>SUMIFS(Пр11!H$10:H$1493,Пр11!$D$10:$D$1493,C66)</f>
        <v>0</v>
      </c>
      <c r="F66" s="555">
        <f>SUMIFS(Пр11!I$10:I$1493,Пр11!$D$10:$D$1493,C66)</f>
        <v>0</v>
      </c>
      <c r="G66" s="479">
        <f>SUMIFS(Пр11!J$10:J$1493,Пр11!$D$10:$D$1493,C66)</f>
        <v>0</v>
      </c>
      <c r="H66" s="569">
        <f>SUMIFS(Пр11!K$10:K$1493,Пр11!$D$10:$D$1493,C66)</f>
        <v>0</v>
      </c>
      <c r="I66" s="479">
        <f>SUMIFS(Пр11!L$10:L$1493,Пр11!$D$10:$D$1493,C66)</f>
        <v>0</v>
      </c>
    </row>
    <row r="67" spans="1:9" ht="48" hidden="1" thickBot="1" x14ac:dyDescent="0.25">
      <c r="A67" s="419" t="s">
        <v>664</v>
      </c>
      <c r="B67" s="457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98" t="s">
        <v>559</v>
      </c>
      <c r="D67" s="576">
        <f>SUMIFS(Пр11!G$10:G$1493,Пр11!$D$10:$D$1493,C67)</f>
        <v>0</v>
      </c>
      <c r="E67" s="567">
        <f>SUMIFS(Пр11!H$10:H$1493,Пр11!$D$10:$D$1493,C67)</f>
        <v>0</v>
      </c>
      <c r="F67" s="556">
        <f>SUMIFS(Пр11!I$10:I$1493,Пр11!$D$10:$D$1493,C67)</f>
        <v>0</v>
      </c>
      <c r="G67" s="480">
        <f>SUMIFS(Пр11!J$10:J$1493,Пр11!$D$10:$D$1493,C67)</f>
        <v>0</v>
      </c>
      <c r="H67" s="570">
        <f>SUMIFS(Пр11!K$10:K$1493,Пр11!$D$10:$D$1493,C67)</f>
        <v>0</v>
      </c>
      <c r="I67" s="480">
        <f>SUMIFS(Пр11!L$10:L$1493,Пр11!$D$10:$D$1493,C67)</f>
        <v>0</v>
      </c>
    </row>
    <row r="68" spans="1:9" ht="48" hidden="1" thickBot="1" x14ac:dyDescent="0.25">
      <c r="A68" s="419"/>
      <c r="B68" s="463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72" t="s">
        <v>596</v>
      </c>
      <c r="D68" s="416">
        <f>SUMIFS(Пр11!G$10:G$1493,Пр11!$D$10:$D$1493,C68)</f>
        <v>0</v>
      </c>
      <c r="E68" s="416">
        <f>SUMIFS(Пр11!H$10:H$1493,Пр11!$D$10:$D$1493,C68)</f>
        <v>0</v>
      </c>
      <c r="F68" s="439">
        <f>SUMIFS(Пр11!I$10:I$1493,Пр11!$D$10:$D$1493,C68)</f>
        <v>0</v>
      </c>
      <c r="G68" s="439">
        <f>SUMIFS(Пр11!J$10:J$1493,Пр11!$D$10:$D$1493,C68)</f>
        <v>0</v>
      </c>
      <c r="H68" s="439">
        <f>SUMIFS(Пр11!K$10:K$1493,Пр11!$D$10:$D$1493,C68)</f>
        <v>0</v>
      </c>
      <c r="I68" s="439">
        <f>SUMIFS(Пр11!L$10:L$1493,Пр11!$D$10:$D$1493,C68)</f>
        <v>0</v>
      </c>
    </row>
    <row r="69" spans="1:9" ht="63" hidden="1" x14ac:dyDescent="0.2">
      <c r="B69" s="461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65" t="s">
        <v>561</v>
      </c>
      <c r="D69" s="418">
        <f>SUMIFS(Пр11!G$10:G$1493,Пр11!$D$10:$D$1493,C69)</f>
        <v>0</v>
      </c>
      <c r="E69" s="418">
        <f>SUMIFS(Пр11!H$10:H$1493,Пр11!$D$10:$D$1493,C69)</f>
        <v>0</v>
      </c>
      <c r="F69" s="446">
        <f>SUMIFS(Пр11!I$10:I$1493,Пр11!$D$10:$D$1493,C69)</f>
        <v>0</v>
      </c>
      <c r="G69" s="446">
        <f>SUMIFS(Пр11!J$10:J$1493,Пр11!$D$10:$D$1493,C69)</f>
        <v>0</v>
      </c>
      <c r="H69" s="446">
        <f>SUMIFS(Пр11!K$10:K$1493,Пр11!$D$10:$D$1493,C69)</f>
        <v>0</v>
      </c>
      <c r="I69" s="446">
        <f>SUMIFS(Пр11!L$10:L$1493,Пр11!$D$10:$D$1493,C69)</f>
        <v>0</v>
      </c>
    </row>
    <row r="70" spans="1:9" ht="31.5" hidden="1" x14ac:dyDescent="0.2">
      <c r="B70" s="462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23" t="s">
        <v>563</v>
      </c>
      <c r="D70" s="417">
        <f>SUMIFS(Пр11!G$10:G$1493,Пр11!$D$10:$D$1493,C70)</f>
        <v>0</v>
      </c>
      <c r="E70" s="417">
        <f>SUMIFS(Пр11!H$10:H$1493,Пр11!$D$10:$D$1493,C70)</f>
        <v>0</v>
      </c>
      <c r="F70" s="446">
        <f>SUMIFS(Пр11!I$10:I$1493,Пр11!$D$10:$D$1493,C70)</f>
        <v>0</v>
      </c>
      <c r="G70" s="446">
        <f>SUMIFS(Пр11!J$10:J$1493,Пр11!$D$10:$D$1493,C70)</f>
        <v>0</v>
      </c>
      <c r="H70" s="446">
        <f>SUMIFS(Пр11!K$10:K$1493,Пр11!$D$10:$D$1493,C70)</f>
        <v>0</v>
      </c>
      <c r="I70" s="446">
        <f>SUMIFS(Пр11!L$10:L$1493,Пр11!$D$10:$D$1493,C70)</f>
        <v>0</v>
      </c>
    </row>
    <row r="71" spans="1:9" ht="47.25" hidden="1" x14ac:dyDescent="0.2">
      <c r="B71" s="462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23" t="s">
        <v>565</v>
      </c>
      <c r="D71" s="417">
        <f>SUMIFS(Пр11!G$10:G$1493,Пр11!$D$10:$D$1493,C71)</f>
        <v>0</v>
      </c>
      <c r="E71" s="417">
        <f>SUMIFS(Пр11!H$10:H$1493,Пр11!$D$10:$D$1493,C71)</f>
        <v>0</v>
      </c>
      <c r="F71" s="446">
        <f>SUMIFS(Пр11!I$10:I$1493,Пр11!$D$10:$D$1493,C71)</f>
        <v>0</v>
      </c>
      <c r="G71" s="446">
        <f>SUMIFS(Пр11!J$10:J$1493,Пр11!$D$10:$D$1493,C71)</f>
        <v>0</v>
      </c>
      <c r="H71" s="446">
        <f>SUMIFS(Пр11!K$10:K$1493,Пр11!$D$10:$D$1493,C71)</f>
        <v>0</v>
      </c>
      <c r="I71" s="446">
        <f>SUMIFS(Пр11!L$10:L$1493,Пр11!$D$10:$D$1493,C71)</f>
        <v>0</v>
      </c>
    </row>
    <row r="72" spans="1:9" ht="31.5" hidden="1" x14ac:dyDescent="0.2">
      <c r="B72" s="462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23" t="s">
        <v>567</v>
      </c>
      <c r="D72" s="417">
        <f>SUMIFS(Пр11!G$10:G$1493,Пр11!$D$10:$D$1493,C72)</f>
        <v>0</v>
      </c>
      <c r="E72" s="417">
        <f>SUMIFS(Пр11!H$10:H$1493,Пр11!$D$10:$D$1493,C72)</f>
        <v>0</v>
      </c>
      <c r="F72" s="446">
        <f>SUMIFS(Пр11!I$10:I$1493,Пр11!$D$10:$D$1493,C72)</f>
        <v>0</v>
      </c>
      <c r="G72" s="446">
        <f>SUMIFS(Пр11!J$10:J$1493,Пр11!$D$10:$D$1493,C72)</f>
        <v>0</v>
      </c>
      <c r="H72" s="446">
        <f>SUMIFS(Пр11!K$10:K$1493,Пр11!$D$10:$D$1493,C72)</f>
        <v>0</v>
      </c>
      <c r="I72" s="446">
        <f>SUMIFS(Пр11!L$10:L$1493,Пр11!$D$10:$D$1493,C72)</f>
        <v>0</v>
      </c>
    </row>
    <row r="73" spans="1:9" ht="47.25" hidden="1" x14ac:dyDescent="0.2">
      <c r="B73" s="464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97" t="s">
        <v>529</v>
      </c>
      <c r="D73" s="426">
        <f>SUMIFS(Пр11!G$10:G$1493,Пр11!$D$10:$D$1493,C73)</f>
        <v>0</v>
      </c>
      <c r="E73" s="426">
        <f>SUMIFS(Пр11!H$10:H$1493,Пр11!$D$10:$D$1493,C73)</f>
        <v>0</v>
      </c>
      <c r="F73" s="446">
        <f>SUMIFS(Пр11!I$10:I$1493,Пр11!$D$10:$D$1493,C73)</f>
        <v>0</v>
      </c>
      <c r="G73" s="446">
        <f>SUMIFS(Пр11!J$10:J$1493,Пр11!$D$10:$D$1493,C73)</f>
        <v>0</v>
      </c>
      <c r="H73" s="446">
        <f>SUMIFS(Пр11!K$10:K$1493,Пр11!$D$10:$D$1493,C73)</f>
        <v>0</v>
      </c>
      <c r="I73" s="446">
        <f>SUMIFS(Пр11!L$10:L$1493,Пр11!$D$10:$D$1493,C73)</f>
        <v>0</v>
      </c>
    </row>
    <row r="74" spans="1:9" ht="32.25" hidden="1" thickBot="1" x14ac:dyDescent="0.25">
      <c r="B74" s="458" t="str">
        <f>IF(C74&gt;0,VLOOKUP(C74,Программа!A$2:B$5124,2))</f>
        <v>Повышение качества управления имуществом и земельными ресурсами</v>
      </c>
      <c r="C74" s="169" t="s">
        <v>530</v>
      </c>
      <c r="D74" s="424">
        <f>SUMIFS(Пр11!G$10:G$1493,Пр11!$D$10:$D$1493,C74)</f>
        <v>0</v>
      </c>
      <c r="E74" s="424">
        <f>SUMIFS(Пр11!H$10:H$1493,Пр11!$D$10:$D$1493,C74)</f>
        <v>0</v>
      </c>
      <c r="F74" s="440">
        <f>SUMIFS(Пр11!I$10:I$1493,Пр11!$D$10:$D$1493,C74)</f>
        <v>0</v>
      </c>
      <c r="G74" s="440">
        <f>SUMIFS(Пр11!J$10:J$1493,Пр11!$D$10:$D$1493,C74)</f>
        <v>0</v>
      </c>
      <c r="H74" s="440">
        <f>SUMIFS(Пр11!K$10:K$1493,Пр11!$D$10:$D$1493,C74)</f>
        <v>0</v>
      </c>
      <c r="I74" s="440">
        <f>SUMIFS(Пр11!L$10:L$1493,Пр11!$D$10:$D$1493,C74)</f>
        <v>0</v>
      </c>
    </row>
    <row r="75" spans="1:9" ht="32.25" hidden="1" thickBot="1" x14ac:dyDescent="0.25">
      <c r="B75" s="453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62" t="s">
        <v>540</v>
      </c>
      <c r="D75" s="578">
        <f>SUMIFS(Пр11!G$10:G$1493,Пр11!$D$10:$D$1493,C75)</f>
        <v>0</v>
      </c>
      <c r="E75" s="560">
        <f>SUMIFS(Пр11!H$10:H$1493,Пр11!$D$10:$D$1493,C75)</f>
        <v>0</v>
      </c>
      <c r="F75" s="559">
        <f>SUMIFS(Пр11!I$10:I$1493,Пр11!$D$10:$D$1493,C75)</f>
        <v>0</v>
      </c>
      <c r="G75" s="485">
        <f>SUMIFS(Пр11!J$10:J$1493,Пр11!$D$10:$D$1493,C75)</f>
        <v>0</v>
      </c>
      <c r="H75" s="563">
        <f>SUMIFS(Пр11!K$10:K$1493,Пр11!$D$10:$D$1493,C75)</f>
        <v>0</v>
      </c>
      <c r="I75" s="484">
        <f>SUMIFS(Пр11!L$10:L$1493,Пр11!$D$10:$D$1493,C75)</f>
        <v>0</v>
      </c>
    </row>
    <row r="76" spans="1:9" ht="47.25" hidden="1" x14ac:dyDescent="0.2">
      <c r="B76" s="454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70" t="s">
        <v>542</v>
      </c>
      <c r="D76" s="581">
        <f>SUMIFS(Пр11!G$10:G$1493,Пр11!$D$10:$D$1493,C76)</f>
        <v>0</v>
      </c>
      <c r="E76" s="561">
        <f>SUMIFS(Пр11!H$10:H$1493,Пр11!$D$10:$D$1493,C76)</f>
        <v>0</v>
      </c>
      <c r="F76" s="555">
        <f>SUMIFS(Пр11!I$10:I$1493,Пр11!$D$10:$D$1493,C76)</f>
        <v>0</v>
      </c>
      <c r="G76" s="582">
        <f>SUMIFS(Пр11!J$10:J$1493,Пр11!$D$10:$D$1493,C76)</f>
        <v>0</v>
      </c>
      <c r="H76" s="564">
        <f>SUMIFS(Пр11!K$10:K$1493,Пр11!$D$10:$D$1493,C76)</f>
        <v>0</v>
      </c>
      <c r="I76" s="479">
        <f>SUMIFS(Пр11!L$10:L$1493,Пр11!$D$10:$D$1493,C76)</f>
        <v>0</v>
      </c>
    </row>
    <row r="77" spans="1:9" ht="31.5" hidden="1" x14ac:dyDescent="0.2">
      <c r="B77" s="455" t="str">
        <f>IF(C77&gt;0,VLOOKUP(C77,Программа!A$2:B$5124,2))</f>
        <v>Повышение безопасности дорожного движения на автомобильных дорогах</v>
      </c>
      <c r="C77" s="123" t="s">
        <v>544</v>
      </c>
      <c r="D77" s="487">
        <f>SUMIFS(Пр11!G$10:G$1493,Пр11!$D$10:$D$1493,C77)</f>
        <v>0</v>
      </c>
      <c r="E77" s="562">
        <f>SUMIFS(Пр11!H$10:H$1493,Пр11!$D$10:$D$1493,C77)</f>
        <v>0</v>
      </c>
      <c r="F77" s="553">
        <f>SUMIFS(Пр11!I$10:I$1493,Пр11!$D$10:$D$1493,C77)</f>
        <v>0</v>
      </c>
      <c r="G77" s="483">
        <f>SUMIFS(Пр11!J$10:J$1493,Пр11!$D$10:$D$1493,C77)</f>
        <v>0</v>
      </c>
      <c r="H77" s="565">
        <f>SUMIFS(Пр11!K$10:K$1493,Пр11!$D$10:$D$1493,C77)</f>
        <v>0</v>
      </c>
      <c r="I77" s="483">
        <f>SUMIFS(Пр11!L$10:L$1493,Пр11!$D$10:$D$1493,C77)</f>
        <v>0</v>
      </c>
    </row>
    <row r="78" spans="1:9" ht="47.25" hidden="1" x14ac:dyDescent="0.2">
      <c r="B78" s="456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65" t="s">
        <v>547</v>
      </c>
      <c r="D78" s="575">
        <f>SUMIFS(Пр11!G$10:G$1493,Пр11!$D$10:$D$1493,C78)</f>
        <v>0</v>
      </c>
      <c r="E78" s="566">
        <f>SUMIFS(Пр11!H$10:H$1493,Пр11!$D$10:$D$1493,C78)</f>
        <v>0</v>
      </c>
      <c r="F78" s="555">
        <f>SUMIFS(Пр11!I$10:I$1493,Пр11!$D$10:$D$1493,C78)</f>
        <v>0</v>
      </c>
      <c r="G78" s="479">
        <f>SUMIFS(Пр11!J$10:J$1493,Пр11!$D$10:$D$1493,C78)</f>
        <v>0</v>
      </c>
      <c r="H78" s="569">
        <f>SUMIFS(Пр11!K$10:K$1493,Пр11!$D$10:$D$1493,C78)</f>
        <v>0</v>
      </c>
      <c r="I78" s="479">
        <f>SUMIFS(Пр11!L$10:L$1493,Пр11!$D$10:$D$1493,C78)</f>
        <v>0</v>
      </c>
    </row>
    <row r="79" spans="1:9" ht="32.25" hidden="1" thickBot="1" x14ac:dyDescent="0.25">
      <c r="B79" s="457" t="str">
        <f>IF(C79&gt;0,VLOOKUP(C79,Программа!A$2:B$5124,2))</f>
        <v>Приведение  в нормативное состояние автомобильных дорог общего пользования</v>
      </c>
      <c r="C79" s="398" t="s">
        <v>549</v>
      </c>
      <c r="D79" s="576">
        <f>SUMIFS(Пр11!G$10:G$1493,Пр11!$D$10:$D$1493,C79)</f>
        <v>0</v>
      </c>
      <c r="E79" s="567">
        <f>SUMIFS(Пр11!H$10:H$1493,Пр11!$D$10:$D$1493,C79)</f>
        <v>0</v>
      </c>
      <c r="F79" s="556">
        <f>SUMIFS(Пр11!I$10:I$1493,Пр11!$D$10:$D$1493,C79)</f>
        <v>0</v>
      </c>
      <c r="G79" s="480">
        <f>SUMIFS(Пр11!J$10:J$1493,Пр11!$D$10:$D$1493,C79)</f>
        <v>0</v>
      </c>
      <c r="H79" s="570">
        <f>SUMIFS(Пр11!K$10:K$1493,Пр11!$D$10:$D$1493,C79)</f>
        <v>0</v>
      </c>
      <c r="I79" s="480">
        <f>SUMIFS(Пр11!L$10:L$1493,Пр11!$D$10:$D$1493,C79)</f>
        <v>0</v>
      </c>
    </row>
    <row r="80" spans="1:9" ht="47.25" hidden="1" x14ac:dyDescent="0.2">
      <c r="B80" s="465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99" t="s">
        <v>598</v>
      </c>
      <c r="D80" s="423">
        <f>SUMIFS(Пр11!G$10:G$1493,Пр11!$D$10:$D$1493,C80)</f>
        <v>0</v>
      </c>
      <c r="E80" s="423">
        <f>SUMIFS(Пр11!H$10:H$1493,Пр11!$D$10:$D$1493,C80)</f>
        <v>0</v>
      </c>
      <c r="F80" s="439">
        <f>SUMIFS(Пр11!I$10:I$1493,Пр11!$D$10:$D$1493,C80)</f>
        <v>0</v>
      </c>
      <c r="G80" s="439">
        <f>SUMIFS(Пр11!J$10:J$1493,Пр11!$D$10:$D$1493,C80)</f>
        <v>0</v>
      </c>
      <c r="H80" s="439">
        <f>SUMIFS(Пр11!K$10:K$1493,Пр11!$D$10:$D$1493,C80)</f>
        <v>0</v>
      </c>
      <c r="I80" s="439">
        <f>SUMIFS(Пр11!L$10:L$1493,Пр11!$D$10:$D$1493,C80)</f>
        <v>0</v>
      </c>
    </row>
    <row r="81" spans="2:9" ht="78.75" hidden="1" x14ac:dyDescent="0.2">
      <c r="B81" s="461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65" t="s">
        <v>600</v>
      </c>
      <c r="D81" s="418">
        <f>SUMIFS(Пр11!G$10:G$1493,Пр11!$D$10:$D$1493,C81)</f>
        <v>0</v>
      </c>
      <c r="E81" s="418">
        <f>SUMIFS(Пр11!H$10:H$1493,Пр11!$D$10:$D$1493,C81)</f>
        <v>0</v>
      </c>
      <c r="F81" s="446">
        <f>SUMIFS(Пр11!I$10:I$1493,Пр11!$D$10:$D$1493,C81)</f>
        <v>0</v>
      </c>
      <c r="G81" s="446">
        <f>SUMIFS(Пр11!J$10:J$1493,Пр11!$D$10:$D$1493,C81)</f>
        <v>0</v>
      </c>
      <c r="H81" s="446">
        <f>SUMIFS(Пр11!K$10:K$1493,Пр11!$D$10:$D$1493,C81)</f>
        <v>0</v>
      </c>
      <c r="I81" s="446">
        <f>SUMIFS(Пр11!L$10:L$1493,Пр11!$D$10:$D$1493,C81)</f>
        <v>0</v>
      </c>
    </row>
    <row r="82" spans="2:9" ht="78.75" hidden="1" x14ac:dyDescent="0.2">
      <c r="B82" s="462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23" t="s">
        <v>602</v>
      </c>
      <c r="D82" s="417">
        <f>SUMIFS(Пр11!G$10:G$1493,Пр11!$D$10:$D$1493,C82)</f>
        <v>0</v>
      </c>
      <c r="E82" s="417">
        <f>SUMIFS(Пр11!H$10:H$1493,Пр11!$D$10:$D$1493,C82)</f>
        <v>0</v>
      </c>
      <c r="F82" s="446">
        <f>SUMIFS(Пр11!I$10:I$1493,Пр11!$D$10:$D$1493,C82)</f>
        <v>0</v>
      </c>
      <c r="G82" s="446">
        <f>SUMIFS(Пр11!J$10:J$1493,Пр11!$D$10:$D$1493,C82)</f>
        <v>0</v>
      </c>
      <c r="H82" s="446">
        <f>SUMIFS(Пр11!K$10:K$1493,Пр11!$D$10:$D$1493,C82)</f>
        <v>0</v>
      </c>
      <c r="I82" s="446">
        <f>SUMIFS(Пр11!L$10:L$1493,Пр11!$D$10:$D$1493,C82)</f>
        <v>0</v>
      </c>
    </row>
    <row r="83" spans="2:9" ht="47.25" hidden="1" x14ac:dyDescent="0.2">
      <c r="B83" s="461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65" t="s">
        <v>604</v>
      </c>
      <c r="D83" s="418">
        <f>SUMIFS(Пр11!G$10:G$1493,Пр11!$D$10:$D$1493,C83)</f>
        <v>0</v>
      </c>
      <c r="E83" s="418">
        <f>SUMIFS(Пр11!H$10:H$1493,Пр11!$D$10:$D$1493,C83)</f>
        <v>0</v>
      </c>
      <c r="F83" s="446">
        <f>SUMIFS(Пр11!I$10:I$1493,Пр11!$D$10:$D$1493,C83)</f>
        <v>0</v>
      </c>
      <c r="G83" s="446">
        <f>SUMIFS(Пр11!J$10:J$1493,Пр11!$D$10:$D$1493,C83)</f>
        <v>0</v>
      </c>
      <c r="H83" s="446">
        <f>SUMIFS(Пр11!K$10:K$1493,Пр11!$D$10:$D$1493,C83)</f>
        <v>0</v>
      </c>
      <c r="I83" s="446">
        <f>SUMIFS(Пр11!L$10:L$1493,Пр11!$D$10:$D$1493,C83)</f>
        <v>0</v>
      </c>
    </row>
    <row r="84" spans="2:9" ht="63" hidden="1" x14ac:dyDescent="0.2">
      <c r="B84" s="462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23" t="s">
        <v>606</v>
      </c>
      <c r="D84" s="417">
        <f>SUMIFS(Пр11!G$10:G$1493,Пр11!$D$10:$D$1493,C84)</f>
        <v>0</v>
      </c>
      <c r="E84" s="417">
        <f>SUMIFS(Пр11!H$10:H$1493,Пр11!$D$10:$D$1493,C84)</f>
        <v>0</v>
      </c>
      <c r="F84" s="446">
        <f>SUMIFS(Пр11!I$10:I$1493,Пр11!$D$10:$D$1493,C84)</f>
        <v>0</v>
      </c>
      <c r="G84" s="446">
        <f>SUMIFS(Пр11!J$10:J$1493,Пр11!$D$10:$D$1493,C84)</f>
        <v>0</v>
      </c>
      <c r="H84" s="446">
        <f>SUMIFS(Пр11!K$10:K$1493,Пр11!$D$10:$D$1493,C84)</f>
        <v>0</v>
      </c>
      <c r="I84" s="446">
        <f>SUMIFS(Пр11!L$10:L$1493,Пр11!$D$10:$D$1493,C84)</f>
        <v>0</v>
      </c>
    </row>
    <row r="85" spans="2:9" ht="78.75" hidden="1" x14ac:dyDescent="0.2">
      <c r="B85" s="461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65" t="s">
        <v>608</v>
      </c>
      <c r="D85" s="418">
        <f>SUMIFS(Пр11!G$10:G$1493,Пр11!$D$10:$D$1493,C85)</f>
        <v>0</v>
      </c>
      <c r="E85" s="418">
        <f>SUMIFS(Пр11!H$10:H$1493,Пр11!$D$10:$D$1493,C85)</f>
        <v>0</v>
      </c>
      <c r="F85" s="446">
        <f>SUMIFS(Пр11!I$10:I$1493,Пр11!$D$10:$D$1493,C85)</f>
        <v>0</v>
      </c>
      <c r="G85" s="446">
        <f>SUMIFS(Пр11!J$10:J$1493,Пр11!$D$10:$D$1493,C85)</f>
        <v>0</v>
      </c>
      <c r="H85" s="446">
        <f>SUMIFS(Пр11!K$10:K$1493,Пр11!$D$10:$D$1493,C85)</f>
        <v>0</v>
      </c>
      <c r="I85" s="446">
        <f>SUMIFS(Пр11!L$10:L$1493,Пр11!$D$10:$D$1493,C85)</f>
        <v>0</v>
      </c>
    </row>
    <row r="86" spans="2:9" ht="63" hidden="1" x14ac:dyDescent="0.2">
      <c r="B86" s="462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23" t="s">
        <v>610</v>
      </c>
      <c r="D86" s="417">
        <f>SUMIFS(Пр11!G$10:G$1493,Пр11!$D$10:$D$1493,C86)</f>
        <v>0</v>
      </c>
      <c r="E86" s="417">
        <f>SUMIFS(Пр11!H$10:H$1493,Пр11!$D$10:$D$1493,C86)</f>
        <v>0</v>
      </c>
      <c r="F86" s="446">
        <f>SUMIFS(Пр11!I$10:I$1493,Пр11!$D$10:$D$1493,C86)</f>
        <v>0</v>
      </c>
      <c r="G86" s="446">
        <f>SUMIFS(Пр11!J$10:J$1493,Пр11!$D$10:$D$1493,C86)</f>
        <v>0</v>
      </c>
      <c r="H86" s="446">
        <f>SUMIFS(Пр11!K$10:K$1493,Пр11!$D$10:$D$1493,C86)</f>
        <v>0</v>
      </c>
      <c r="I86" s="446">
        <f>SUMIFS(Пр11!L$10:L$1493,Пр11!$D$10:$D$1493,C86)</f>
        <v>0</v>
      </c>
    </row>
    <row r="87" spans="2:9" ht="47.25" hidden="1" x14ac:dyDescent="0.2">
      <c r="B87" s="461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65" t="s">
        <v>612</v>
      </c>
      <c r="D87" s="418">
        <f>SUMIFS(Пр11!G$10:G$1493,Пр11!$D$10:$D$1493,C87)</f>
        <v>0</v>
      </c>
      <c r="E87" s="418">
        <f>SUMIFS(Пр11!H$10:H$1493,Пр11!$D$10:$D$1493,C87)</f>
        <v>0</v>
      </c>
      <c r="F87" s="446">
        <f>SUMIFS(Пр11!I$10:I$1493,Пр11!$D$10:$D$1493,C87)</f>
        <v>0</v>
      </c>
      <c r="G87" s="446">
        <f>SUMIFS(Пр11!J$10:J$1493,Пр11!$D$10:$D$1493,C87)</f>
        <v>0</v>
      </c>
      <c r="H87" s="446">
        <f>SUMIFS(Пр11!K$10:K$1493,Пр11!$D$10:$D$1493,C87)</f>
        <v>0</v>
      </c>
      <c r="I87" s="446">
        <f>SUMIFS(Пр11!L$10:L$1493,Пр11!$D$10:$D$1493,C87)</f>
        <v>0</v>
      </c>
    </row>
    <row r="88" spans="2:9" ht="32.25" hidden="1" thickBot="1" x14ac:dyDescent="0.25">
      <c r="B88" s="458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69" t="s">
        <v>614</v>
      </c>
      <c r="D88" s="424">
        <f>SUMIFS(Пр11!G$10:G$1493,Пр11!$D$10:$D$1493,C88)</f>
        <v>0</v>
      </c>
      <c r="E88" s="424">
        <f>SUMIFS(Пр11!H$10:H$1493,Пр11!$D$10:$D$1493,C88)</f>
        <v>0</v>
      </c>
      <c r="F88" s="440">
        <f>SUMIFS(Пр11!I$10:I$1493,Пр11!$D$10:$D$1493,C88)</f>
        <v>0</v>
      </c>
      <c r="G88" s="440">
        <f>SUMIFS(Пр11!J$10:J$1493,Пр11!$D$10:$D$1493,C88)</f>
        <v>0</v>
      </c>
      <c r="H88" s="440">
        <f>SUMIFS(Пр11!K$10:K$1493,Пр11!$D$10:$D$1493,C88)</f>
        <v>0</v>
      </c>
      <c r="I88" s="440">
        <f>SUMIFS(Пр11!L$10:L$1493,Пр11!$D$10:$D$1493,C88)</f>
        <v>0</v>
      </c>
    </row>
    <row r="89" spans="2:9" ht="63.75" hidden="1" thickBot="1" x14ac:dyDescent="0.25">
      <c r="B89" s="453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62" t="s">
        <v>337</v>
      </c>
      <c r="D89" s="612">
        <f>SUMIFS(Пр11!G$10:G$1493,Пр11!$D$10:$D$1493,C89)</f>
        <v>0</v>
      </c>
      <c r="E89" s="563">
        <f>SUMIFS(Пр11!H$10:H$1493,Пр11!$D$10:$D$1493,C89)</f>
        <v>0</v>
      </c>
      <c r="F89" s="437">
        <f>SUMIFS(Пр11!I$10:I$1493,Пр11!$D$10:$D$1493,C89)</f>
        <v>0</v>
      </c>
      <c r="G89" s="612">
        <f>SUMIFS(Пр11!J$10:J$1493,Пр11!$D$10:$D$1493,C89)</f>
        <v>0</v>
      </c>
      <c r="H89" s="563">
        <f>SUMIFS(Пр11!K$10:K$1493,Пр11!$D$10:$D$1493,C89)</f>
        <v>0</v>
      </c>
      <c r="I89" s="438">
        <f>SUMIFS(Пр11!L$10:L$1493,Пр11!$D$10:$D$1493,C89)</f>
        <v>0</v>
      </c>
    </row>
    <row r="90" spans="2:9" ht="47.25" hidden="1" x14ac:dyDescent="0.2">
      <c r="B90" s="454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70" t="s">
        <v>347</v>
      </c>
      <c r="D90" s="415">
        <f>SUMIFS(Пр11!G$10:G$1493,Пр11!$D$10:$D$1493,C90)</f>
        <v>0</v>
      </c>
      <c r="E90" s="415">
        <f>SUMIFS(Пр11!H$10:H$1493,Пр11!$D$10:$D$1493,C90)</f>
        <v>0</v>
      </c>
      <c r="F90" s="439">
        <f>SUMIFS(Пр11!I$10:I$1493,Пр11!$D$10:$D$1493,C90)</f>
        <v>0</v>
      </c>
      <c r="G90" s="439">
        <f>SUMIFS(Пр11!J$10:J$1493,Пр11!$D$10:$D$1493,C90)</f>
        <v>0</v>
      </c>
      <c r="H90" s="439">
        <f>SUMIFS(Пр11!K$10:K$1493,Пр11!$D$10:$D$1493,C90)</f>
        <v>0</v>
      </c>
      <c r="I90" s="447">
        <f>SUMIFS(Пр11!L$10:L$1493,Пр11!$D$10:$D$1493,C90)</f>
        <v>0</v>
      </c>
    </row>
    <row r="91" spans="2:9" ht="63" hidden="1" x14ac:dyDescent="0.2">
      <c r="B91" s="455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23" t="s">
        <v>349</v>
      </c>
      <c r="D91" s="417">
        <f>SUMIFS(Пр11!G$10:G$1493,Пр11!$D$10:$D$1493,C91)</f>
        <v>0</v>
      </c>
      <c r="E91" s="417">
        <f>SUMIFS(Пр11!H$10:H$1493,Пр11!$D$10:$D$1493,C91)</f>
        <v>0</v>
      </c>
      <c r="F91" s="446">
        <f>SUMIFS(Пр11!I$10:I$1493,Пр11!$D$10:$D$1493,C91)</f>
        <v>0</v>
      </c>
      <c r="G91" s="446">
        <f>SUMIFS(Пр11!J$10:J$1493,Пр11!$D$10:$D$1493,C91)</f>
        <v>0</v>
      </c>
      <c r="H91" s="446">
        <f>SUMIFS(Пр11!K$10:K$1493,Пр11!$D$10:$D$1493,C91)</f>
        <v>0</v>
      </c>
      <c r="I91" s="448">
        <f>SUMIFS(Пр11!L$10:L$1493,Пр11!$D$10:$D$1493,C91)</f>
        <v>0</v>
      </c>
    </row>
    <row r="92" spans="2:9" ht="32.25" hidden="1" thickBot="1" x14ac:dyDescent="0.25">
      <c r="B92" s="460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69" t="s">
        <v>351</v>
      </c>
      <c r="D92" s="424">
        <f>SUMIFS(Пр11!G$10:G$1493,Пр11!$D$10:$D$1493,C92)</f>
        <v>0</v>
      </c>
      <c r="E92" s="417">
        <f>SUMIFS(Пр11!H$10:H$1493,Пр11!$D$10:$D$1493,C92)</f>
        <v>0</v>
      </c>
      <c r="F92" s="440">
        <f>SUMIFS(Пр11!I$10:I$1493,Пр11!$D$10:$D$1493,C92)</f>
        <v>0</v>
      </c>
      <c r="G92" s="440">
        <f>SUMIFS(Пр11!J$10:J$1493,Пр11!$D$10:$D$1493,C92)</f>
        <v>0</v>
      </c>
      <c r="H92" s="446">
        <f>SUMIFS(Пр11!K$10:K$1493,Пр11!$D$10:$D$1493,C92)</f>
        <v>0</v>
      </c>
      <c r="I92" s="472">
        <f>SUMIFS(Пр11!L$10:L$1493,Пр11!$D$10:$D$1493,C92)</f>
        <v>0</v>
      </c>
    </row>
    <row r="93" spans="2:9" ht="47.25" hidden="1" x14ac:dyDescent="0.2">
      <c r="B93" s="461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65" t="s">
        <v>353</v>
      </c>
      <c r="D93" s="635">
        <f>SUMIFS(Пр11!G$10:G$1493,Пр11!$D$10:$D$1493,C93)</f>
        <v>0</v>
      </c>
      <c r="E93" s="569">
        <f>SUMIFS(Пр11!H$10:H$1493,Пр11!$D$10:$D$1493,C93)</f>
        <v>0</v>
      </c>
      <c r="F93" s="614">
        <f>SUMIFS(Пр11!I$10:I$1493,Пр11!$D$10:$D$1493,C93)</f>
        <v>0</v>
      </c>
      <c r="G93" s="635">
        <f>SUMIFS(Пр11!J$10:J$1493,Пр11!$D$10:$D$1493,C93)</f>
        <v>0</v>
      </c>
      <c r="H93" s="569">
        <f>SUMIFS(Пр11!K$10:K$1493,Пр11!$D$10:$D$1493,C93)</f>
        <v>0</v>
      </c>
      <c r="I93" s="614">
        <f>SUMIFS(Пр11!L$10:L$1493,Пр11!$D$10:$D$1493,C93)</f>
        <v>0</v>
      </c>
    </row>
    <row r="94" spans="2:9" ht="47.25" hidden="1" x14ac:dyDescent="0.2">
      <c r="B94" s="462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23" t="s">
        <v>355</v>
      </c>
      <c r="D94" s="633">
        <f>SUMIFS(Пр11!G$10:G$1493,Пр11!$D$10:$D$1493,C94)</f>
        <v>0</v>
      </c>
      <c r="E94" s="565">
        <f>SUMIFS(Пр11!H$10:H$1493,Пр11!$D$10:$D$1493,C94)</f>
        <v>0</v>
      </c>
      <c r="F94" s="164">
        <f>SUMIFS(Пр11!I$10:I$1493,Пр11!$D$10:$D$1493,C94)</f>
        <v>0</v>
      </c>
      <c r="G94" s="633">
        <f>SUMIFS(Пр11!J$10:J$1493,Пр11!$D$10:$D$1493,C94)</f>
        <v>0</v>
      </c>
      <c r="H94" s="565">
        <f>SUMIFS(Пр11!K$10:K$1493,Пр11!$D$10:$D$1493,C94)</f>
        <v>0</v>
      </c>
      <c r="I94" s="164">
        <f>SUMIFS(Пр11!L$10:L$1493,Пр11!$D$10:$D$1493,C94)</f>
        <v>0</v>
      </c>
    </row>
    <row r="95" spans="2:9" ht="47.25" hidden="1" x14ac:dyDescent="0.25">
      <c r="B95" s="808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670" t="s">
        <v>338</v>
      </c>
      <c r="D95" s="809">
        <f>SUMIFS(Пр11!G$10:G$1493,Пр11!$D$10:$D$1493,C95)</f>
        <v>0</v>
      </c>
      <c r="E95" s="810">
        <f>SUMIFS(Пр11!H$10:H$1493,Пр11!$D$10:$D$1493,C95)</f>
        <v>0</v>
      </c>
      <c r="F95" s="654">
        <f>SUMIFS(Пр11!I$10:I$1493,Пр11!$D$10:$D$1493,C95)</f>
        <v>0</v>
      </c>
      <c r="G95" s="809">
        <f>SUMIFS(Пр11!J$10:J$1493,Пр11!$D$10:$D$1493,C95)</f>
        <v>0</v>
      </c>
      <c r="H95" s="810">
        <f>SUMIFS(Пр11!K$10:K$1493,Пр11!$D$10:$D$1493,C95)</f>
        <v>0</v>
      </c>
      <c r="I95" s="654">
        <f>SUMIFS(Пр11!L$10:L$1493,Пр11!$D$10:$D$1493,C95)</f>
        <v>0</v>
      </c>
    </row>
    <row r="96" spans="2:9" ht="47.25" hidden="1" x14ac:dyDescent="0.2">
      <c r="B96" s="462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23" t="s">
        <v>340</v>
      </c>
      <c r="D96" s="630">
        <f>SUMIFS(Пр11!G$10:G$1493,Пр11!$D$10:$D$1493,C96)</f>
        <v>0</v>
      </c>
      <c r="E96" s="164">
        <f>SUMIFS(Пр11!H$10:H$1493,Пр11!$D$10:$D$1493,C96)</f>
        <v>0</v>
      </c>
      <c r="F96" s="164">
        <f>SUMIFS(Пр11!I$10:I$1493,Пр11!$D$10:$D$1493,C96)</f>
        <v>0</v>
      </c>
      <c r="G96" s="630">
        <f>SUMIFS(Пр11!J$10:J$1493,Пр11!$D$10:$D$1493,C96)</f>
        <v>0</v>
      </c>
      <c r="H96" s="164">
        <f>SUMIFS(Пр11!K$10:K$1493,Пр11!$D$10:$D$1493,C96)</f>
        <v>0</v>
      </c>
      <c r="I96" s="164">
        <f>SUMIFS(Пр11!L$10:L$1493,Пр11!$D$10:$D$1493,C96)</f>
        <v>0</v>
      </c>
    </row>
    <row r="97" spans="2:9" ht="31.5" hidden="1" x14ac:dyDescent="0.2">
      <c r="B97" s="462" t="str">
        <f>IF(C97&gt;0,VLOOKUP(C97,Программа!A$2:B$5124,2))</f>
        <v xml:space="preserve">Кадровое обеспечение агропромышленного комплекса </v>
      </c>
      <c r="C97" s="123" t="s">
        <v>342</v>
      </c>
      <c r="D97" s="630">
        <f>SUMIFS(Пр11!G$10:G$1493,Пр11!$D$10:$D$1493,C97)</f>
        <v>0</v>
      </c>
      <c r="E97" s="164">
        <f>SUMIFS(Пр11!H$10:H$1493,Пр11!$D$10:$D$1493,C97)</f>
        <v>0</v>
      </c>
      <c r="F97" s="164">
        <f>SUMIFS(Пр11!I$10:I$1493,Пр11!$D$10:$D$1493,C97)</f>
        <v>0</v>
      </c>
      <c r="G97" s="630">
        <f>SUMIFS(Пр11!J$10:J$1493,Пр11!$D$10:$D$1493,C97)</f>
        <v>0</v>
      </c>
      <c r="H97" s="164">
        <f>SUMIFS(Пр11!K$10:K$1493,Пр11!$D$10:$D$1493,C97)</f>
        <v>0</v>
      </c>
      <c r="I97" s="164">
        <f>SUMIFS(Пр11!L$10:L$1493,Пр11!$D$10:$D$1493,C97)</f>
        <v>0</v>
      </c>
    </row>
    <row r="98" spans="2:9" ht="63" hidden="1" x14ac:dyDescent="0.25">
      <c r="B98" s="233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32" t="s">
        <v>345</v>
      </c>
      <c r="D98" s="652">
        <f>SUMIFS(Пр11!G$10:G$1493,Пр11!$D$10:$D$1493,C98)</f>
        <v>0</v>
      </c>
      <c r="E98" s="157">
        <f>SUMIFS(Пр11!H$10:H$1493,Пр11!$D$10:$D$1493,C98)</f>
        <v>0</v>
      </c>
      <c r="F98" s="157">
        <f>SUMIFS(Пр11!I$10:I$1493,Пр11!$D$10:$D$1493,C98)</f>
        <v>0</v>
      </c>
      <c r="G98" s="652">
        <f>SUMIFS(Пр11!J$10:J$1493,Пр11!$D$10:$D$1493,C98)</f>
        <v>0</v>
      </c>
      <c r="H98" s="157">
        <f>SUMIFS(Пр11!K$10:K$1493,Пр11!$D$10:$D$1493,C98)</f>
        <v>0</v>
      </c>
      <c r="I98" s="157">
        <f>SUMIFS(Пр11!L$10:L$1493,Пр11!$D$10:$D$1493,C98)</f>
        <v>0</v>
      </c>
    </row>
    <row r="99" spans="2:9" ht="63.75" hidden="1" thickBot="1" x14ac:dyDescent="0.25">
      <c r="B99" s="589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90" t="s">
        <v>318</v>
      </c>
      <c r="D99" s="591">
        <f>SUMIFS(Пр11!G$10:G$1493,Пр11!$D$10:$D$1493,C99)</f>
        <v>0</v>
      </c>
      <c r="E99" s="591">
        <f>SUMIFS(Пр11!H$10:H$1493,Пр11!$D$10:$D$1493,C99)</f>
        <v>0</v>
      </c>
      <c r="F99" s="451">
        <f>SUMIFS(Пр11!I$10:I$1493,Пр11!$D$10:$D$1493,C99)</f>
        <v>0</v>
      </c>
      <c r="G99" s="451">
        <f>SUMIFS(Пр11!J$10:J$1493,Пр11!$D$10:$D$1493,C99)</f>
        <v>0</v>
      </c>
      <c r="H99" s="451">
        <f>SUMIFS(Пр11!K$10:K$1493,Пр11!$D$10:$D$1493,C99)</f>
        <v>0</v>
      </c>
      <c r="I99" s="452">
        <f>SUMIFS(Пр11!L$10:L$1493,Пр11!$D$10:$D$1493,C99)</f>
        <v>0</v>
      </c>
    </row>
    <row r="100" spans="2:9" s="421" customFormat="1" hidden="1" x14ac:dyDescent="0.2">
      <c r="B100" s="454">
        <f>IF(C100&gt;0,VLOOKUP(C100,Программа!A$2:B$5124,2))</f>
        <v>0</v>
      </c>
      <c r="C100" s="170" t="s">
        <v>484</v>
      </c>
      <c r="D100" s="415">
        <f>SUMIFS(Пр11!G$10:G$1493,Пр11!$D$10:$D$1493,C100)</f>
        <v>0</v>
      </c>
      <c r="E100" s="415">
        <f>SUMIFS(Пр11!H$10:H$1493,Пр11!$D$10:$D$1493,C100)</f>
        <v>0</v>
      </c>
      <c r="F100" s="439">
        <f>SUMIFS(Пр11!I$10:I$1493,Пр11!$D$10:$D$1493,C100)</f>
        <v>0</v>
      </c>
      <c r="G100" s="439">
        <f>SUMIFS(Пр11!J$10:J$1493,Пр11!$D$10:$D$1493,C100)</f>
        <v>0</v>
      </c>
      <c r="H100" s="439">
        <f>SUMIFS(Пр11!K$10:K$1493,Пр11!$D$10:$D$1493,C100)</f>
        <v>0</v>
      </c>
      <c r="I100" s="447">
        <f>SUMIFS(Пр11!L$10:L$1493,Пр11!$D$10:$D$1493,C100)</f>
        <v>0</v>
      </c>
    </row>
    <row r="101" spans="2:9" s="421" customFormat="1" ht="63" hidden="1" x14ac:dyDescent="0.2">
      <c r="B101" s="456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65" t="s">
        <v>481</v>
      </c>
      <c r="D101" s="418">
        <f>SUMIFS(Пр11!G$10:G$1493,Пр11!$D$10:$D$1493,C101)</f>
        <v>0</v>
      </c>
      <c r="E101" s="418">
        <f>SUMIFS(Пр11!H$10:H$1493,Пр11!$D$10:$D$1493,C101)</f>
        <v>0</v>
      </c>
      <c r="F101" s="446">
        <f>SUMIFS(Пр11!I$10:I$1493,Пр11!$D$10:$D$1493,C101)</f>
        <v>0</v>
      </c>
      <c r="G101" s="446">
        <f>SUMIFS(Пр11!J$10:J$1493,Пр11!$D$10:$D$1493,C101)</f>
        <v>0</v>
      </c>
      <c r="H101" s="446">
        <f>SUMIFS(Пр11!K$10:K$1493,Пр11!$D$10:$D$1493,C101)</f>
        <v>0</v>
      </c>
      <c r="I101" s="448">
        <f>SUMIFS(Пр11!L$10:L$1493,Пр11!$D$10:$D$1493,C101)</f>
        <v>0</v>
      </c>
    </row>
    <row r="102" spans="2:9" ht="63" hidden="1" x14ac:dyDescent="0.2">
      <c r="B102" s="456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65" t="s">
        <v>475</v>
      </c>
      <c r="D102" s="418">
        <f>SUMIFS(Пр11!G$10:G$1493,Пр11!$D$10:$D$1493,C102)</f>
        <v>0</v>
      </c>
      <c r="E102" s="418">
        <f>SUMIFS(Пр11!H$10:H$1493,Пр11!$D$10:$D$1493,C102)</f>
        <v>0</v>
      </c>
      <c r="F102" s="446">
        <f>SUMIFS(Пр11!I$10:I$1493,Пр11!$D$10:$D$1493,C102)</f>
        <v>0</v>
      </c>
      <c r="G102" s="446">
        <f>SUMIFS(Пр11!J$10:J$1493,Пр11!$D$10:$D$1493,C102)</f>
        <v>0</v>
      </c>
      <c r="H102" s="446">
        <f>SUMIFS(Пр11!K$10:K$1493,Пр11!$D$10:$D$1493,C102)</f>
        <v>0</v>
      </c>
      <c r="I102" s="448">
        <f>SUMIFS(Пр11!L$10:L$1493,Пр11!$D$10:$D$1493,C102)</f>
        <v>0</v>
      </c>
    </row>
    <row r="103" spans="2:9" ht="63" hidden="1" x14ac:dyDescent="0.2">
      <c r="B103" s="455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23" t="s">
        <v>476</v>
      </c>
      <c r="D103" s="417">
        <f>SUMIFS(Пр11!G$10:G$1493,Пр11!$D$10:$D$1493,C103)</f>
        <v>0</v>
      </c>
      <c r="E103" s="417">
        <f>SUMIFS(Пр11!H$10:H$1493,Пр11!$D$10:$D$1493,C103)</f>
        <v>0</v>
      </c>
      <c r="F103" s="446">
        <f>SUMIFS(Пр11!I$10:I$1493,Пр11!$D$10:$D$1493,C103)</f>
        <v>0</v>
      </c>
      <c r="G103" s="446">
        <f>SUMIFS(Пр11!J$10:J$1493,Пр11!$D$10:$D$1493,C103)</f>
        <v>0</v>
      </c>
      <c r="H103" s="446">
        <f>SUMIFS(Пр11!K$10:K$1493,Пр11!$D$10:$D$1493,C103)</f>
        <v>0</v>
      </c>
      <c r="I103" s="448">
        <f>SUMIFS(Пр11!L$10:L$1493,Пр11!$D$10:$D$1493,C103)</f>
        <v>0</v>
      </c>
    </row>
    <row r="104" spans="2:9" ht="63" hidden="1" x14ac:dyDescent="0.2">
      <c r="B104" s="456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65" t="s">
        <v>319</v>
      </c>
      <c r="D104" s="418">
        <f>SUMIFS(Пр11!G$10:G$1493,Пр11!$D$10:$D$1493,C104)</f>
        <v>0</v>
      </c>
      <c r="E104" s="418">
        <f>SUMIFS(Пр11!H$10:H$1493,Пр11!$D$10:$D$1493,C104)</f>
        <v>0</v>
      </c>
      <c r="F104" s="446">
        <f>SUMIFS(Пр11!I$10:I$1493,Пр11!$D$10:$D$1493,C104)</f>
        <v>0</v>
      </c>
      <c r="G104" s="446">
        <f>SUMIFS(Пр11!J$10:J$1493,Пр11!$D$10:$D$1493,C104)</f>
        <v>0</v>
      </c>
      <c r="H104" s="446">
        <f>SUMIFS(Пр11!K$10:K$1493,Пр11!$D$10:$D$1493,C104)</f>
        <v>0</v>
      </c>
      <c r="I104" s="448">
        <f>SUMIFS(Пр11!L$10:L$1493,Пр11!$D$10:$D$1493,C104)</f>
        <v>0</v>
      </c>
    </row>
    <row r="105" spans="2:9" ht="63.75" hidden="1" thickBot="1" x14ac:dyDescent="0.25">
      <c r="B105" s="457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98" t="s">
        <v>320</v>
      </c>
      <c r="D105" s="422">
        <f>SUMIFS(Пр11!G$10:G$1493,Пр11!$D$10:$D$1493,C105)</f>
        <v>0</v>
      </c>
      <c r="E105" s="422">
        <f>SUMIFS(Пр11!H$10:H$1493,Пр11!$D$10:$D$1493,C105)</f>
        <v>0</v>
      </c>
      <c r="F105" s="449">
        <f>SUMIFS(Пр11!I$10:I$1493,Пр11!$D$10:$D$1493,C105)</f>
        <v>0</v>
      </c>
      <c r="G105" s="449">
        <f>SUMIFS(Пр11!J$10:J$1493,Пр11!$D$10:$D$1493,C105)</f>
        <v>0</v>
      </c>
      <c r="H105" s="449">
        <f>SUMIFS(Пр11!K$10:K$1493,Пр11!$D$10:$D$1493,C105)</f>
        <v>0</v>
      </c>
      <c r="I105" s="450">
        <f>SUMIFS(Пр11!L$10:L$1493,Пр11!$D$10:$D$1493,C105)</f>
        <v>0</v>
      </c>
    </row>
    <row r="106" spans="2:9" ht="79.5" hidden="1" thickBot="1" x14ac:dyDescent="0.25">
      <c r="B106" s="453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62" t="s">
        <v>322</v>
      </c>
      <c r="D106" s="408">
        <f>SUMIFS(Пр11!G$10:G$1493,Пр11!$D$10:$D$1493,C106)</f>
        <v>0</v>
      </c>
      <c r="E106" s="408">
        <f>SUMIFS(Пр11!H$10:H$1493,Пр11!$D$10:$D$1493,C106)</f>
        <v>0</v>
      </c>
      <c r="F106" s="437">
        <f>SUMIFS(Пр11!I$10:I$1493,Пр11!$D$10:$D$1493,C106)</f>
        <v>0</v>
      </c>
      <c r="G106" s="437">
        <f>SUMIFS(Пр11!J$10:J$1493,Пр11!$D$10:$D$1493,C106)</f>
        <v>0</v>
      </c>
      <c r="H106" s="437">
        <f>SUMIFS(Пр11!K$10:K$1493,Пр11!$D$10:$D$1493,C106)</f>
        <v>0</v>
      </c>
      <c r="I106" s="438">
        <f>SUMIFS(Пр11!L$10:L$1493,Пр11!$D$10:$D$1493,C106)</f>
        <v>0</v>
      </c>
    </row>
    <row r="107" spans="2:9" ht="48" hidden="1" thickBot="1" x14ac:dyDescent="0.25">
      <c r="B107" s="473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71" t="s">
        <v>323</v>
      </c>
      <c r="D107" s="425">
        <f>SUMIFS(Пр11!G$10:G$1493,Пр11!$D$10:$D$1493,C107)</f>
        <v>0</v>
      </c>
      <c r="E107" s="409">
        <f>SUMIFS(Пр11!H$10:H$1493,Пр11!$D$10:$D$1493,C107)</f>
        <v>0</v>
      </c>
      <c r="F107" s="441">
        <f>SUMIFS(Пр11!I$10:I$1493,Пр11!$D$10:$D$1493,C107)</f>
        <v>0</v>
      </c>
      <c r="G107" s="441">
        <f>SUMIFS(Пр11!J$10:J$1493,Пр11!$D$10:$D$1493,C107)</f>
        <v>0</v>
      </c>
      <c r="H107" s="451">
        <f>SUMIFS(Пр11!K$10:K$1493,Пр11!$D$10:$D$1493,C107)</f>
        <v>0</v>
      </c>
      <c r="I107" s="474">
        <f>SUMIFS(Пр11!L$10:L$1493,Пр11!$D$10:$D$1493,C107)</f>
        <v>0</v>
      </c>
    </row>
    <row r="108" spans="2:9" ht="48" thickBot="1" x14ac:dyDescent="0.25">
      <c r="B108" s="453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629" t="s">
        <v>326</v>
      </c>
      <c r="D108" s="612">
        <f>SUMIFS(Пр11!G$10:G$1493,Пр11!$D$10:$D$1493,C108)</f>
        <v>1150000</v>
      </c>
      <c r="E108" s="563">
        <f>SUMIFS(Пр11!H$10:H$1493,Пр11!$D$10:$D$1493,C108)</f>
        <v>0</v>
      </c>
      <c r="F108" s="485">
        <f>SUMIFS(Пр11!I$10:I$1493,Пр11!$D$10:$D$1493,C108)</f>
        <v>1150000</v>
      </c>
      <c r="G108" s="612">
        <f>SUMIFS(Пр11!J$10:J$1493,Пр11!$D$10:$D$1493,C108)</f>
        <v>0</v>
      </c>
      <c r="H108" s="563">
        <f>SUMIFS(Пр11!K$10:K$1493,Пр11!$D$10:$D$1493,C108)</f>
        <v>0</v>
      </c>
      <c r="I108" s="485">
        <f>SUMIFS(Пр11!L$10:L$1493,Пр11!$D$10:$D$1493,C108)</f>
        <v>0</v>
      </c>
    </row>
    <row r="109" spans="2:9" ht="32.25" thickBot="1" x14ac:dyDescent="0.3">
      <c r="B109" s="805" t="str">
        <f>IF(C109&gt;0,VLOOKUP(C109,Программа!A$2:B$5124,2))</f>
        <v>Бесперебойное функционирование информационных систем</v>
      </c>
      <c r="C109" s="660" t="s">
        <v>360</v>
      </c>
      <c r="D109" s="806">
        <f>SUMIFS(Пр11!G$10:G$1493,Пр11!$D$10:$D$1493,C109)</f>
        <v>1150000</v>
      </c>
      <c r="E109" s="807">
        <f>SUMIFS(Пр11!H$10:H$1493,Пр11!$D$10:$D$1493,C109)</f>
        <v>0</v>
      </c>
      <c r="F109" s="661">
        <f>SUMIFS(Пр11!I$10:I$1493,Пр11!$D$10:$D$1493,C109)</f>
        <v>1150000</v>
      </c>
      <c r="G109" s="806">
        <f>SUMIFS(Пр11!J$10:J$1493,Пр11!$D$10:$D$1493,C109)</f>
        <v>0</v>
      </c>
      <c r="H109" s="807">
        <f>SUMIFS(Пр11!K$10:K$1493,Пр11!$D$10:$D$1493,C109)</f>
        <v>0</v>
      </c>
      <c r="I109" s="661">
        <f>SUMIFS(Пр11!L$10:L$1493,Пр11!$D$10:$D$1493,C109)</f>
        <v>0</v>
      </c>
    </row>
    <row r="110" spans="2:9" ht="48" hidden="1" thickBot="1" x14ac:dyDescent="0.25">
      <c r="B110" s="466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400" t="s">
        <v>328</v>
      </c>
      <c r="D110" s="409">
        <f>SUMIFS(Пр11!G$10:G$1493,Пр11!$D$10:$D$1493,C110)</f>
        <v>0</v>
      </c>
      <c r="E110" s="422">
        <f>SUMIFS(Пр11!H$10:H$1493,Пр11!$D$10:$D$1493,C110)</f>
        <v>0</v>
      </c>
      <c r="F110" s="451">
        <f>SUMIFS(Пр11!I$10:I$1493,Пр11!$D$10:$D$1493,C110)</f>
        <v>0</v>
      </c>
      <c r="G110" s="451">
        <f>SUMIFS(Пр11!J$10:J$1493,Пр11!$D$10:$D$1493,C110)</f>
        <v>0</v>
      </c>
      <c r="H110" s="449">
        <f>SUMIFS(Пр11!K$10:K$1493,Пр11!$D$10:$D$1493,C110)</f>
        <v>0</v>
      </c>
      <c r="I110" s="452">
        <f>SUMIFS(Пр11!L$10:L$1493,Пр11!$D$10:$D$1493,C110)</f>
        <v>0</v>
      </c>
    </row>
    <row r="111" spans="2:9" ht="79.5" thickBot="1" x14ac:dyDescent="0.25">
      <c r="B111" s="453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629" t="s">
        <v>330</v>
      </c>
      <c r="D111" s="637">
        <f>SUMIFS(Пр11!G$10:G$1493,Пр11!$D$10:$D$1493,C111)</f>
        <v>600000</v>
      </c>
      <c r="E111" s="639">
        <f>SUMIFS(Пр11!H$10:H$1493,Пр11!$D$10:$D$1493,C111)</f>
        <v>0</v>
      </c>
      <c r="F111" s="485">
        <f>SUMIFS(Пр11!I$10:I$1493,Пр11!$D$10:$D$1493,C111)</f>
        <v>600000</v>
      </c>
      <c r="G111" s="637">
        <f>SUMIFS(Пр11!J$10:J$1493,Пр11!$D$10:$D$1493,C111)</f>
        <v>600000</v>
      </c>
      <c r="H111" s="639">
        <f>SUMIFS(Пр11!K$10:K$1493,Пр11!$D$10:$D$1493,C111)</f>
        <v>0</v>
      </c>
      <c r="I111" s="485">
        <f>SUMIFS(Пр11!L$10:L$1493,Пр11!$D$10:$D$1493,C111)</f>
        <v>600000</v>
      </c>
    </row>
    <row r="112" spans="2:9" ht="63.75" thickBot="1" x14ac:dyDescent="0.25">
      <c r="B112" s="463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72" t="s">
        <v>1687</v>
      </c>
      <c r="D112" s="632">
        <f>SUMIFS(Пр11!G$10:G$1493,Пр11!$D$10:$D$1493,C112)</f>
        <v>600000</v>
      </c>
      <c r="E112" s="442">
        <f>SUMIFS(Пр11!H$10:H$1493,Пр11!$D$10:$D$1493,C112)</f>
        <v>0</v>
      </c>
      <c r="F112" s="442">
        <f>SUMIFS(Пр11!I$10:I$1493,Пр11!$D$10:$D$1493,C112)</f>
        <v>600000</v>
      </c>
      <c r="G112" s="632">
        <f>SUMIFS(Пр11!J$10:J$1493,Пр11!$D$10:$D$1493,C112)</f>
        <v>600000</v>
      </c>
      <c r="H112" s="439">
        <f>SUMIFS(Пр11!K$10:K$1493,Пр11!$D$10:$D$1493,C112)</f>
        <v>0</v>
      </c>
      <c r="I112" s="442">
        <f>SUMIFS(Пр11!L$10:L$1493,Пр11!$D$10:$D$1493,C112)</f>
        <v>600000</v>
      </c>
    </row>
    <row r="113" spans="2:9" ht="79.5" hidden="1" thickBot="1" x14ac:dyDescent="0.25">
      <c r="B113" s="460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69" t="s">
        <v>616</v>
      </c>
      <c r="D113" s="424">
        <f>SUMIFS(Пр11!G$10:G$1493,Пр11!$D$10:$D$1493,C113)</f>
        <v>0</v>
      </c>
      <c r="E113" s="422">
        <f>SUMIFS(Пр11!H$10:H$1493,Пр11!$D$10:$D$1493,C113)</f>
        <v>0</v>
      </c>
      <c r="F113" s="440">
        <f>SUMIFS(Пр11!I$10:I$1493,Пр11!$D$10:$D$1493,C113)</f>
        <v>0</v>
      </c>
      <c r="G113" s="440">
        <f>SUMIFS(Пр11!J$10:J$1493,Пр11!$D$10:$D$1493,C113)</f>
        <v>0</v>
      </c>
      <c r="H113" s="449">
        <f>SUMIFS(Пр11!K$10:K$1493,Пр11!$D$10:$D$1493,C113)</f>
        <v>0</v>
      </c>
      <c r="I113" s="472">
        <f>SUMIFS(Пр11!L$10:L$1493,Пр11!$D$10:$D$1493,C113)</f>
        <v>0</v>
      </c>
    </row>
    <row r="114" spans="2:9" ht="63.75" thickBot="1" x14ac:dyDescent="0.25">
      <c r="B114" s="453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629" t="s">
        <v>426</v>
      </c>
      <c r="D114" s="612">
        <f>SUMIFS(Пр11!G$10:G$1493,Пр11!$D$10:$D$1493,C114)</f>
        <v>200000</v>
      </c>
      <c r="E114" s="563">
        <f>SUMIFS(Пр11!H$10:H$1493,Пр11!$D$10:$D$1493,C114)</f>
        <v>0</v>
      </c>
      <c r="F114" s="485">
        <f>SUMIFS(Пр11!I$10:I$1493,Пр11!$D$10:$D$1493,C114)</f>
        <v>200000</v>
      </c>
      <c r="G114" s="612">
        <f>SUMIFS(Пр11!J$10:J$1493,Пр11!$D$10:$D$1493,C114)</f>
        <v>200000</v>
      </c>
      <c r="H114" s="563">
        <f>SUMIFS(Пр11!K$10:K$1493,Пр11!$D$10:$D$1493,C114)</f>
        <v>0</v>
      </c>
      <c r="I114" s="485">
        <f>SUMIFS(Пр11!L$10:L$1493,Пр11!$D$10:$D$1493,C114)</f>
        <v>200000</v>
      </c>
    </row>
    <row r="115" spans="2:9" ht="32.25" thickBot="1" x14ac:dyDescent="0.25">
      <c r="B115" s="459" t="str">
        <f>IF(C115&gt;0,VLOOKUP(C115,Программа!A$2:B$5124,2))</f>
        <v>Реализация мероприятий по профилактике правонарушений</v>
      </c>
      <c r="C115" s="171" t="s">
        <v>428</v>
      </c>
      <c r="D115" s="638">
        <f>SUMIFS(Пр11!G$10:G$1493,Пр11!$D$10:$D$1493,C115)</f>
        <v>200000</v>
      </c>
      <c r="E115" s="529">
        <f>SUMIFS(Пр11!H$10:H$1493,Пр11!$D$10:$D$1493,C115)</f>
        <v>0</v>
      </c>
      <c r="F115" s="476">
        <f>SUMIFS(Пр11!I$10:I$1493,Пр11!$D$10:$D$1493,C115)</f>
        <v>200000</v>
      </c>
      <c r="G115" s="638">
        <f>SUMIFS(Пр11!J$10:J$1493,Пр11!$D$10:$D$1493,C115)</f>
        <v>200000</v>
      </c>
      <c r="H115" s="529">
        <f>SUMIFS(Пр11!K$10:K$1493,Пр11!$D$10:$D$1493,C115)</f>
        <v>0</v>
      </c>
      <c r="I115" s="476">
        <f>SUMIFS(Пр11!L$10:L$1493,Пр11!$D$10:$D$1493,C115)</f>
        <v>200000</v>
      </c>
    </row>
    <row r="116" spans="2:9" ht="63.75" thickBot="1" x14ac:dyDescent="0.25">
      <c r="B116" s="453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629" t="s">
        <v>533</v>
      </c>
      <c r="D116" s="612">
        <f>SUMIFS(Пр11!G$10:G$1493,Пр11!$D$10:$D$1493,C116)</f>
        <v>11830000</v>
      </c>
      <c r="E116" s="563">
        <f>SUMIFS(Пр11!H$10:H$1493,Пр11!$D$10:$D$1493,C116)</f>
        <v>0</v>
      </c>
      <c r="F116" s="485">
        <f>SUMIFS(Пр11!I$10:I$1493,Пр11!$D$10:$D$1493,C116)</f>
        <v>11830000</v>
      </c>
      <c r="G116" s="612">
        <f>SUMIFS(Пр11!J$10:J$1493,Пр11!$D$10:$D$1493,C116)</f>
        <v>0</v>
      </c>
      <c r="H116" s="563">
        <f>SUMIFS(Пр11!K$10:K$1493,Пр11!$D$10:$D$1493,C116)</f>
        <v>0</v>
      </c>
      <c r="I116" s="485">
        <f>SUMIFS(Пр11!L$10:L$1493,Пр11!$D$10:$D$1493,C116)</f>
        <v>0</v>
      </c>
    </row>
    <row r="117" spans="2:9" ht="63" hidden="1" x14ac:dyDescent="0.2">
      <c r="B117" s="467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72" t="s">
        <v>535</v>
      </c>
      <c r="D117" s="416">
        <f>SUMIFS(Пр11!G$10:G$1493,Пр11!$D$10:$D$1493,C117)</f>
        <v>0</v>
      </c>
      <c r="E117" s="416">
        <f>SUMIFS(Пр11!H$10:H$1493,Пр11!$D$10:$D$1493,C117)</f>
        <v>0</v>
      </c>
      <c r="F117" s="442">
        <f>SUMIFS(Пр11!I$10:I$1493,Пр11!$D$10:$D$1493,C117)</f>
        <v>0</v>
      </c>
      <c r="G117" s="442">
        <f>SUMIFS(Пр11!J$10:J$1493,Пр11!$D$10:$D$1493,C117)</f>
        <v>0</v>
      </c>
      <c r="H117" s="442">
        <f>SUMIFS(Пр11!K$10:K$1493,Пр11!$D$10:$D$1493,C117)</f>
        <v>0</v>
      </c>
      <c r="I117" s="443">
        <f>SUMIFS(Пр11!L$10:L$1493,Пр11!$D$10:$D$1493,C117)</f>
        <v>0</v>
      </c>
    </row>
    <row r="118" spans="2:9" ht="63.75" hidden="1" thickBot="1" x14ac:dyDescent="0.25">
      <c r="B118" s="460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69" t="s">
        <v>537</v>
      </c>
      <c r="D118" s="424">
        <f>SUMIFS(Пр11!G$10:G$1493,Пр11!$D$10:$D$1493,C118)</f>
        <v>0</v>
      </c>
      <c r="E118" s="417">
        <f>SUMIFS(Пр11!H$10:H$1493,Пр11!$D$10:$D$1493,C118)</f>
        <v>0</v>
      </c>
      <c r="F118" s="444">
        <f>SUMIFS(Пр11!I$10:I$1493,Пр11!$D$10:$D$1493,C118)</f>
        <v>0</v>
      </c>
      <c r="G118" s="444">
        <f>SUMIFS(Пр11!J$10:J$1493,Пр11!$D$10:$D$1493,C118)</f>
        <v>0</v>
      </c>
      <c r="H118" s="164">
        <f>SUMIFS(Пр11!K$10:K$1493,Пр11!$D$10:$D$1493,C118)</f>
        <v>0</v>
      </c>
      <c r="I118" s="445">
        <f>SUMIFS(Пр11!L$10:L$1493,Пр11!$D$10:$D$1493,C118)</f>
        <v>0</v>
      </c>
    </row>
    <row r="119" spans="2:9" ht="35.25" customHeight="1" thickBot="1" x14ac:dyDescent="0.3">
      <c r="B119" s="233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32" t="s">
        <v>539</v>
      </c>
      <c r="D119" s="803">
        <f>SUMIFS(Пр11!G$10:G$1493,Пр11!$D$10:$D$1493,C119)</f>
        <v>11830000</v>
      </c>
      <c r="E119" s="804">
        <f>SUMIFS(Пр11!H$10:H$1493,Пр11!$D$10:$D$1493,C119)</f>
        <v>0</v>
      </c>
      <c r="F119" s="157">
        <f>SUMIFS(Пр11!I$10:I$1493,Пр11!$D$10:$D$1493,C119)</f>
        <v>11830000</v>
      </c>
      <c r="G119" s="803">
        <f>SUMIFS(Пр11!J$10:J$1493,Пр11!$D$10:$D$1493,C119)</f>
        <v>0</v>
      </c>
      <c r="H119" s="804">
        <f>SUMIFS(Пр11!K$10:K$1493,Пр11!$D$10:$D$1493,C119)</f>
        <v>0</v>
      </c>
      <c r="I119" s="157">
        <f>SUMIFS(Пр11!L$10:L$1493,Пр11!$D$10:$D$1493,C119)</f>
        <v>0</v>
      </c>
    </row>
    <row r="120" spans="2:9" ht="32.25" hidden="1" thickBot="1" x14ac:dyDescent="0.25">
      <c r="B120" s="458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69" t="s">
        <v>1194</v>
      </c>
      <c r="D120" s="634">
        <f>SUMIFS(Пр11!G$10:G$1493,Пр11!$D$10:$D$1493,C120)</f>
        <v>0</v>
      </c>
      <c r="E120" s="573"/>
      <c r="F120" s="444">
        <f>SUMIFS(Пр11!I$10:I$1493,Пр11!$D$10:$D$1493,C120)</f>
        <v>0</v>
      </c>
      <c r="G120" s="634">
        <f>SUMIFS(Пр11!J$10:J$1493,Пр11!$D$10:$D$1493,C120)</f>
        <v>0</v>
      </c>
      <c r="H120" s="573"/>
      <c r="I120" s="444">
        <f>SUMIFS(Пр11!L$10:L$1493,Пр11!$D$10:$D$1493,C120)</f>
        <v>0</v>
      </c>
    </row>
    <row r="121" spans="2:9" ht="32.25" hidden="1" thickBot="1" x14ac:dyDescent="0.25">
      <c r="B121" s="453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640" t="s">
        <v>622</v>
      </c>
      <c r="D121" s="848">
        <f>SUMIFS(Пр11!G$10:G$1493,Пр11!$D$10:$D$1493,C121)</f>
        <v>0</v>
      </c>
      <c r="E121" s="560">
        <f>SUMIFS(Пр11!H$10:H$1493,Пр11!$D$10:$D$1493,C121)</f>
        <v>0</v>
      </c>
      <c r="F121" s="485">
        <f>SUMIFS(Пр11!I$10:I$1493,Пр11!$D$10:$D$1493,C121)</f>
        <v>0</v>
      </c>
      <c r="G121" s="612">
        <f>SUMIFS(Пр11!J$10:J$1493,Пр11!$D$10:$D$1493,C121)</f>
        <v>0</v>
      </c>
      <c r="H121" s="563">
        <f>SUMIFS(Пр11!K$10:K$1493,Пр11!$D$10:$D$1493,C121)</f>
        <v>0</v>
      </c>
      <c r="I121" s="485">
        <f>SUMIFS(Пр11!L$10:L$1493,Пр11!$D$10:$D$1493,C121)</f>
        <v>0</v>
      </c>
    </row>
    <row r="122" spans="2:9" ht="63" hidden="1" x14ac:dyDescent="0.2">
      <c r="B122" s="454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403" t="s">
        <v>625</v>
      </c>
      <c r="D122" s="415">
        <f>SUMIFS(Пр11!G$10:G$1493,Пр11!$D$10:$D$1493,C122)</f>
        <v>0</v>
      </c>
      <c r="E122" s="415">
        <f>SUMIFS(Пр11!H$10:H$1493,Пр11!$D$10:$D$1493,C122)</f>
        <v>0</v>
      </c>
      <c r="F122" s="439">
        <f>SUMIFS(Пр11!I$10:I$1493,Пр11!$D$10:$D$1493,C122)</f>
        <v>0</v>
      </c>
      <c r="G122" s="439">
        <f>SUMIFS(Пр11!J$10:J$1493,Пр11!$D$10:$D$1493,C122)</f>
        <v>0</v>
      </c>
      <c r="H122" s="439">
        <f>SUMIFS(Пр11!K$10:K$1493,Пр11!$D$10:$D$1493,C122)</f>
        <v>0</v>
      </c>
      <c r="I122" s="447">
        <f>SUMIFS(Пр11!L$10:L$1493,Пр11!$D$10:$D$1493,C122)</f>
        <v>0</v>
      </c>
    </row>
    <row r="123" spans="2:9" ht="32.25" hidden="1" thickBot="1" x14ac:dyDescent="0.25">
      <c r="B123" s="460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405" t="s">
        <v>628</v>
      </c>
      <c r="D123" s="424">
        <f>SUMIFS(Пр11!G$10:G$1493,Пр11!$D$10:$D$1493,C123)</f>
        <v>0</v>
      </c>
      <c r="E123" s="417">
        <f>SUMIFS(Пр11!H$10:H$1493,Пр11!$D$10:$D$1493,C123)</f>
        <v>0</v>
      </c>
      <c r="F123" s="440">
        <f>SUMIFS(Пр11!I$10:I$1493,Пр11!$D$10:$D$1493,C123)</f>
        <v>0</v>
      </c>
      <c r="G123" s="440">
        <f>SUMIFS(Пр11!J$10:J$1493,Пр11!$D$10:$D$1493,C123)</f>
        <v>0</v>
      </c>
      <c r="H123" s="446">
        <f>SUMIFS(Пр11!K$10:K$1493,Пр11!$D$10:$D$1493,C123)</f>
        <v>0</v>
      </c>
      <c r="I123" s="472">
        <f>SUMIFS(Пр11!L$10:L$1493,Пр11!$D$10:$D$1493,C123)</f>
        <v>0</v>
      </c>
    </row>
    <row r="124" spans="2:9" ht="47.25" hidden="1" x14ac:dyDescent="0.2">
      <c r="B124" s="481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79" t="s">
        <v>631</v>
      </c>
      <c r="D124" s="577">
        <f>SUMIFS(Пр11!G$10:G$1493,Пр11!$D$10:$D$1493,C124)</f>
        <v>0</v>
      </c>
      <c r="E124" s="566">
        <f>SUMIFS(Пр11!H$10:H$1493,Пр11!$D$10:$D$1493,C124)</f>
        <v>0</v>
      </c>
      <c r="F124" s="557">
        <f>SUMIFS(Пр11!I$10:I$1493,Пр11!$D$10:$D$1493,C124)</f>
        <v>0</v>
      </c>
      <c r="G124" s="482">
        <f>SUMIFS(Пр11!J$10:J$1493,Пр11!$D$10:$D$1493,C124)</f>
        <v>0</v>
      </c>
      <c r="H124" s="569">
        <f>SUMIFS(Пр11!K$10:K$1493,Пр11!$D$10:$D$1493,C124)</f>
        <v>0</v>
      </c>
      <c r="I124" s="482">
        <f>SUMIFS(Пр11!L$10:L$1493,Пр11!$D$10:$D$1493,C124)</f>
        <v>0</v>
      </c>
    </row>
    <row r="125" spans="2:9" ht="32.25" hidden="1" thickBot="1" x14ac:dyDescent="0.25">
      <c r="B125" s="457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80" t="s">
        <v>633</v>
      </c>
      <c r="D125" s="576">
        <f>SUMIFS(Пр11!G$10:G$1493,Пр11!$D$10:$D$1493,C125)</f>
        <v>0</v>
      </c>
      <c r="E125" s="562">
        <f>SUMIFS(Пр11!H$10:H$1493,Пр11!$D$10:$D$1493,C125)</f>
        <v>0</v>
      </c>
      <c r="F125" s="556">
        <f>SUMIFS(Пр11!I$10:I$1493,Пр11!$D$10:$D$1493,C125)</f>
        <v>0</v>
      </c>
      <c r="G125" s="480">
        <f>SUMIFS(Пр11!J$10:J$1493,Пр11!$D$10:$D$1493,C125)</f>
        <v>0</v>
      </c>
      <c r="H125" s="565">
        <f>SUMIFS(Пр11!K$10:K$1493,Пр11!$D$10:$D$1493,C125)</f>
        <v>0</v>
      </c>
      <c r="I125" s="480">
        <f>SUMIFS(Пр11!L$10:L$1493,Пр11!$D$10:$D$1493,C125)</f>
        <v>0</v>
      </c>
    </row>
    <row r="126" spans="2:9" ht="31.5" hidden="1" x14ac:dyDescent="0.2">
      <c r="B126" s="467" t="str">
        <f>IF(C126&gt;0,VLOOKUP(C126,Программа!A$2:B$5124,2))</f>
        <v>Обеспечение мероприятий по ремонту общедомового имущества</v>
      </c>
      <c r="C126" s="407" t="s">
        <v>636</v>
      </c>
      <c r="D126" s="416">
        <f>SUMIFS(Пр11!G$10:G$1493,Пр11!$D$10:$D$1493,C126)</f>
        <v>0</v>
      </c>
      <c r="E126" s="417">
        <f>SUMIFS(Пр11!H$10:H$1493,Пр11!$D$10:$D$1493,C126)</f>
        <v>0</v>
      </c>
      <c r="F126" s="439">
        <f>SUMIFS(Пр11!I$10:I$1493,Пр11!$D$10:$D$1493,C126)</f>
        <v>0</v>
      </c>
      <c r="G126" s="439">
        <f>SUMIFS(Пр11!J$10:J$1493,Пр11!$D$10:$D$1493,C126)</f>
        <v>0</v>
      </c>
      <c r="H126" s="446">
        <f>SUMIFS(Пр11!K$10:K$1493,Пр11!$D$10:$D$1493,C126)</f>
        <v>0</v>
      </c>
      <c r="I126" s="447">
        <f>SUMIFS(Пр11!L$10:L$1493,Пр11!$D$10:$D$1493,C126)</f>
        <v>0</v>
      </c>
    </row>
    <row r="127" spans="2:9" ht="25.5" hidden="1" customHeight="1" thickBot="1" x14ac:dyDescent="0.25">
      <c r="B127" s="460" t="str">
        <f>IF(C127&gt;0,VLOOKUP(C127,Программа!A$2:B$5124,2))</f>
        <v>Обеспечение мероприятий по ремонту муниципальных квартир</v>
      </c>
      <c r="C127" s="405" t="s">
        <v>637</v>
      </c>
      <c r="D127" s="424">
        <f>SUMIFS(Пр11!G$10:G$1493,Пр11!$D$10:$D$1493,C127)</f>
        <v>0</v>
      </c>
      <c r="E127" s="422">
        <f>SUMIFS(Пр11!H$10:H$1493,Пр11!$D$10:$D$1493,C127)</f>
        <v>0</v>
      </c>
      <c r="F127" s="440">
        <f>SUMIFS(Пр11!I$10:I$1493,Пр11!$D$10:$D$1493,C127)</f>
        <v>0</v>
      </c>
      <c r="G127" s="440">
        <f>SUMIFS(Пр11!J$10:J$1493,Пр11!$D$10:$D$1493,C127)</f>
        <v>0</v>
      </c>
      <c r="H127" s="449">
        <f>SUMIFS(Пр11!K$10:K$1493,Пр11!$D$10:$D$1493,C127)</f>
        <v>0</v>
      </c>
      <c r="I127" s="472">
        <f>SUMIFS(Пр11!L$10:L$1493,Пр11!$D$10:$D$1493,C127)</f>
        <v>0</v>
      </c>
    </row>
    <row r="128" spans="2:9" ht="49.7" customHeight="1" thickBot="1" x14ac:dyDescent="0.25">
      <c r="B128" s="453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640" t="s">
        <v>640</v>
      </c>
      <c r="D128" s="612">
        <f>SUMIFS(Пр11!G$10:G$1493,Пр11!$D$10:$D$1493,C128)</f>
        <v>25480078</v>
      </c>
      <c r="E128" s="563">
        <f>SUMIFS(Пр11!H$10:H$1493,Пр11!$D$10:$D$1493,C128)</f>
        <v>0</v>
      </c>
      <c r="F128" s="485">
        <f>SUMIFS(Пр11!I$10:I$1493,Пр11!$D$10:$D$1493,C128)</f>
        <v>25480078</v>
      </c>
      <c r="G128" s="612">
        <f>SUMIFS(Пр11!J$10:J$1493,Пр11!$D$10:$D$1493,C128)</f>
        <v>23430078</v>
      </c>
      <c r="H128" s="563">
        <f>SUMIFS(Пр11!K$10:K$1493,Пр11!$D$10:$D$1493,C128)</f>
        <v>0</v>
      </c>
      <c r="I128" s="485">
        <f>SUMIFS(Пр11!L$10:L$1493,Пр11!$D$10:$D$1493,C128)</f>
        <v>23430078</v>
      </c>
    </row>
    <row r="129" spans="1:9" ht="31.7" customHeight="1" x14ac:dyDescent="0.2">
      <c r="B129" s="454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403" t="s">
        <v>642</v>
      </c>
      <c r="D129" s="581">
        <f>SUMIFS(Пр11!G$10:G$1493,Пр11!$D$10:$D$1493,C129)</f>
        <v>500000</v>
      </c>
      <c r="E129" s="561">
        <f>SUMIFS(Пр11!H$10:H$1493,Пр11!$D$10:$D$1493,C129)</f>
        <v>0</v>
      </c>
      <c r="F129" s="615">
        <f>SUMIFS(Пр11!I$10:I$1493,Пр11!$D$10:$D$1493,C129)</f>
        <v>500000</v>
      </c>
      <c r="G129" s="582">
        <f>SUMIFS(Пр11!J$10:J$1493,Пр11!$D$10:$D$1493,C129)</f>
        <v>500000</v>
      </c>
      <c r="H129" s="564">
        <f>SUMIFS(Пр11!K$10:K$1493,Пр11!$D$10:$D$1493,C129)</f>
        <v>0</v>
      </c>
      <c r="I129" s="582">
        <f>SUMIFS(Пр11!L$10:L$1493,Пр11!$D$10:$D$1493,C129)</f>
        <v>500000</v>
      </c>
    </row>
    <row r="130" spans="1:9" ht="42" customHeight="1" x14ac:dyDescent="0.2">
      <c r="B130" s="455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404" t="s">
        <v>644</v>
      </c>
      <c r="D130" s="487">
        <f>SUMIFS(Пр11!G$10:G$1493,Пр11!$D$10:$D$1493,C130)</f>
        <v>500000</v>
      </c>
      <c r="E130" s="562">
        <f>SUMIFS(Пр11!H$10:H$1493,Пр11!$D$10:$D$1493,C130)</f>
        <v>0</v>
      </c>
      <c r="F130" s="553">
        <f>SUMIFS(Пр11!I$10:I$1493,Пр11!$D$10:$D$1493,C130)</f>
        <v>500000</v>
      </c>
      <c r="G130" s="483">
        <f>SUMIFS(Пр11!J$10:J$1493,Пр11!$D$10:$D$1493,C130)</f>
        <v>500000</v>
      </c>
      <c r="H130" s="565">
        <f>SUMIFS(Пр11!K$10:K$1493,Пр11!$D$10:$D$1493,C130)</f>
        <v>0</v>
      </c>
      <c r="I130" s="483">
        <f>SUMIFS(Пр11!L$10:L$1493,Пр11!$D$10:$D$1493,C130)</f>
        <v>500000</v>
      </c>
    </row>
    <row r="131" spans="1:9" ht="39.75" customHeight="1" x14ac:dyDescent="0.2">
      <c r="B131" s="461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74" t="s">
        <v>645</v>
      </c>
      <c r="D131" s="569">
        <f>SUMIFS(Пр11!G$10:G$1493,Пр11!$D$10:$D$1493,C131)</f>
        <v>11818000</v>
      </c>
      <c r="E131" s="614">
        <f>SUMIFS(Пр11!H$10:H$1493,Пр11!$D$10:$D$1493,C131)</f>
        <v>0</v>
      </c>
      <c r="F131" s="614">
        <f>SUMIFS(Пр11!I$10:I$1493,Пр11!$D$10:$D$1493,C131)</f>
        <v>11818000</v>
      </c>
      <c r="G131" s="631">
        <f>SUMIFS(Пр11!J$10:J$1493,Пр11!$D$10:$D$1493,C131)</f>
        <v>11118000</v>
      </c>
      <c r="H131" s="614">
        <f>SUMIFS(Пр11!K$10:K$1493,Пр11!$D$10:$D$1493,C131)</f>
        <v>0</v>
      </c>
      <c r="I131" s="614">
        <f>SUMIFS(Пр11!L$10:L$1493,Пр11!$D$10:$D$1493,C131)</f>
        <v>11118000</v>
      </c>
    </row>
    <row r="132" spans="1:9" ht="44.25" customHeight="1" x14ac:dyDescent="0.2">
      <c r="B132" s="462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404" t="s">
        <v>647</v>
      </c>
      <c r="D132" s="565">
        <f>SUMIFS(Пр11!G$10:G$1493,Пр11!$D$10:$D$1493,C132)</f>
        <v>5000000</v>
      </c>
      <c r="E132" s="164">
        <f>SUMIFS(Пр11!H$10:H$1493,Пр11!$D$10:$D$1493,C132)</f>
        <v>0</v>
      </c>
      <c r="F132" s="164">
        <f>SUMIFS(Пр11!I$10:I$1493,Пр11!$D$10:$D$1493,C132)</f>
        <v>5000000</v>
      </c>
      <c r="G132" s="630">
        <f>SUMIFS(Пр11!J$10:J$1493,Пр11!$D$10:$D$1493,C132)</f>
        <v>5000000</v>
      </c>
      <c r="H132" s="164">
        <f>SUMIFS(Пр11!K$10:K$1493,Пр11!$D$10:$D$1493,C132)</f>
        <v>0</v>
      </c>
      <c r="I132" s="164">
        <f>SUMIFS(Пр11!L$10:L$1493,Пр11!$D$10:$D$1493,C132)</f>
        <v>5000000</v>
      </c>
    </row>
    <row r="133" spans="1:9" ht="42.75" customHeight="1" x14ac:dyDescent="0.2">
      <c r="B133" s="455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404" t="s">
        <v>649</v>
      </c>
      <c r="D133" s="487">
        <f>SUMIFS(Пр11!G$10:G$1493,Пр11!$D$10:$D$1493,C133)</f>
        <v>6818000</v>
      </c>
      <c r="E133" s="470">
        <f>SUMIFS(Пр11!H$10:H$1493,Пр11!$D$10:$D$1493,C133)</f>
        <v>0</v>
      </c>
      <c r="F133" s="901">
        <f>SUMIFS(Пр11!I$10:I$1493,Пр11!$D$10:$D$1493,C133)</f>
        <v>6818000</v>
      </c>
      <c r="G133" s="584">
        <f>SUMIFS(Пр11!J$10:J$1493,Пр11!$D$10:$D$1493,C133)</f>
        <v>6118000</v>
      </c>
      <c r="H133" s="471">
        <f>SUMIFS(Пр11!K$10:K$1493,Пр11!$D$10:$D$1493,C133)</f>
        <v>0</v>
      </c>
      <c r="I133" s="442">
        <f>SUMIFS(Пр11!L$10:L$1493,Пр11!$D$10:$D$1493,C133)</f>
        <v>6118000</v>
      </c>
    </row>
    <row r="134" spans="1:9" ht="38.25" hidden="1" customHeight="1" x14ac:dyDescent="0.2">
      <c r="B134" s="455" t="str">
        <f>IF(C134&gt;0,VLOOKUP(C134,Программа!A$2:B$5124,2))</f>
        <v>Обеспечение мероприятий по благоустройству воинских захоронений</v>
      </c>
      <c r="C134" s="404" t="s">
        <v>650</v>
      </c>
      <c r="D134" s="487">
        <f>SUMIFS(Пр11!G$10:G$1493,Пр11!$D$10:$D$1493,C134)</f>
        <v>0</v>
      </c>
      <c r="E134" s="469">
        <f>SUMIFS(Пр11!H$10:H$1493,Пр11!$D$10:$D$1493,C134)</f>
        <v>0</v>
      </c>
      <c r="F134" s="558">
        <f>SUMIFS(Пр11!I$10:I$1493,Пр11!$D$10:$D$1493,C134)</f>
        <v>0</v>
      </c>
      <c r="G134" s="483">
        <f>SUMIFS(Пр11!J$10:J$1493,Пр11!$D$10:$D$1493,C134)</f>
        <v>0</v>
      </c>
      <c r="H134" s="571">
        <f>SUMIFS(Пр11!K$10:K$1493,Пр11!$D$10:$D$1493,C134)</f>
        <v>0</v>
      </c>
      <c r="I134" s="440">
        <f>SUMIFS(Пр11!L$10:L$1493,Пр11!$D$10:$D$1493,C134)</f>
        <v>0</v>
      </c>
    </row>
    <row r="135" spans="1:9" s="421" customFormat="1" ht="35.25" customHeight="1" x14ac:dyDescent="0.2">
      <c r="A135" s="410"/>
      <c r="B135" s="461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74" t="s">
        <v>1391</v>
      </c>
      <c r="D135" s="569">
        <f>SUMIFS(Пр11!G$10:G$1493,Пр11!$D$10:$D$1493,C135)</f>
        <v>11662078</v>
      </c>
      <c r="E135" s="164">
        <f>SUMIFS(Пр11!H$10:H$1493,Пр11!$D$10:$D$1493,C135)</f>
        <v>0</v>
      </c>
      <c r="F135" s="164">
        <f>SUMIFS(Пр11!I$10:I$1493,Пр11!$D$10:$D$1493,C135)</f>
        <v>11662078</v>
      </c>
      <c r="G135" s="630">
        <f>SUMIFS(Пр11!J$10:J$1493,Пр11!$D$10:$D$1493,C135)</f>
        <v>11662078</v>
      </c>
      <c r="H135" s="164">
        <f>SUMIFS(Пр11!K$10:K$1493,Пр11!$D$10:$D$1493,C135)</f>
        <v>0</v>
      </c>
      <c r="I135" s="164">
        <f>SUMIFS(Пр11!L$10:L$1493,Пр11!$D$10:$D$1493,C135)</f>
        <v>11662078</v>
      </c>
    </row>
    <row r="136" spans="1:9" ht="31.7" customHeight="1" x14ac:dyDescent="0.2">
      <c r="B136" s="462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404" t="s">
        <v>1392</v>
      </c>
      <c r="D136" s="565">
        <f>SUMIFS(Пр11!G$10:G$1493,Пр11!$D$10:$D$1493,C136)</f>
        <v>11662078</v>
      </c>
      <c r="E136" s="164">
        <f>SUMIFS(Пр11!H$10:H$1493,Пр11!$D$10:$D$1493,C136)</f>
        <v>0</v>
      </c>
      <c r="F136" s="164">
        <f>SUMIFS(Пр11!I$10:I$1493,Пр11!$D$10:$D$1493,C136)</f>
        <v>11662078</v>
      </c>
      <c r="G136" s="630">
        <f>SUMIFS(Пр11!J$10:J$1493,Пр11!$D$10:$D$1493,C136)</f>
        <v>11662078</v>
      </c>
      <c r="H136" s="164">
        <f>SUMIFS(Пр11!K$10:K$1493,Пр11!$D$10:$D$1493,C136)</f>
        <v>0</v>
      </c>
      <c r="I136" s="164">
        <f>SUMIFS(Пр11!L$10:L$1493,Пр11!$D$10:$D$1493,C136)</f>
        <v>11662078</v>
      </c>
    </row>
    <row r="137" spans="1:9" s="421" customFormat="1" ht="39.75" customHeight="1" x14ac:dyDescent="0.2">
      <c r="A137" s="410"/>
      <c r="B137" s="461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74" t="s">
        <v>1393</v>
      </c>
      <c r="D137" s="569">
        <f>SUMIFS(Пр11!G$10:G$1493,Пр11!$D$10:$D$1493,C137)</f>
        <v>1500000</v>
      </c>
      <c r="E137" s="164">
        <f>SUMIFS(Пр11!H$10:H$1493,Пр11!$D$10:$D$1493,C137)</f>
        <v>0</v>
      </c>
      <c r="F137" s="164">
        <f>SUMIFS(Пр11!I$10:I$1493,Пр11!$D$10:$D$1493,C137)</f>
        <v>1500000</v>
      </c>
      <c r="G137" s="630">
        <f>SUMIFS(Пр11!J$10:J$1493,Пр11!$D$10:$D$1493,C137)</f>
        <v>150000</v>
      </c>
      <c r="H137" s="164">
        <f>SUMIFS(Пр11!K$10:K$1493,Пр11!$D$10:$D$1493,C137)</f>
        <v>0</v>
      </c>
      <c r="I137" s="164">
        <f>SUMIFS(Пр11!L$10:L$1493,Пр11!$D$10:$D$1493,C137)</f>
        <v>150000</v>
      </c>
    </row>
    <row r="138" spans="1:9" ht="48.75" customHeight="1" thickBot="1" x14ac:dyDescent="0.25">
      <c r="B138" s="458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405" t="s">
        <v>1394</v>
      </c>
      <c r="D138" s="570">
        <f>SUMIFS(Пр11!G$10:G$1493,Пр11!$D$10:$D$1493,C138)</f>
        <v>1500000</v>
      </c>
      <c r="E138" s="164">
        <f>SUMIFS(Пр11!H$10:H$1493,Пр11!$D$10:$D$1493,C138)</f>
        <v>0</v>
      </c>
      <c r="F138" s="444">
        <f>SUMIFS(Пр11!I$10:I$1493,Пр11!$D$10:$D$1493,C138)</f>
        <v>1500000</v>
      </c>
      <c r="G138" s="630">
        <f>SUMIFS(Пр11!J$10:J$1493,Пр11!$D$10:$D$1493,C138)</f>
        <v>150000</v>
      </c>
      <c r="H138" s="164">
        <f>SUMIFS(Пр11!K$10:K$1493,Пр11!$D$10:$D$1493,C138)</f>
        <v>0</v>
      </c>
      <c r="I138" s="444">
        <f>SUMIFS(Пр11!L$10:L$1493,Пр11!$D$10:$D$1493,C138)</f>
        <v>150000</v>
      </c>
    </row>
    <row r="139" spans="1:9" ht="57" hidden="1" customHeight="1" thickBot="1" x14ac:dyDescent="0.25">
      <c r="B139" s="453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629" t="s">
        <v>652</v>
      </c>
      <c r="D139" s="854">
        <f>SUMIFS(Пр11!G$10:G$1493,Пр11!$D$10:$D$1493,C139)</f>
        <v>0</v>
      </c>
      <c r="E139" s="852">
        <f>SUMIFS(Пр11!H$10:H$1493,Пр11!$D$10:$D$1493,C139)</f>
        <v>0</v>
      </c>
      <c r="F139" s="485">
        <f>SUMIFS(Пр11!I$10:I$1493,Пр11!$D$10:$D$1493,C139)</f>
        <v>0</v>
      </c>
      <c r="G139" s="855">
        <f>SUMIFS(Пр11!J$10:J$1493,Пр11!$D$10:$D$1493,C139)</f>
        <v>0</v>
      </c>
      <c r="H139" s="853">
        <f>SUMIFS(Пр11!K$10:K$1493,Пр11!$D$10:$D$1493,C139)</f>
        <v>0</v>
      </c>
      <c r="I139" s="485">
        <f>SUMIFS(Пр11!L$10:L$1493,Пр11!$D$10:$D$1493,C139)</f>
        <v>0</v>
      </c>
    </row>
    <row r="140" spans="1:9" ht="67.7" hidden="1" customHeight="1" thickBot="1" x14ac:dyDescent="0.25">
      <c r="B140" s="466" t="str">
        <f>IF(C140&gt;0,VLOOKUP(C140,Программа!A$2:B$5124,2))</f>
        <v>Обеспечение населения Тутаевского муниципального района банными услугами</v>
      </c>
      <c r="C140" s="406" t="s">
        <v>654</v>
      </c>
      <c r="D140" s="576">
        <f>SUMIFS(Пр11!G$10:G$1493,Пр11!$D$10:$D$1493,C140)</f>
        <v>0</v>
      </c>
      <c r="E140" s="594">
        <f>SUMIFS(Пр11!H$10:H$1493,Пр11!$D$10:$D$1493,C140)</f>
        <v>0</v>
      </c>
      <c r="F140" s="592">
        <f>SUMIFS(Пр11!I$10:I$1493,Пр11!$D$10:$D$1493,C140)</f>
        <v>0</v>
      </c>
      <c r="G140" s="486">
        <f>SUMIFS(Пр11!J$10:J$1493,Пр11!$D$10:$D$1493,C140)</f>
        <v>0</v>
      </c>
      <c r="H140" s="595">
        <f>SUMIFS(Пр11!K$10:K$1493,Пр11!$D$10:$D$1493,C140)</f>
        <v>0</v>
      </c>
      <c r="I140" s="452">
        <f>SUMIFS(Пр11!L$10:L$1493,Пр11!$D$10:$D$1493,C140)</f>
        <v>0</v>
      </c>
    </row>
    <row r="141" spans="1:9" s="413" customFormat="1" ht="48" thickBot="1" x14ac:dyDescent="0.25">
      <c r="B141" s="589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93" t="s">
        <v>1026</v>
      </c>
      <c r="D141" s="591">
        <f>SUMIFS(Пр11!G$10:G$1493,Пр11!$D$10:$D$1493,C141)</f>
        <v>2936113</v>
      </c>
      <c r="E141" s="408">
        <f>SUMIFS(Пр11!H$10:H$1493,Пр11!$D$10:$D$1493,C141)</f>
        <v>0</v>
      </c>
      <c r="F141" s="437">
        <f>SUMIFS(Пр11!I$10:I$1493,Пр11!$D$10:$D$1493,C141)</f>
        <v>2936113</v>
      </c>
      <c r="G141" s="451">
        <f>SUMIFS(Пр11!J$10:J$1493,Пр11!$D$10:$D$1493,C141)</f>
        <v>6359412</v>
      </c>
      <c r="H141" s="437">
        <f>SUMIFS(Пр11!K$10:K$1493,Пр11!$D$10:$D$1493,C141)</f>
        <v>0</v>
      </c>
      <c r="I141" s="438">
        <f>SUMIFS(Пр11!L$10:L$1493,Пр11!$D$10:$D$1493,C141)</f>
        <v>6359412</v>
      </c>
    </row>
    <row r="142" spans="1:9" ht="72.95" customHeight="1" thickBot="1" x14ac:dyDescent="0.25">
      <c r="B142" s="466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406" t="s">
        <v>1067</v>
      </c>
      <c r="D142" s="409">
        <f>SUMIFS(Пр11!G$10:G$1493,Пр11!$D$10:$D$1493,C142)</f>
        <v>2936113</v>
      </c>
      <c r="E142" s="409">
        <f>SUMIFS(Пр11!H$10:H$1493,Пр11!$D$10:$D$1493,D142)</f>
        <v>0</v>
      </c>
      <c r="F142" s="841">
        <f>SUMIFS(Пр11!I$10:I$1493,Пр11!$D$10:$D$1493,C142)</f>
        <v>2936113</v>
      </c>
      <c r="G142" s="841">
        <f>SUMIFS(Пр11!J$10:J$1493,Пр11!$D$10:$D$1493,C142)</f>
        <v>6359412</v>
      </c>
      <c r="H142" s="841">
        <f>SUMIFS(Пр11!K$10:K$1493,Пр11!$D$10:$D$1493,C142)</f>
        <v>0</v>
      </c>
      <c r="I142" s="842">
        <f>SUMIFS(Пр11!L$10:L$1493,Пр11!$D$10:$D$1493,C142)</f>
        <v>6359412</v>
      </c>
    </row>
    <row r="143" spans="1:9" s="413" customFormat="1" ht="48" hidden="1" thickBot="1" x14ac:dyDescent="0.25">
      <c r="B143" s="453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402" t="s">
        <v>1038</v>
      </c>
      <c r="D143" s="408">
        <f>SUMIFS(Пр11!G$10:G$1493,Пр11!$D$10:$D$1493,C143)</f>
        <v>0</v>
      </c>
      <c r="E143" s="408">
        <f>SUMIFS(Пр11!H$10:H$1493,Пр11!$D$10:$D$1493,C143)</f>
        <v>0</v>
      </c>
      <c r="F143" s="437">
        <f>SUMIFS(Пр11!I$10:I$1493,Пр11!$D$10:$D$1493,C143)</f>
        <v>0</v>
      </c>
      <c r="G143" s="437">
        <f>SUMIFS(Пр11!J$10:J$1493,Пр11!$D$10:$D$1493,C143)</f>
        <v>0</v>
      </c>
      <c r="H143" s="437">
        <f>SUMIFS(Пр11!K$10:K$1493,Пр11!$D$10:$D$1493,C143)</f>
        <v>0</v>
      </c>
      <c r="I143" s="438">
        <f>SUMIFS(Пр11!L$10:L$1493,Пр11!$D$10:$D$1493,C143)</f>
        <v>0</v>
      </c>
    </row>
    <row r="144" spans="1:9" ht="47.25" hidden="1" x14ac:dyDescent="0.2">
      <c r="B144" s="467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407" t="s">
        <v>1040</v>
      </c>
      <c r="D144" s="416">
        <f>SUMIFS(Пр11!G$10:G$1493,Пр11!$D$10:$D$1493,C144)</f>
        <v>0</v>
      </c>
      <c r="E144" s="416">
        <f>SUMIFS(Пр11!H$10:H$1493,Пр11!$D$10:$D$1493,C144)</f>
        <v>0</v>
      </c>
      <c r="F144" s="439">
        <f>SUMIFS(Пр11!I$10:I$1493,Пр11!$D$10:$D$1493,C144)</f>
        <v>0</v>
      </c>
      <c r="G144" s="439">
        <f>SUMIFS(Пр11!J$10:J$1493,Пр11!$D$10:$D$1493,C144)</f>
        <v>0</v>
      </c>
      <c r="H144" s="439">
        <f>SUMIFS(Пр11!K$10:K$1493,Пр11!$D$10:$D$1493,C144)</f>
        <v>0</v>
      </c>
      <c r="I144" s="447">
        <f>SUMIFS(Пр11!L$10:L$1493,Пр11!$D$10:$D$1493,C144)</f>
        <v>0</v>
      </c>
    </row>
    <row r="145" spans="1:9" ht="79.5" hidden="1" thickBot="1" x14ac:dyDescent="0.25">
      <c r="B145" s="460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405" t="s">
        <v>1042</v>
      </c>
      <c r="D145" s="424">
        <f>SUMIFS(Пр11!G$10:G$1493,Пр11!$D$10:$D$1493,C145)</f>
        <v>0</v>
      </c>
      <c r="E145" s="422">
        <f>SUMIFS(Пр11!H$10:H$1493,Пр11!$D$10:$D$1493,C145)</f>
        <v>0</v>
      </c>
      <c r="F145" s="440">
        <f>SUMIFS(Пр11!I$10:I$1493,Пр11!$D$10:$D$1493,C145)</f>
        <v>0</v>
      </c>
      <c r="G145" s="440">
        <f>SUMIFS(Пр11!J$10:J$1493,Пр11!$D$10:$D$1493,C145)</f>
        <v>0</v>
      </c>
      <c r="H145" s="449">
        <f>SUMIFS(Пр11!K$10:K$1493,Пр11!$D$10:$D$1493,C145)</f>
        <v>0</v>
      </c>
      <c r="I145" s="472">
        <f>SUMIFS(Пр11!L$10:L$1493,Пр11!$D$10:$D$1493,C145)</f>
        <v>0</v>
      </c>
    </row>
    <row r="146" spans="1:9" ht="44.25" customHeight="1" thickBot="1" x14ac:dyDescent="0.25">
      <c r="B146" s="453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640" t="s">
        <v>1134</v>
      </c>
      <c r="D146" s="612">
        <f>SUMIFS(Пр11!G$10:G$1493,Пр11!$D$10:$D$1493,C146)</f>
        <v>7875000</v>
      </c>
      <c r="E146" s="603">
        <f>SUMIFS(Пр11!H$10:H$1493,Пр11!$D$10:$D$1493,C146)</f>
        <v>0</v>
      </c>
      <c r="F146" s="485">
        <f>SUMIFS(Пр11!I$10:I$1493,Пр11!$D$10:$D$1493,C146)</f>
        <v>7875000</v>
      </c>
      <c r="G146" s="612">
        <f>SUMIFS(Пр11!J$10:J$1493,Пр11!$D$10:$D$1493,C146)</f>
        <v>3500000</v>
      </c>
      <c r="H146" s="563">
        <f>SUMIFS(Пр11!K$10:K$1493,Пр11!$D$10:$D$1493,C146)</f>
        <v>0</v>
      </c>
      <c r="I146" s="485">
        <f>SUMIFS(Пр11!L$10:L$1493,Пр11!$D$10:$D$1493,C146)</f>
        <v>3500000</v>
      </c>
    </row>
    <row r="147" spans="1:9" ht="31.7" customHeight="1" thickBot="1" x14ac:dyDescent="0.25">
      <c r="B147" s="463" t="str">
        <f>IF(C147&gt;0,VLOOKUP(C147,Программа!A$2:B$5124,2))</f>
        <v>Повышение уровня благоустройства территорий</v>
      </c>
      <c r="C147" s="407" t="s">
        <v>1152</v>
      </c>
      <c r="D147" s="636">
        <f>SUMIFS(Пр11!G$10:G$1493,Пр11!$D$10:$D$1493,C147)</f>
        <v>7875000</v>
      </c>
      <c r="E147" s="572">
        <f>SUMIFS(Пр11!H$10:H$1493,Пр11!$D$10:$D$1493,C147)</f>
        <v>0</v>
      </c>
      <c r="F147" s="442">
        <f>SUMIFS(Пр11!I$10:I$1493,Пр11!$D$10:$D$1493,C147)</f>
        <v>7875000</v>
      </c>
      <c r="G147" s="636">
        <f>SUMIFS(Пр11!J$10:J$1493,Пр11!$D$10:$D$1493,C147)</f>
        <v>3500000</v>
      </c>
      <c r="H147" s="572">
        <f>SUMIFS(Пр11!K$10:K$1493,Пр11!$D$10:$D$1493,C147)</f>
        <v>0</v>
      </c>
      <c r="I147" s="442">
        <f>SUMIFS(Пр11!L$10:L$1493,Пр11!$D$10:$D$1493,C147)</f>
        <v>3500000</v>
      </c>
    </row>
    <row r="148" spans="1:9" ht="43.5" hidden="1" customHeight="1" x14ac:dyDescent="0.2">
      <c r="B148" s="467" t="str">
        <f>IF(C148&gt;0,VLOOKUP(C148,Программа!A$2:B$5124,2))</f>
        <v>Реализация  Губернаторского  проекта "Наши дворы"</v>
      </c>
      <c r="C148" s="407" t="s">
        <v>1153</v>
      </c>
      <c r="D148" s="416">
        <f>SUMIFS(Пр11!G$10:G$1493,Пр11!$D$10:$D$1493,C148)</f>
        <v>0</v>
      </c>
      <c r="E148" s="417">
        <f>SUMIFS(Пр11!H$10:H$1493,Пр11!$D$10:$D$1493,C148)</f>
        <v>0</v>
      </c>
      <c r="F148" s="439">
        <f>SUMIFS(Пр11!I$10:I$1493,Пр11!$D$10:$D$1493,C148)</f>
        <v>0</v>
      </c>
      <c r="G148" s="439">
        <f>SUMIFS(Пр11!J$10:J$1493,Пр11!$D$10:$D$1493,C148)</f>
        <v>0</v>
      </c>
      <c r="H148" s="446">
        <f>SUMIFS(Пр11!K$10:K$1493,Пр11!$D$10:$D$1493,C148)</f>
        <v>0</v>
      </c>
      <c r="I148" s="447">
        <f>SUMIFS(Пр11!L$10:L$1493,Пр11!$D$10:$D$1493,C148)</f>
        <v>0</v>
      </c>
    </row>
    <row r="149" spans="1:9" ht="44.25" hidden="1" customHeight="1" x14ac:dyDescent="0.2">
      <c r="B149" s="455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404" t="s">
        <v>1154</v>
      </c>
      <c r="D149" s="417">
        <f>SUMIFS(Пр11!G$10:G$1493,Пр11!$D$10:$D$1493,C149)</f>
        <v>0</v>
      </c>
      <c r="E149" s="417">
        <f>SUMIFS(Пр11!H$10:H$1493,Пр11!$D$10:$D$1493,C149)</f>
        <v>0</v>
      </c>
      <c r="F149" s="446">
        <f>SUMIFS(Пр11!I$10:I$1493,Пр11!$D$10:$D$1493,C149)</f>
        <v>0</v>
      </c>
      <c r="G149" s="446">
        <f>SUMIFS(Пр11!J$10:J$1493,Пр11!$D$10:$D$1493,C149)</f>
        <v>0</v>
      </c>
      <c r="H149" s="446">
        <f>SUMIFS(Пр11!K$10:K$1493,Пр11!$D$10:$D$1493,C149)</f>
        <v>0</v>
      </c>
      <c r="I149" s="448">
        <f>SUMIFS(Пр11!L$10:L$1493,Пр11!$D$10:$D$1493,C149)</f>
        <v>0</v>
      </c>
    </row>
    <row r="150" spans="1:9" ht="54" hidden="1" customHeight="1" thickBot="1" x14ac:dyDescent="0.25">
      <c r="B150" s="460" t="s">
        <v>1313</v>
      </c>
      <c r="C150" s="169" t="s">
        <v>1314</v>
      </c>
      <c r="D150" s="424">
        <f>SUMIFS(Пр11!G$10:G$1493,Пр11!$D$10:$D$1493,C150)</f>
        <v>0</v>
      </c>
      <c r="E150" s="422">
        <f>SUMIFS(Пр11!H$10:H$1493,Пр11!$D$10:$D$1493,C150)</f>
        <v>0</v>
      </c>
      <c r="F150" s="440">
        <f>SUMIFS(Пр11!I$10:I$1493,Пр11!$D$10:$D$1493,C150)</f>
        <v>0</v>
      </c>
      <c r="G150" s="440">
        <f>SUMIFS(Пр11!J$10:J$1493,Пр11!$D$10:$D$1493,C150)</f>
        <v>0</v>
      </c>
      <c r="H150" s="449">
        <f>SUMIFS(Пр11!K$10:K$1493,Пр11!$D$10:$D$1493,C150)</f>
        <v>0</v>
      </c>
      <c r="I150" s="472">
        <f>SUMIFS(Пр11!L$10:L$1493,Пр11!$D$10:$D$1493,C150)</f>
        <v>0</v>
      </c>
    </row>
    <row r="151" spans="1:9" s="413" customFormat="1" ht="69" customHeight="1" thickBot="1" x14ac:dyDescent="0.25">
      <c r="B151" s="453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78" t="s">
        <v>1136</v>
      </c>
      <c r="D151" s="612">
        <f>SUMIFS(Пр11!G$10:G$1493,Пр11!$D$10:$D$1493,C151)</f>
        <v>100000</v>
      </c>
      <c r="E151" s="560">
        <f>SUMIFS(Пр11!H$10:H$1493,Пр11!$D$10:$D$1493,C151)</f>
        <v>120000</v>
      </c>
      <c r="F151" s="485">
        <f>SUMIFS(Пр11!I$10:I$1493,Пр11!$D$10:$D$1493,C151)</f>
        <v>220000</v>
      </c>
      <c r="G151" s="612">
        <f>SUMIFS(Пр11!J$10:J$1493,Пр11!$D$10:$D$1493,C151)</f>
        <v>100000</v>
      </c>
      <c r="H151" s="563">
        <f>SUMIFS(Пр11!K$10:K$1493,Пр11!$D$10:$D$1493,C151)</f>
        <v>0</v>
      </c>
      <c r="I151" s="485">
        <f>SUMIFS(Пр11!L$10:L$1493,Пр11!$D$10:$D$1493,C151)</f>
        <v>100000</v>
      </c>
    </row>
    <row r="152" spans="1:9" ht="52.5" customHeight="1" thickBot="1" x14ac:dyDescent="0.25">
      <c r="B152" s="473" t="str">
        <f>IF(C152&gt;0,VLOOKUP(C152,Программа!A$2:B$5124,2))</f>
        <v>Мероприятия по обеспечению безопасности жителей района</v>
      </c>
      <c r="C152" s="425" t="s">
        <v>1137</v>
      </c>
      <c r="D152" s="476">
        <f>SUMIFS(Пр11!G$10:G$1493,Пр11!$D$10:$D$1493,C152)</f>
        <v>100000</v>
      </c>
      <c r="E152" s="568">
        <f>SUMIFS(Пр11!H$10:H$1493,Пр11!$D$10:$D$1493,C152)</f>
        <v>120000</v>
      </c>
      <c r="F152" s="849">
        <f>SUMIFS(Пр11!I$10:I$1493,Пр11!$D$10:$D$1493,C152)</f>
        <v>220000</v>
      </c>
      <c r="G152" s="476">
        <f>SUMIFS(Пр11!J$10:J$1493,Пр11!$D$10:$D$1493,C152)</f>
        <v>100000</v>
      </c>
      <c r="H152" s="529">
        <f>SUMIFS(Пр11!K$10:K$1493,Пр11!$D$10:$D$1493,C152)</f>
        <v>0</v>
      </c>
      <c r="I152" s="850">
        <f>SUMIFS(Пр11!L$10:L$1493,Пр11!$D$10:$D$1493,C152)</f>
        <v>100000</v>
      </c>
    </row>
    <row r="153" spans="1:9" ht="66" hidden="1" customHeight="1" thickBot="1" x14ac:dyDescent="0.25">
      <c r="B153" s="453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851" t="s">
        <v>1188</v>
      </c>
      <c r="D153" s="560">
        <f>SUMIFS(Пр11!G$10:G$1493,Пр11!$D$10:$D$1493,C153)</f>
        <v>0</v>
      </c>
      <c r="E153" s="904"/>
      <c r="F153" s="899"/>
      <c r="G153" s="563">
        <f>SUMIFS(Пр11!J$10:J$1493,Пр11!$D$10:$D$1493,C153)</f>
        <v>0</v>
      </c>
      <c r="H153" s="905"/>
      <c r="I153" s="899"/>
    </row>
    <row r="154" spans="1:9" ht="57.75" hidden="1" customHeight="1" x14ac:dyDescent="0.25">
      <c r="B154" s="467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85" t="s">
        <v>1189</v>
      </c>
      <c r="D154" s="897">
        <f>SUMIFS(Пр11!G$10:G$1493,Пр11!$D$10:$D$1493,C154)</f>
        <v>0</v>
      </c>
      <c r="E154" s="416"/>
      <c r="F154" s="572"/>
      <c r="G154" s="901">
        <f>SUMIFS(Пр11!J$10:J$1493,Пр11!$D$10:$D$1493,C154)</f>
        <v>0</v>
      </c>
      <c r="H154" s="442"/>
      <c r="I154" s="903"/>
    </row>
    <row r="155" spans="1:9" ht="54" hidden="1" customHeight="1" thickBot="1" x14ac:dyDescent="0.25">
      <c r="B155" s="460" t="str">
        <f>IF(C155&gt;0,VLOOKUP(C155,Программа!A$2:B$5124,2))</f>
        <v>Проведение историко-культурной экспертизы объектов культурного наследия</v>
      </c>
      <c r="C155" s="549" t="s">
        <v>1192</v>
      </c>
      <c r="D155" s="898">
        <f>SUMIFS(Пр11!G$10:G$1493,Пр11!$D$10:$D$1493,C155)</f>
        <v>0</v>
      </c>
      <c r="E155" s="424"/>
      <c r="F155" s="900"/>
      <c r="G155" s="902">
        <f>SUMIFS(Пр11!J$10:J$1493,Пр11!$D$10:$D$1493,C155)</f>
        <v>0</v>
      </c>
      <c r="H155" s="444"/>
      <c r="I155" s="634"/>
    </row>
    <row r="156" spans="1:9" ht="44.25" hidden="1" customHeight="1" thickBot="1" x14ac:dyDescent="0.25">
      <c r="B156" s="453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851" t="s">
        <v>1335</v>
      </c>
      <c r="D156" s="560">
        <f>SUMIFS(Пр11!G$10:G$1493,Пр11!$D$10:$D$1493,C156)</f>
        <v>0</v>
      </c>
      <c r="E156" s="904"/>
      <c r="F156" s="899"/>
      <c r="G156" s="563">
        <f>SUMIFS(Пр11!J$10:J$1493,Пр11!$D$10:$D$1493,C156)</f>
        <v>0</v>
      </c>
      <c r="H156" s="905"/>
      <c r="I156" s="899"/>
    </row>
    <row r="157" spans="1:9" ht="57.75" hidden="1" customHeight="1" x14ac:dyDescent="0.2">
      <c r="B157" s="467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550" t="s">
        <v>1336</v>
      </c>
      <c r="D157" s="897">
        <f>SUMIFS(Пр11!G$10:G$1493,Пр11!$D$10:$D$1493,C157)</f>
        <v>0</v>
      </c>
      <c r="E157" s="416"/>
      <c r="F157" s="572"/>
      <c r="G157" s="901">
        <f>SUMIFS(Пр11!J$10:J$1493,Пр11!$D$10:$D$1493,C157)</f>
        <v>0</v>
      </c>
      <c r="H157" s="442"/>
      <c r="I157" s="903"/>
    </row>
    <row r="158" spans="1:9" ht="42.75" hidden="1" customHeight="1" thickBot="1" x14ac:dyDescent="0.3">
      <c r="B158" s="460" t="str">
        <f>IF(C158&gt;0,VLOOKUP(C158,Программа!A$2:B$5124,2))</f>
        <v>Разработка проектов планирования и (или) проектов межевания территории</v>
      </c>
      <c r="C158" s="177" t="s">
        <v>1337</v>
      </c>
      <c r="D158" s="898">
        <f>SUMIFS(Пр11!G$10:G$1493,Пр11!$D$10:$D$1493,C158)</f>
        <v>0</v>
      </c>
      <c r="E158" s="417"/>
      <c r="F158" s="900"/>
      <c r="G158" s="902">
        <f>SUMIFS(Пр11!J$10:J$1493,Пр11!$D$10:$D$1493,C158)</f>
        <v>0</v>
      </c>
      <c r="H158" s="164"/>
      <c r="I158" s="634"/>
    </row>
    <row r="159" spans="1:9" s="413" customFormat="1" ht="32.25" thickBot="1" x14ac:dyDescent="0.3">
      <c r="A159" s="410"/>
      <c r="B159" s="453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641" t="s">
        <v>1411</v>
      </c>
      <c r="D159" s="612">
        <f>SUMIFS(Пр11!G$10:G$1493,Пр11!$D$10:$D$1493,C159)</f>
        <v>258440368</v>
      </c>
      <c r="E159" s="853">
        <f>SUMIFS(Пр11!H$10:H$1493,Пр11!$D$10:$D$1493,C159)</f>
        <v>0</v>
      </c>
      <c r="F159" s="485">
        <f>SUMIFS(Пр11!I$10:I$1493,Пр11!$D$10:$D$1493,C159)</f>
        <v>258440368</v>
      </c>
      <c r="G159" s="612">
        <f>SUMIFS(Пр11!J$10:J$1493,Пр11!$D$10:$D$1493,C159)</f>
        <v>152504338</v>
      </c>
      <c r="H159" s="853">
        <f>SUMIFS(Пр11!K$10:K$1493,Пр11!$D$10:$D$1493,C159)</f>
        <v>0</v>
      </c>
      <c r="I159" s="485">
        <f>SUMIFS(Пр11!L$10:L$1493,Пр11!$D$10:$D$1493,C159)</f>
        <v>152504338</v>
      </c>
    </row>
    <row r="160" spans="1:9" ht="47.25" x14ac:dyDescent="0.25">
      <c r="B160" s="463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85" t="s">
        <v>1412</v>
      </c>
      <c r="D160" s="665">
        <f>SUMIFS(Пр11!G$10:G$1493,Пр11!$D$10:$D$1493,C160)</f>
        <v>1800000</v>
      </c>
      <c r="E160" s="801">
        <f>SUMIFS(Пр11!H$10:H$1493,Пр11!$D$10:$D$1493,C160)</f>
        <v>0</v>
      </c>
      <c r="F160" s="661">
        <f>SUMIFS(Пр11!I$10:I$1493,Пр11!$D$10:$D$1493,C160)</f>
        <v>1800000</v>
      </c>
      <c r="G160" s="802">
        <f>SUMIFS(Пр11!J$10:J$1493,Пр11!$D$10:$D$1493,C160)</f>
        <v>2000000</v>
      </c>
      <c r="H160" s="801">
        <f>SUMIFS(Пр11!K$10:K$1493,Пр11!$D$10:$D$1493,C160)</f>
        <v>0</v>
      </c>
      <c r="I160" s="661">
        <f>SUMIFS(Пр11!L$10:L$1493,Пр11!$D$10:$D$1493,C160)</f>
        <v>2000000</v>
      </c>
    </row>
    <row r="161" spans="2:9" ht="63" x14ac:dyDescent="0.25">
      <c r="B161" s="462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73" t="s">
        <v>1413</v>
      </c>
      <c r="D161" s="157">
        <f>SUMIFS(Пр11!G$10:G$1493,Пр11!$D$10:$D$1493,C161)</f>
        <v>104405368</v>
      </c>
      <c r="E161" s="157">
        <f>SUMIFS(Пр11!H$10:H$1493,Пр11!$D$10:$D$1493,C161)</f>
        <v>0</v>
      </c>
      <c r="F161" s="157">
        <f>SUMIFS(Пр11!I$10:I$1493,Пр11!$D$10:$D$1493,C161)</f>
        <v>104405368</v>
      </c>
      <c r="G161" s="157">
        <f>SUMIFS(Пр11!J$10:J$1493,Пр11!$D$10:$D$1493,C161)</f>
        <v>106059338</v>
      </c>
      <c r="H161" s="157">
        <f>SUMIFS(Пр11!K$10:K$1493,Пр11!$D$10:$D$1493,C161)</f>
        <v>0</v>
      </c>
      <c r="I161" s="157">
        <f>SUMIFS(Пр11!L$10:L$1493,Пр11!$D$10:$D$1493,C161)</f>
        <v>106059338</v>
      </c>
    </row>
    <row r="162" spans="2:9" ht="63" x14ac:dyDescent="0.25">
      <c r="B162" s="462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73" t="s">
        <v>1577</v>
      </c>
      <c r="D162" s="157">
        <f>SUMIFS(Пр11!G$10:G$1493,Пр11!$D$10:$D$1493,C162)</f>
        <v>107790000</v>
      </c>
      <c r="E162" s="157">
        <f>SUMIFS(Пр11!H$10:H$1493,Пр11!$D$10:$D$1493,C162)</f>
        <v>0</v>
      </c>
      <c r="F162" s="157">
        <f>SUMIFS(Пр11!I$10:I$1493,Пр11!$D$10:$D$1493,C162)</f>
        <v>107790000</v>
      </c>
      <c r="G162" s="157">
        <f>SUMIFS(Пр11!J$10:J$1493,Пр11!$D$10:$D$1493,C162)</f>
        <v>0</v>
      </c>
      <c r="H162" s="157">
        <f>SUMIFS(Пр11!K$10:K$1493,Пр11!$D$10:$D$1493,C162)</f>
        <v>0</v>
      </c>
      <c r="I162" s="157">
        <f>SUMIFS(Пр11!L$10:L$1493,Пр11!$D$10:$D$1493,C162)</f>
        <v>0</v>
      </c>
    </row>
    <row r="163" spans="2:9" x14ac:dyDescent="0.25">
      <c r="B163" s="462" t="str">
        <f>IF(C163&gt;0,VLOOKUP(C163,Программа!A$2:B$5124,2))</f>
        <v>Реализация федерального проекта "Дорожная сеть"</v>
      </c>
      <c r="C163" s="173" t="s">
        <v>1414</v>
      </c>
      <c r="D163" s="157">
        <f>SUMIFS(Пр11!G$10:G$1493,Пр11!$D$10:$D$1493,C163)</f>
        <v>44445000</v>
      </c>
      <c r="E163" s="157">
        <f>SUMIFS(Пр11!H$10:H$1493,Пр11!$D$10:$D$1493,C163)</f>
        <v>0</v>
      </c>
      <c r="F163" s="157">
        <f>SUMIFS(Пр11!I$10:I$1493,Пр11!$D$10:$D$1493,C163)</f>
        <v>44445000</v>
      </c>
      <c r="G163" s="157">
        <f>SUMIFS(Пр11!J$10:J$1493,Пр11!$D$10:$D$1493,C163)</f>
        <v>44445000</v>
      </c>
      <c r="H163" s="157">
        <f>SUMIFS(Пр11!K$10:K$1493,Пр11!$D$10:$D$1493,C163)</f>
        <v>0</v>
      </c>
      <c r="I163" s="157">
        <f>SUMIFS(Пр11!L$10:L$1493,Пр11!$D$10:$D$1493,C163)</f>
        <v>44445000</v>
      </c>
    </row>
    <row r="164" spans="2:9" ht="57" customHeight="1" thickBot="1" x14ac:dyDescent="0.25">
      <c r="B164" s="589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894" t="s">
        <v>1416</v>
      </c>
      <c r="D164" s="595">
        <f>SUMIFS(Пр11!G$10:G$1493,Пр11!$D$10:$D$1493,C164)</f>
        <v>500000</v>
      </c>
      <c r="E164" s="895">
        <f>SUMIFS(Пр11!H$10:H$1493,Пр11!$D$10:$D$1493,C164)</f>
        <v>0</v>
      </c>
      <c r="F164" s="896">
        <f>SUMIFS(Пр11!I$10:I$1493,Пр11!$D$10:$D$1493,C164)</f>
        <v>500000</v>
      </c>
      <c r="G164" s="595">
        <f>SUMIFS(Пр11!J$10:J$1493,Пр11!$D$10:$D$1493,C164)</f>
        <v>500000</v>
      </c>
      <c r="H164" s="895">
        <f>SUMIFS(Пр11!K$10:K$1493,Пр11!$D$10:$D$1493,C164)</f>
        <v>0</v>
      </c>
      <c r="I164" s="896">
        <f>SUMIFS(Пр11!L$10:L$1493,Пр11!$D$10:$D$1493,C164)</f>
        <v>500000</v>
      </c>
    </row>
    <row r="165" spans="2:9" ht="55.5" customHeight="1" thickBot="1" x14ac:dyDescent="0.3">
      <c r="B165" s="463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85" t="s">
        <v>1418</v>
      </c>
      <c r="D165" s="649">
        <f>SUMIFS(Пр11!G$10:G$1493,Пр11!$D$10:$D$1493,C165)</f>
        <v>500000</v>
      </c>
      <c r="E165" s="157">
        <f>SUMIFS(Пр11!H$10:H$1493,Пр11!$D$10:$D$1493,C165)</f>
        <v>0</v>
      </c>
      <c r="F165" s="661">
        <f>SUMIFS(Пр11!I$10:I$1493,Пр11!$D$10:$D$1493,C165)</f>
        <v>500000</v>
      </c>
      <c r="G165" s="649">
        <f>SUMIFS(Пр11!J$10:J$1493,Пр11!$D$10:$D$1493,C165)</f>
        <v>500000</v>
      </c>
      <c r="H165" s="157">
        <f>SUMIFS(Пр11!K$10:K$1493,Пр11!$D$10:$D$1493,C165)</f>
        <v>0</v>
      </c>
      <c r="I165" s="661">
        <f>SUMIFS(Пр11!L$10:L$1493,Пр11!$D$10:$D$1493,C165)</f>
        <v>500000</v>
      </c>
    </row>
    <row r="166" spans="2:9" ht="29.25" hidden="1" customHeight="1" thickBot="1" x14ac:dyDescent="0.25">
      <c r="B166" s="453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640" t="s">
        <v>1460</v>
      </c>
      <c r="D166" s="843">
        <v>0</v>
      </c>
      <c r="E166" s="847">
        <v>0</v>
      </c>
      <c r="F166" s="485">
        <v>0</v>
      </c>
      <c r="G166" s="719">
        <v>0</v>
      </c>
      <c r="H166" s="847">
        <f>SUMIFS(Пр11!K$10:K$1493,Пр11!$D$10:$D$1493,C166)</f>
        <v>0</v>
      </c>
      <c r="I166" s="485">
        <f>SUMIFS(Пр11!L$10:L$1493,Пр11!$D$10:$D$1493,C166)</f>
        <v>0</v>
      </c>
    </row>
    <row r="167" spans="2:9" ht="39" hidden="1" customHeight="1" thickBot="1" x14ac:dyDescent="0.3">
      <c r="B167" s="459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78" t="s">
        <v>1461</v>
      </c>
      <c r="D167" s="157">
        <v>0</v>
      </c>
      <c r="E167" s="157">
        <v>0</v>
      </c>
      <c r="F167" s="667">
        <v>0</v>
      </c>
      <c r="G167" s="157">
        <v>0</v>
      </c>
      <c r="H167" s="157">
        <f>SUMIFS(Пр11!K$10:K$1493,Пр11!$D$10:$D$1493,C167)</f>
        <v>0</v>
      </c>
      <c r="I167" s="667">
        <f>SUMIFS(Пр11!L$10:L$1493,Пр11!$D$10:$D$1493,C167)</f>
        <v>0</v>
      </c>
    </row>
    <row r="168" spans="2:9" ht="48" thickBot="1" x14ac:dyDescent="0.25">
      <c r="B168" s="856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857" t="s">
        <v>1675</v>
      </c>
      <c r="D168" s="612">
        <f>SUMIFS(Пр11!G$10:G$1493,Пр11!$D$10:$D$1493,C168)</f>
        <v>4590</v>
      </c>
      <c r="E168" s="563">
        <f>SUMIFS(Пр11!H$10:H$1493,Пр11!$D$10:$D$1493,C168)</f>
        <v>0</v>
      </c>
      <c r="F168" s="858">
        <f>SUMIFS(Пр11!I$10:I$1493,Пр11!$D$10:$D$1493,C168)</f>
        <v>4590</v>
      </c>
      <c r="G168" s="612">
        <f>SUMIFS(Пр11!J$10:J$1493,Пр11!$D$10:$D$1493,C168)</f>
        <v>4590</v>
      </c>
      <c r="H168" s="563">
        <f>SUMIFS(Пр11!K$10:K$1493,Пр11!$D$10:$D$1493,C168)</f>
        <v>0</v>
      </c>
      <c r="I168" s="858">
        <f>SUMIFS(Пр11!L$10:L$1493,Пр11!$D$10:$D$1493,C168)</f>
        <v>4590</v>
      </c>
    </row>
    <row r="169" spans="2:9" ht="31.5" hidden="1" x14ac:dyDescent="0.25">
      <c r="B169" s="844" t="str">
        <f>IF(C169&gt;0,VLOOKUP(C169,Программа!A$2:B$5124,2))</f>
        <v>Стимулирование развития сельскохозяйственного производства</v>
      </c>
      <c r="C169" s="845" t="s">
        <v>1676</v>
      </c>
      <c r="D169" s="157">
        <v>0</v>
      </c>
      <c r="E169" s="836">
        <f>SUMIFS(Пр11!H$10:H$1493,Пр11!$D$10:$D$1493,C169)</f>
        <v>0</v>
      </c>
      <c r="F169" s="846">
        <f>SUMIFS(Пр11!I$10:I$1493,Пр11!$D$10:$D$1493,C169)</f>
        <v>0</v>
      </c>
      <c r="G169" s="157">
        <v>0</v>
      </c>
      <c r="H169" s="836">
        <f>SUMIFS(Пр11!K$10:K$1493,Пр11!$D$10:$D$1493,C169)</f>
        <v>0</v>
      </c>
      <c r="I169" s="846">
        <f>SUMIFS(Пр11!L$10:L$1493,Пр11!$D$10:$D$1493,C169)</f>
        <v>0</v>
      </c>
    </row>
    <row r="170" spans="2:9" ht="63.75" thickBot="1" x14ac:dyDescent="0.3">
      <c r="B170" s="859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839" t="s">
        <v>1677</v>
      </c>
      <c r="D170" s="157">
        <f>SUMIFS(Пр11!G$10:G$1493,Пр11!$D$10:$D$1493,C170)</f>
        <v>4590</v>
      </c>
      <c r="E170" s="157">
        <f>SUMIFS(Пр11!H$10:H$1493,Пр11!$D$10:$D$1493,C170)</f>
        <v>0</v>
      </c>
      <c r="F170" s="840">
        <f>SUMIFS(Пр11!I$10:I$1493,Пр11!$D$10:$D$1493,C170)</f>
        <v>4590</v>
      </c>
      <c r="G170" s="157">
        <f>SUMIFS(Пр11!J$10:J$1493,Пр11!$D$10:$D$1493,C170)</f>
        <v>4590</v>
      </c>
      <c r="H170" s="157">
        <f>SUMIFS(Пр11!K$10:K$1493,Пр11!$D$10:$D$1493,C170)</f>
        <v>0</v>
      </c>
      <c r="I170" s="840">
        <f>SUMIFS(Пр11!L$10:L$1493,Пр11!$D$10:$D$1493,C170)</f>
        <v>4590</v>
      </c>
    </row>
    <row r="171" spans="2:9" s="413" customFormat="1" ht="16.5" thickBot="1" x14ac:dyDescent="0.25">
      <c r="B171" s="589" t="s">
        <v>129</v>
      </c>
      <c r="C171" s="590"/>
      <c r="D171" s="437">
        <f>D139+D128+D121+D116+D114+D111+D108+D106+D99+D89+D80+D75+D73+D59+D57+D47+D26+D10+D141+D143+D146+D151+D153+D156+D159+D164+D168</f>
        <v>2163086183</v>
      </c>
      <c r="E171" s="437">
        <f t="shared" ref="E171:I171" si="0">E139+E128+E121+E116+E114+E111+E108+E106+E99+E89+E80+E75+E73+E59+E57+E47+E26+E10+E141+E143+E146+E151+E153+E156+E159+E164+E168</f>
        <v>120000</v>
      </c>
      <c r="F171" s="437">
        <f t="shared" si="0"/>
        <v>2163206183</v>
      </c>
      <c r="G171" s="437">
        <f t="shared" si="0"/>
        <v>2178006685</v>
      </c>
      <c r="H171" s="437">
        <f t="shared" si="0"/>
        <v>0</v>
      </c>
      <c r="I171" s="437">
        <f t="shared" si="0"/>
        <v>2178006685</v>
      </c>
    </row>
    <row r="172" spans="2:9" ht="16.5" thickBot="1" x14ac:dyDescent="0.25">
      <c r="B172" s="453" t="str">
        <f>IF(C172&gt;0,VLOOKUP(C172,Программа!A$2:B$5124,2))</f>
        <v>Непрограммные расходы бюджета</v>
      </c>
      <c r="C172" s="162" t="s">
        <v>311</v>
      </c>
      <c r="D172" s="437">
        <f>SUMIFS(Пр11!G$10:G$1493,Пр11!$D$10:$D$1493,C172)</f>
        <v>88028885</v>
      </c>
      <c r="E172" s="437">
        <f>SUMIFS(Пр11!H$10:H$1493,Пр11!$D$10:$D$1493,C172)</f>
        <v>-120000</v>
      </c>
      <c r="F172" s="437">
        <f>SUMIFS(Пр11!I$10:I$1493,Пр11!$D$10:$D$1493,C172)</f>
        <v>87908885</v>
      </c>
      <c r="G172" s="437">
        <f>SUMIFS(Пр11!J$10:J$1493,Пр11!$D$10:$D$1493,C172)</f>
        <v>42021339</v>
      </c>
      <c r="H172" s="437">
        <f>SUMIFS(Пр11!K$10:K$1493,Пр11!$D$10:$D$1493,C172)</f>
        <v>0</v>
      </c>
      <c r="I172" s="438">
        <f>SUMIFS(Пр11!L$10:L$1493,Пр11!$D$10:$D$1493,C172)</f>
        <v>42021339</v>
      </c>
    </row>
    <row r="173" spans="2:9" ht="16.5" hidden="1" thickBot="1" x14ac:dyDescent="0.25">
      <c r="B173" s="453" t="str">
        <f>IF(C173&gt;0,VLOOKUP(C173,Программа!A$2:B$5124,2))</f>
        <v>Межбюджетные трансферты  поселениям района</v>
      </c>
      <c r="C173" s="162" t="s">
        <v>478</v>
      </c>
      <c r="D173" s="437">
        <f>SUMIFS(Пр11!G$10:G$1493,Пр11!$D$10:$D$1493,C173)</f>
        <v>0</v>
      </c>
      <c r="E173" s="408">
        <f>SUMIFS(Пр11!H$10:H$1493,Пр11!$D$10:$D$1493,C173)</f>
        <v>0</v>
      </c>
      <c r="F173" s="437">
        <f>SUMIFS(Пр11!I$10:I$1493,Пр11!$D$10:$D$1493,C173)</f>
        <v>0</v>
      </c>
      <c r="G173" s="437">
        <f>SUMIFS(Пр11!J$10:J$1493,Пр11!$D$10:$D$1493,C173)</f>
        <v>0</v>
      </c>
      <c r="H173" s="437">
        <f>SUMIFS(Пр11!K$10:K$1493,Пр11!$D$10:$D$1493,C173)</f>
        <v>0</v>
      </c>
      <c r="I173" s="438">
        <f>SUMIFS(Пр11!L$10:L$1493,Пр11!$D$10:$D$1493,C173)</f>
        <v>0</v>
      </c>
    </row>
    <row r="174" spans="2:9" ht="16.5" thickBot="1" x14ac:dyDescent="0.25">
      <c r="B174" s="453" t="s">
        <v>657</v>
      </c>
      <c r="C174" s="819"/>
      <c r="D174" s="820">
        <f>D171+D172+D173</f>
        <v>2251115068</v>
      </c>
      <c r="E174" s="820">
        <f t="shared" ref="E174:I174" si="1">E171+E172+E173</f>
        <v>0</v>
      </c>
      <c r="F174" s="820">
        <f>F171+F172+F173</f>
        <v>2251115068</v>
      </c>
      <c r="G174" s="820">
        <f t="shared" si="1"/>
        <v>2220028024</v>
      </c>
      <c r="H174" s="820">
        <f t="shared" si="1"/>
        <v>0</v>
      </c>
      <c r="I174" s="821">
        <f t="shared" si="1"/>
        <v>2220028024</v>
      </c>
    </row>
  </sheetData>
  <autoFilter ref="F1:I17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A12" sqref="A12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920" t="s">
        <v>1653</v>
      </c>
      <c r="B1" s="920"/>
      <c r="C1" s="920"/>
    </row>
    <row r="2" spans="1:3" ht="15.75" x14ac:dyDescent="0.25">
      <c r="A2" s="920" t="s">
        <v>1</v>
      </c>
      <c r="B2" s="920"/>
      <c r="C2" s="920"/>
    </row>
    <row r="3" spans="1:3" ht="15.75" x14ac:dyDescent="0.25">
      <c r="A3" s="920" t="s">
        <v>2</v>
      </c>
      <c r="B3" s="920"/>
      <c r="C3" s="920"/>
    </row>
    <row r="4" spans="1:3" ht="15.75" x14ac:dyDescent="0.25">
      <c r="A4" s="920" t="s">
        <v>1656</v>
      </c>
      <c r="B4" s="920"/>
      <c r="C4" s="920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921" t="s">
        <v>1638</v>
      </c>
      <c r="B7" s="921"/>
      <c r="C7" s="921"/>
    </row>
    <row r="8" spans="1:3" ht="15.75" x14ac:dyDescent="0.2">
      <c r="A8" s="6"/>
      <c r="B8" s="6"/>
      <c r="C8" s="6"/>
    </row>
    <row r="9" spans="1:3" ht="41.25" customHeight="1" x14ac:dyDescent="0.2">
      <c r="A9" s="1023" t="s">
        <v>665</v>
      </c>
      <c r="B9" s="1023"/>
      <c r="C9" s="921"/>
    </row>
    <row r="10" spans="1:3" ht="15.75" x14ac:dyDescent="0.2">
      <c r="A10" s="489" t="s">
        <v>666</v>
      </c>
      <c r="B10" s="489" t="s">
        <v>140</v>
      </c>
      <c r="C10" s="155"/>
    </row>
    <row r="11" spans="1:3" ht="15.75" x14ac:dyDescent="0.25">
      <c r="A11" s="156" t="s">
        <v>667</v>
      </c>
      <c r="B11" s="829">
        <v>42000</v>
      </c>
      <c r="C11" s="158"/>
    </row>
    <row r="12" spans="1:3" ht="15.75" x14ac:dyDescent="0.25">
      <c r="A12" s="156" t="s">
        <v>670</v>
      </c>
      <c r="B12" s="829">
        <v>133000</v>
      </c>
      <c r="C12" s="158"/>
    </row>
    <row r="13" spans="1:3" ht="15.75" x14ac:dyDescent="0.25">
      <c r="A13" s="156" t="s">
        <v>669</v>
      </c>
      <c r="B13" s="829">
        <v>39000</v>
      </c>
      <c r="C13" s="158"/>
    </row>
    <row r="14" spans="1:3" ht="15.75" x14ac:dyDescent="0.25">
      <c r="A14" s="156" t="s">
        <v>668</v>
      </c>
      <c r="B14" s="829">
        <v>86000</v>
      </c>
      <c r="C14" s="158"/>
    </row>
    <row r="15" spans="1:3" ht="15.75" x14ac:dyDescent="0.25">
      <c r="A15" s="159" t="s">
        <v>129</v>
      </c>
      <c r="B15" s="830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view="pageBreakPreview" zoomScale="115" zoomScaleSheetLayoutView="115" workbookViewId="0">
      <selection sqref="A1:D1"/>
    </sheetView>
  </sheetViews>
  <sheetFormatPr defaultColWidth="9.140625" defaultRowHeight="12.75" x14ac:dyDescent="0.2"/>
  <cols>
    <col min="1" max="1" width="53.5703125" style="270" customWidth="1"/>
    <col min="2" max="2" width="16.140625" style="270" hidden="1" customWidth="1"/>
    <col min="3" max="3" width="12.7109375" style="270" hidden="1" customWidth="1"/>
    <col min="4" max="4" width="16.7109375" style="270" customWidth="1"/>
    <col min="5" max="16384" width="9.140625" style="270"/>
  </cols>
  <sheetData>
    <row r="1" spans="1:4" ht="15.75" x14ac:dyDescent="0.25">
      <c r="A1" s="931" t="s">
        <v>1538</v>
      </c>
      <c r="B1" s="931"/>
      <c r="C1" s="931"/>
      <c r="D1" s="931"/>
    </row>
    <row r="2" spans="1:4" ht="15.75" x14ac:dyDescent="0.25">
      <c r="A2" s="931" t="s">
        <v>1</v>
      </c>
      <c r="B2" s="931"/>
      <c r="C2" s="931"/>
      <c r="D2" s="931"/>
    </row>
    <row r="3" spans="1:4" ht="15.75" x14ac:dyDescent="0.25">
      <c r="A3" s="931" t="s">
        <v>2</v>
      </c>
      <c r="B3" s="931"/>
      <c r="C3" s="931"/>
      <c r="D3" s="931"/>
    </row>
    <row r="4" spans="1:4" ht="15.75" x14ac:dyDescent="0.25">
      <c r="A4" s="931" t="s">
        <v>1757</v>
      </c>
      <c r="B4" s="931"/>
      <c r="C4" s="931"/>
      <c r="D4" s="931"/>
    </row>
    <row r="5" spans="1:4" x14ac:dyDescent="0.2">
      <c r="A5" s="273"/>
      <c r="B5" s="273"/>
      <c r="C5" s="273"/>
      <c r="D5" s="272"/>
    </row>
    <row r="6" spans="1:4" ht="35.25" customHeight="1" x14ac:dyDescent="0.2">
      <c r="A6" s="969" t="s">
        <v>1639</v>
      </c>
      <c r="B6" s="969"/>
      <c r="C6" s="969"/>
      <c r="D6" s="969"/>
    </row>
    <row r="7" spans="1:4" ht="19.5" thickBot="1" x14ac:dyDescent="0.25">
      <c r="A7" s="278"/>
      <c r="B7" s="278"/>
      <c r="C7" s="278"/>
      <c r="D7" s="272"/>
    </row>
    <row r="8" spans="1:4" ht="36.950000000000003" customHeight="1" thickBot="1" x14ac:dyDescent="0.25">
      <c r="A8" s="690" t="s">
        <v>666</v>
      </c>
      <c r="B8" s="691" t="s">
        <v>1389</v>
      </c>
      <c r="C8" s="692" t="s">
        <v>671</v>
      </c>
      <c r="D8" s="691" t="s">
        <v>1389</v>
      </c>
    </row>
    <row r="9" spans="1:4" s="356" customFormat="1" ht="38.25" hidden="1" customHeight="1" x14ac:dyDescent="0.25">
      <c r="A9" s="693" t="s">
        <v>1035</v>
      </c>
      <c r="B9" s="695">
        <v>360000</v>
      </c>
      <c r="C9" s="694">
        <f>SUM(C10:C13)</f>
        <v>0</v>
      </c>
      <c r="D9" s="695">
        <f>SUM(D10:D13)</f>
        <v>0</v>
      </c>
    </row>
    <row r="10" spans="1:4" ht="13.7" hidden="1" customHeight="1" x14ac:dyDescent="0.25">
      <c r="A10" s="602" t="s">
        <v>667</v>
      </c>
      <c r="B10" s="279">
        <v>200000</v>
      </c>
      <c r="C10" s="689"/>
      <c r="D10" s="279">
        <v>0</v>
      </c>
    </row>
    <row r="11" spans="1:4" ht="19.5" hidden="1" customHeight="1" x14ac:dyDescent="0.25">
      <c r="A11" s="602" t="s">
        <v>672</v>
      </c>
      <c r="B11" s="279">
        <v>0</v>
      </c>
      <c r="C11" s="689"/>
      <c r="D11" s="279">
        <v>0</v>
      </c>
    </row>
    <row r="12" spans="1:4" ht="13.7" hidden="1" customHeight="1" x14ac:dyDescent="0.25">
      <c r="A12" s="602" t="s">
        <v>670</v>
      </c>
      <c r="B12" s="279">
        <v>160000</v>
      </c>
      <c r="C12" s="689"/>
      <c r="D12" s="279">
        <v>0</v>
      </c>
    </row>
    <row r="13" spans="1:4" ht="36" hidden="1" customHeight="1" thickBot="1" x14ac:dyDescent="0.3">
      <c r="A13" s="696" t="s">
        <v>668</v>
      </c>
      <c r="B13" s="699">
        <v>0</v>
      </c>
      <c r="C13" s="698"/>
      <c r="D13" s="699">
        <v>0</v>
      </c>
    </row>
    <row r="14" spans="1:4" ht="97.5" hidden="1" customHeight="1" x14ac:dyDescent="0.2">
      <c r="A14" s="700" t="s">
        <v>1329</v>
      </c>
      <c r="B14" s="702">
        <v>6075160</v>
      </c>
      <c r="C14" s="701">
        <f t="shared" ref="C14:D14" si="0">SUM(C15:C15)</f>
        <v>0</v>
      </c>
      <c r="D14" s="702">
        <f t="shared" si="0"/>
        <v>0</v>
      </c>
    </row>
    <row r="15" spans="1:4" ht="18" hidden="1" customHeight="1" thickBot="1" x14ac:dyDescent="0.3">
      <c r="A15" s="703" t="s">
        <v>668</v>
      </c>
      <c r="B15" s="706">
        <v>6075160</v>
      </c>
      <c r="C15" s="705">
        <v>0</v>
      </c>
      <c r="D15" s="706">
        <v>0</v>
      </c>
    </row>
    <row r="16" spans="1:4" ht="33" customHeight="1" x14ac:dyDescent="0.2">
      <c r="A16" s="707" t="s">
        <v>1657</v>
      </c>
      <c r="B16" s="702">
        <f>B17</f>
        <v>210708</v>
      </c>
      <c r="C16" s="701">
        <f>SUM(C18:C18)</f>
        <v>0</v>
      </c>
      <c r="D16" s="702">
        <f>SUM(D17:D18)</f>
        <v>210708</v>
      </c>
    </row>
    <row r="17" spans="1:4" ht="16.5" thickBot="1" x14ac:dyDescent="0.25">
      <c r="A17" s="825" t="s">
        <v>670</v>
      </c>
      <c r="B17" s="826">
        <v>210708</v>
      </c>
      <c r="C17" s="824"/>
      <c r="D17" s="826">
        <v>210708</v>
      </c>
    </row>
    <row r="18" spans="1:4" ht="18" hidden="1" customHeight="1" thickBot="1" x14ac:dyDescent="0.3">
      <c r="A18" s="708" t="s">
        <v>668</v>
      </c>
      <c r="B18" s="706">
        <v>0</v>
      </c>
      <c r="C18" s="709">
        <v>0</v>
      </c>
      <c r="D18" s="706">
        <v>0</v>
      </c>
    </row>
    <row r="19" spans="1:4" ht="94.5" x14ac:dyDescent="0.25">
      <c r="A19" s="693" t="s">
        <v>1691</v>
      </c>
      <c r="B19" s="695">
        <f t="shared" ref="B19:D19" si="1">SUM(B20:B23)</f>
        <v>200000</v>
      </c>
      <c r="C19" s="695">
        <f t="shared" si="1"/>
        <v>598800</v>
      </c>
      <c r="D19" s="695">
        <f t="shared" si="1"/>
        <v>798800</v>
      </c>
    </row>
    <row r="20" spans="1:4" ht="13.7" hidden="1" customHeight="1" x14ac:dyDescent="0.25">
      <c r="A20" s="602" t="s">
        <v>667</v>
      </c>
      <c r="B20" s="279">
        <v>0</v>
      </c>
      <c r="C20" s="689"/>
      <c r="D20" s="279">
        <f>SUM(B20:C20)</f>
        <v>0</v>
      </c>
    </row>
    <row r="21" spans="1:4" ht="13.7" hidden="1" customHeight="1" x14ac:dyDescent="0.25">
      <c r="A21" s="602" t="s">
        <v>672</v>
      </c>
      <c r="B21" s="279">
        <v>0</v>
      </c>
      <c r="C21" s="689"/>
      <c r="D21" s="279">
        <f t="shared" ref="D21:D23" si="2">SUM(B21:C21)</f>
        <v>0</v>
      </c>
    </row>
    <row r="22" spans="1:4" ht="13.7" customHeight="1" x14ac:dyDescent="0.25">
      <c r="A22" s="602" t="s">
        <v>670</v>
      </c>
      <c r="B22" s="279">
        <v>200000</v>
      </c>
      <c r="C22" s="689">
        <v>598800</v>
      </c>
      <c r="D22" s="279">
        <f>B22+C22</f>
        <v>798800</v>
      </c>
    </row>
    <row r="23" spans="1:4" ht="13.7" hidden="1" customHeight="1" x14ac:dyDescent="0.25">
      <c r="A23" s="602" t="s">
        <v>668</v>
      </c>
      <c r="B23" s="279">
        <v>0</v>
      </c>
      <c r="C23" s="689"/>
      <c r="D23" s="279">
        <f t="shared" si="2"/>
        <v>0</v>
      </c>
    </row>
    <row r="24" spans="1:4" ht="13.5" thickBot="1" x14ac:dyDescent="0.25">
      <c r="A24" s="710" t="s">
        <v>570</v>
      </c>
      <c r="B24" s="711">
        <f>B16+B19</f>
        <v>410708</v>
      </c>
      <c r="C24" s="712">
        <f>C9+C14+C16+C19</f>
        <v>598800</v>
      </c>
      <c r="D24" s="713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673</v>
      </c>
      <c r="B1" s="179" t="s">
        <v>674</v>
      </c>
    </row>
    <row r="2" spans="1:2" hidden="1" x14ac:dyDescent="0.2">
      <c r="A2" s="181" t="s">
        <v>675</v>
      </c>
      <c r="B2" s="182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677</v>
      </c>
    </row>
    <row r="1001" spans="1:2" x14ac:dyDescent="0.2">
      <c r="A1001" s="183">
        <v>4</v>
      </c>
      <c r="B1001" s="184" t="s">
        <v>678</v>
      </c>
    </row>
    <row r="1002" spans="1:2" x14ac:dyDescent="0.2">
      <c r="A1002" s="183">
        <v>20</v>
      </c>
      <c r="B1002" s="184" t="s">
        <v>679</v>
      </c>
    </row>
    <row r="1003" spans="1:2" x14ac:dyDescent="0.2">
      <c r="A1003" s="183">
        <v>22</v>
      </c>
      <c r="B1003" s="184" t="s">
        <v>680</v>
      </c>
    </row>
    <row r="1004" spans="1:2" x14ac:dyDescent="0.2">
      <c r="A1004" s="183">
        <v>29</v>
      </c>
      <c r="B1004" s="184" t="s">
        <v>681</v>
      </c>
    </row>
    <row r="1005" spans="1:2" x14ac:dyDescent="0.2">
      <c r="A1005" s="183">
        <v>48</v>
      </c>
      <c r="B1005" s="184" t="s">
        <v>682</v>
      </c>
    </row>
    <row r="1006" spans="1:2" x14ac:dyDescent="0.2">
      <c r="A1006" s="183">
        <v>50</v>
      </c>
      <c r="B1006" s="184" t="s">
        <v>683</v>
      </c>
    </row>
    <row r="1007" spans="1:2" x14ac:dyDescent="0.2">
      <c r="A1007" s="183">
        <v>53</v>
      </c>
      <c r="B1007" s="184" t="s">
        <v>684</v>
      </c>
    </row>
    <row r="1008" spans="1:2" x14ac:dyDescent="0.2">
      <c r="A1008" s="183">
        <v>54</v>
      </c>
      <c r="B1008" s="184" t="s">
        <v>685</v>
      </c>
    </row>
    <row r="1009" spans="1:2" x14ac:dyDescent="0.2">
      <c r="A1009" s="183">
        <v>56</v>
      </c>
      <c r="B1009" s="184" t="s">
        <v>686</v>
      </c>
    </row>
    <row r="1010" spans="1:2" x14ac:dyDescent="0.2">
      <c r="A1010" s="183">
        <v>58</v>
      </c>
      <c r="B1010" s="184" t="s">
        <v>687</v>
      </c>
    </row>
    <row r="1011" spans="1:2" x14ac:dyDescent="0.2">
      <c r="A1011" s="183">
        <v>70</v>
      </c>
      <c r="B1011" s="184" t="s">
        <v>688</v>
      </c>
    </row>
    <row r="1012" spans="1:2" x14ac:dyDescent="0.2">
      <c r="A1012" s="183">
        <v>71</v>
      </c>
      <c r="B1012" s="184" t="s">
        <v>689</v>
      </c>
    </row>
    <row r="1013" spans="1:2" x14ac:dyDescent="0.2">
      <c r="A1013" s="183">
        <v>72</v>
      </c>
      <c r="B1013" s="184" t="s">
        <v>690</v>
      </c>
    </row>
    <row r="1014" spans="1:2" x14ac:dyDescent="0.2">
      <c r="A1014" s="183">
        <v>75</v>
      </c>
      <c r="B1014" s="184" t="s">
        <v>691</v>
      </c>
    </row>
    <row r="1015" spans="1:2" x14ac:dyDescent="0.2">
      <c r="A1015" s="183">
        <v>76</v>
      </c>
      <c r="B1015" s="184" t="s">
        <v>692</v>
      </c>
    </row>
    <row r="1016" spans="1:2" x14ac:dyDescent="0.2">
      <c r="A1016" s="183">
        <v>78</v>
      </c>
      <c r="B1016" s="184" t="s">
        <v>693</v>
      </c>
    </row>
    <row r="1017" spans="1:2" x14ac:dyDescent="0.2">
      <c r="A1017" s="183">
        <v>81</v>
      </c>
      <c r="B1017" s="184" t="s">
        <v>694</v>
      </c>
    </row>
    <row r="1018" spans="1:2" x14ac:dyDescent="0.2">
      <c r="A1018" s="183">
        <v>82</v>
      </c>
      <c r="B1018" s="184" t="s">
        <v>695</v>
      </c>
    </row>
    <row r="1019" spans="1:2" x14ac:dyDescent="0.2">
      <c r="A1019" s="183">
        <v>83</v>
      </c>
      <c r="B1019" s="184" t="s">
        <v>696</v>
      </c>
    </row>
    <row r="1020" spans="1:2" x14ac:dyDescent="0.2">
      <c r="A1020" s="183">
        <v>85</v>
      </c>
      <c r="B1020" s="184" t="s">
        <v>697</v>
      </c>
    </row>
    <row r="1021" spans="1:2" x14ac:dyDescent="0.2">
      <c r="A1021" s="183">
        <v>89</v>
      </c>
      <c r="B1021" s="184" t="s">
        <v>698</v>
      </c>
    </row>
    <row r="1022" spans="1:2" x14ac:dyDescent="0.2">
      <c r="A1022" s="183">
        <v>92</v>
      </c>
      <c r="B1022" s="184" t="s">
        <v>699</v>
      </c>
    </row>
    <row r="1023" spans="1:2" x14ac:dyDescent="0.2">
      <c r="A1023" s="183">
        <v>99</v>
      </c>
      <c r="B1023" s="184" t="s">
        <v>700</v>
      </c>
    </row>
    <row r="1024" spans="1:2" x14ac:dyDescent="0.2">
      <c r="A1024" s="183">
        <v>104</v>
      </c>
      <c r="B1024" s="184" t="s">
        <v>701</v>
      </c>
    </row>
    <row r="1025" spans="1:2" x14ac:dyDescent="0.2">
      <c r="A1025" s="183">
        <v>125</v>
      </c>
      <c r="B1025" s="184" t="s">
        <v>702</v>
      </c>
    </row>
    <row r="1026" spans="1:2" x14ac:dyDescent="0.2">
      <c r="A1026" s="183">
        <v>126</v>
      </c>
      <c r="B1026" s="184" t="s">
        <v>703</v>
      </c>
    </row>
    <row r="1027" spans="1:2" x14ac:dyDescent="0.2">
      <c r="A1027" s="183">
        <v>128</v>
      </c>
      <c r="B1027" s="184" t="s">
        <v>704</v>
      </c>
    </row>
    <row r="1028" spans="1:2" x14ac:dyDescent="0.2">
      <c r="A1028" s="183">
        <v>129</v>
      </c>
      <c r="B1028" s="184" t="s">
        <v>705</v>
      </c>
    </row>
    <row r="1029" spans="1:2" ht="25.5" x14ac:dyDescent="0.2">
      <c r="A1029" s="183">
        <v>133</v>
      </c>
      <c r="B1029" s="184" t="s">
        <v>706</v>
      </c>
    </row>
    <row r="1030" spans="1:2" ht="25.5" x14ac:dyDescent="0.2">
      <c r="A1030" s="183">
        <v>134</v>
      </c>
      <c r="B1030" s="184" t="s">
        <v>707</v>
      </c>
    </row>
    <row r="1031" spans="1:2" x14ac:dyDescent="0.2">
      <c r="A1031" s="183">
        <v>136</v>
      </c>
      <c r="B1031" s="184" t="s">
        <v>708</v>
      </c>
    </row>
    <row r="1032" spans="1:2" x14ac:dyDescent="0.2">
      <c r="A1032" s="183">
        <v>139</v>
      </c>
      <c r="B1032" s="184" t="s">
        <v>709</v>
      </c>
    </row>
    <row r="1033" spans="1:2" x14ac:dyDescent="0.2">
      <c r="A1033" s="183">
        <v>140</v>
      </c>
      <c r="B1033" s="184" t="s">
        <v>710</v>
      </c>
    </row>
    <row r="1034" spans="1:2" x14ac:dyDescent="0.2">
      <c r="A1034" s="183">
        <v>141</v>
      </c>
      <c r="B1034" s="184" t="s">
        <v>711</v>
      </c>
    </row>
    <row r="1035" spans="1:2" x14ac:dyDescent="0.2">
      <c r="A1035" s="183">
        <v>142</v>
      </c>
      <c r="B1035" s="184" t="s">
        <v>712</v>
      </c>
    </row>
    <row r="1036" spans="1:2" x14ac:dyDescent="0.2">
      <c r="A1036" s="183">
        <v>148</v>
      </c>
      <c r="B1036" s="184" t="s">
        <v>713</v>
      </c>
    </row>
    <row r="1037" spans="1:2" x14ac:dyDescent="0.2">
      <c r="A1037" s="183">
        <v>149</v>
      </c>
      <c r="B1037" s="184" t="s">
        <v>714</v>
      </c>
    </row>
    <row r="1038" spans="1:2" x14ac:dyDescent="0.2">
      <c r="A1038" s="183">
        <v>152</v>
      </c>
      <c r="B1038" s="184" t="s">
        <v>715</v>
      </c>
    </row>
    <row r="1039" spans="1:2" x14ac:dyDescent="0.2">
      <c r="A1039" s="183">
        <v>153</v>
      </c>
      <c r="B1039" s="184" t="s">
        <v>716</v>
      </c>
    </row>
    <row r="1040" spans="1:2" x14ac:dyDescent="0.2">
      <c r="A1040" s="183">
        <v>154</v>
      </c>
      <c r="B1040" s="184" t="s">
        <v>717</v>
      </c>
    </row>
    <row r="1041" spans="1:2" x14ac:dyDescent="0.2">
      <c r="A1041" s="183">
        <v>156</v>
      </c>
      <c r="B1041" s="184" t="s">
        <v>718</v>
      </c>
    </row>
    <row r="1042" spans="1:2" x14ac:dyDescent="0.2">
      <c r="A1042" s="183">
        <v>157</v>
      </c>
      <c r="B1042" s="184" t="s">
        <v>719</v>
      </c>
    </row>
    <row r="1043" spans="1:2" x14ac:dyDescent="0.2">
      <c r="A1043" s="183">
        <v>158</v>
      </c>
      <c r="B1043" s="184" t="s">
        <v>720</v>
      </c>
    </row>
    <row r="1044" spans="1:2" x14ac:dyDescent="0.2">
      <c r="A1044" s="183">
        <v>159</v>
      </c>
      <c r="B1044" s="184" t="s">
        <v>721</v>
      </c>
    </row>
    <row r="1045" spans="1:2" x14ac:dyDescent="0.2">
      <c r="A1045" s="183">
        <v>160</v>
      </c>
      <c r="B1045" s="184" t="s">
        <v>722</v>
      </c>
    </row>
    <row r="1046" spans="1:2" x14ac:dyDescent="0.2">
      <c r="A1046" s="183">
        <v>162</v>
      </c>
      <c r="B1046" s="184" t="s">
        <v>723</v>
      </c>
    </row>
    <row r="1047" spans="1:2" x14ac:dyDescent="0.2">
      <c r="A1047" s="183">
        <v>163</v>
      </c>
      <c r="B1047" s="184" t="s">
        <v>724</v>
      </c>
    </row>
    <row r="1048" spans="1:2" x14ac:dyDescent="0.2">
      <c r="A1048" s="183">
        <v>164</v>
      </c>
      <c r="B1048" s="184" t="s">
        <v>725</v>
      </c>
    </row>
    <row r="1049" spans="1:2" x14ac:dyDescent="0.2">
      <c r="A1049" s="183">
        <v>165</v>
      </c>
      <c r="B1049" s="184" t="s">
        <v>726</v>
      </c>
    </row>
    <row r="1050" spans="1:2" ht="25.5" x14ac:dyDescent="0.2">
      <c r="A1050" s="183">
        <v>166</v>
      </c>
      <c r="B1050" s="184" t="s">
        <v>727</v>
      </c>
    </row>
    <row r="1051" spans="1:2" ht="25.5" x14ac:dyDescent="0.2">
      <c r="A1051" s="183">
        <v>177</v>
      </c>
      <c r="B1051" s="184" t="s">
        <v>728</v>
      </c>
    </row>
    <row r="1052" spans="1:2" x14ac:dyDescent="0.2">
      <c r="A1052" s="183">
        <v>181</v>
      </c>
      <c r="B1052" s="184" t="s">
        <v>729</v>
      </c>
    </row>
    <row r="1053" spans="1:2" x14ac:dyDescent="0.2">
      <c r="A1053" s="183">
        <v>182</v>
      </c>
      <c r="B1053" s="184" t="s">
        <v>730</v>
      </c>
    </row>
    <row r="1054" spans="1:2" x14ac:dyDescent="0.2">
      <c r="A1054" s="183">
        <v>184</v>
      </c>
      <c r="B1054" s="184" t="s">
        <v>731</v>
      </c>
    </row>
    <row r="1055" spans="1:2" x14ac:dyDescent="0.2">
      <c r="A1055" s="183">
        <v>186</v>
      </c>
      <c r="B1055" s="184" t="s">
        <v>732</v>
      </c>
    </row>
    <row r="1056" spans="1:2" x14ac:dyDescent="0.2">
      <c r="A1056" s="183">
        <v>187</v>
      </c>
      <c r="B1056" s="184" t="s">
        <v>733</v>
      </c>
    </row>
    <row r="1057" spans="1:2" x14ac:dyDescent="0.2">
      <c r="A1057" s="183">
        <v>188</v>
      </c>
      <c r="B1057" s="184" t="s">
        <v>734</v>
      </c>
    </row>
    <row r="1058" spans="1:2" x14ac:dyDescent="0.2">
      <c r="A1058" s="183">
        <v>189</v>
      </c>
      <c r="B1058" s="184" t="s">
        <v>735</v>
      </c>
    </row>
    <row r="1059" spans="1:2" x14ac:dyDescent="0.2">
      <c r="A1059" s="183">
        <v>190</v>
      </c>
      <c r="B1059" s="184" t="s">
        <v>736</v>
      </c>
    </row>
    <row r="1060" spans="1:2" x14ac:dyDescent="0.2">
      <c r="A1060" s="183">
        <v>192</v>
      </c>
      <c r="B1060" s="184" t="s">
        <v>737</v>
      </c>
    </row>
    <row r="1061" spans="1:2" x14ac:dyDescent="0.2">
      <c r="A1061" s="183">
        <v>197</v>
      </c>
      <c r="B1061" s="184" t="s">
        <v>738</v>
      </c>
    </row>
    <row r="1062" spans="1:2" x14ac:dyDescent="0.2">
      <c r="A1062" s="183">
        <v>202</v>
      </c>
      <c r="B1062" s="184" t="s">
        <v>739</v>
      </c>
    </row>
    <row r="1063" spans="1:2" ht="25.5" x14ac:dyDescent="0.2">
      <c r="A1063" s="183">
        <v>206</v>
      </c>
      <c r="B1063" s="184" t="s">
        <v>740</v>
      </c>
    </row>
    <row r="1064" spans="1:2" x14ac:dyDescent="0.2">
      <c r="A1064" s="183">
        <v>207</v>
      </c>
      <c r="B1064" s="184" t="s">
        <v>741</v>
      </c>
    </row>
    <row r="1065" spans="1:2" x14ac:dyDescent="0.2">
      <c r="A1065" s="183">
        <v>226</v>
      </c>
      <c r="B1065" s="184" t="s">
        <v>742</v>
      </c>
    </row>
    <row r="1066" spans="1:2" x14ac:dyDescent="0.2">
      <c r="A1066" s="183">
        <v>258</v>
      </c>
      <c r="B1066" s="184" t="s">
        <v>743</v>
      </c>
    </row>
    <row r="1067" spans="1:2" x14ac:dyDescent="0.2">
      <c r="A1067" s="183">
        <v>262</v>
      </c>
      <c r="B1067" s="184" t="s">
        <v>744</v>
      </c>
    </row>
    <row r="1068" spans="1:2" x14ac:dyDescent="0.2">
      <c r="A1068" s="183">
        <v>263</v>
      </c>
      <c r="B1068" s="184" t="s">
        <v>745</v>
      </c>
    </row>
    <row r="1069" spans="1:2" x14ac:dyDescent="0.2">
      <c r="A1069" s="183">
        <v>279</v>
      </c>
      <c r="B1069" s="184" t="s">
        <v>746</v>
      </c>
    </row>
    <row r="1070" spans="1:2" x14ac:dyDescent="0.2">
      <c r="A1070" s="183">
        <v>302</v>
      </c>
      <c r="B1070" s="184" t="s">
        <v>747</v>
      </c>
    </row>
    <row r="1071" spans="1:2" x14ac:dyDescent="0.2">
      <c r="A1071" s="183">
        <v>303</v>
      </c>
      <c r="B1071" s="184" t="s">
        <v>748</v>
      </c>
    </row>
    <row r="1072" spans="1:2" x14ac:dyDescent="0.2">
      <c r="A1072" s="183">
        <v>304</v>
      </c>
      <c r="B1072" s="184" t="s">
        <v>749</v>
      </c>
    </row>
    <row r="1073" spans="1:2" x14ac:dyDescent="0.2">
      <c r="A1073" s="183">
        <v>305</v>
      </c>
      <c r="B1073" s="184" t="s">
        <v>750</v>
      </c>
    </row>
    <row r="1074" spans="1:2" x14ac:dyDescent="0.2">
      <c r="A1074" s="183">
        <v>306</v>
      </c>
      <c r="B1074" s="184" t="s">
        <v>751</v>
      </c>
    </row>
    <row r="1075" spans="1:2" x14ac:dyDescent="0.2">
      <c r="A1075" s="183">
        <v>308</v>
      </c>
      <c r="B1075" s="184" t="s">
        <v>752</v>
      </c>
    </row>
    <row r="1076" spans="1:2" x14ac:dyDescent="0.2">
      <c r="A1076" s="183">
        <v>310</v>
      </c>
      <c r="B1076" s="184" t="s">
        <v>753</v>
      </c>
    </row>
    <row r="1077" spans="1:2" x14ac:dyDescent="0.2">
      <c r="A1077" s="183">
        <v>316</v>
      </c>
      <c r="B1077" s="184" t="s">
        <v>754</v>
      </c>
    </row>
    <row r="1078" spans="1:2" x14ac:dyDescent="0.2">
      <c r="A1078" s="183">
        <v>318</v>
      </c>
      <c r="B1078" s="184" t="s">
        <v>755</v>
      </c>
    </row>
    <row r="1079" spans="1:2" x14ac:dyDescent="0.2">
      <c r="A1079" s="183">
        <v>319</v>
      </c>
      <c r="B1079" s="184" t="s">
        <v>756</v>
      </c>
    </row>
    <row r="1080" spans="1:2" x14ac:dyDescent="0.2">
      <c r="A1080" s="183">
        <v>320</v>
      </c>
      <c r="B1080" s="184" t="s">
        <v>757</v>
      </c>
    </row>
    <row r="1081" spans="1:2" x14ac:dyDescent="0.2">
      <c r="A1081" s="183">
        <v>321</v>
      </c>
      <c r="B1081" s="184" t="s">
        <v>758</v>
      </c>
    </row>
    <row r="1082" spans="1:2" x14ac:dyDescent="0.2">
      <c r="A1082" s="183">
        <v>322</v>
      </c>
      <c r="B1082" s="184" t="s">
        <v>759</v>
      </c>
    </row>
    <row r="1083" spans="1:2" x14ac:dyDescent="0.2">
      <c r="A1083" s="183">
        <v>330</v>
      </c>
      <c r="B1083" s="184" t="s">
        <v>760</v>
      </c>
    </row>
    <row r="1084" spans="1:2" x14ac:dyDescent="0.2">
      <c r="A1084" s="183">
        <v>333</v>
      </c>
      <c r="B1084" s="184" t="s">
        <v>761</v>
      </c>
    </row>
    <row r="1085" spans="1:2" x14ac:dyDescent="0.2">
      <c r="A1085" s="183">
        <v>352</v>
      </c>
      <c r="B1085" s="184" t="s">
        <v>762</v>
      </c>
    </row>
    <row r="1086" spans="1:2" x14ac:dyDescent="0.2">
      <c r="A1086" s="183">
        <v>386</v>
      </c>
      <c r="B1086" s="184" t="s">
        <v>763</v>
      </c>
    </row>
    <row r="1087" spans="1:2" ht="25.5" x14ac:dyDescent="0.2">
      <c r="A1087" s="183">
        <v>387</v>
      </c>
      <c r="B1087" s="184" t="s">
        <v>764</v>
      </c>
    </row>
    <row r="1088" spans="1:2" x14ac:dyDescent="0.2">
      <c r="A1088" s="183">
        <v>392</v>
      </c>
      <c r="B1088" s="184" t="s">
        <v>765</v>
      </c>
    </row>
    <row r="1089" spans="1:2" x14ac:dyDescent="0.2">
      <c r="A1089" s="183">
        <v>393</v>
      </c>
      <c r="B1089" s="184" t="s">
        <v>766</v>
      </c>
    </row>
    <row r="1090" spans="1:2" x14ac:dyDescent="0.2">
      <c r="A1090" s="183">
        <v>397</v>
      </c>
      <c r="B1090" s="184" t="s">
        <v>767</v>
      </c>
    </row>
    <row r="1091" spans="1:2" x14ac:dyDescent="0.2">
      <c r="A1091" s="183">
        <v>401</v>
      </c>
      <c r="B1091" s="184" t="s">
        <v>768</v>
      </c>
    </row>
    <row r="1092" spans="1:2" x14ac:dyDescent="0.2">
      <c r="A1092" s="183">
        <v>409</v>
      </c>
      <c r="B1092" s="184" t="s">
        <v>769</v>
      </c>
    </row>
    <row r="1093" spans="1:2" x14ac:dyDescent="0.2">
      <c r="A1093" s="183">
        <v>415</v>
      </c>
      <c r="B1093" s="184" t="s">
        <v>770</v>
      </c>
    </row>
    <row r="1094" spans="1:2" x14ac:dyDescent="0.2">
      <c r="A1094" s="183">
        <v>423</v>
      </c>
      <c r="B1094" s="184" t="s">
        <v>771</v>
      </c>
    </row>
    <row r="1095" spans="1:2" x14ac:dyDescent="0.2">
      <c r="A1095" s="183">
        <v>424</v>
      </c>
      <c r="B1095" s="184" t="s">
        <v>772</v>
      </c>
    </row>
    <row r="1096" spans="1:2" x14ac:dyDescent="0.2">
      <c r="A1096" s="183">
        <v>425</v>
      </c>
      <c r="B1096" s="184" t="s">
        <v>773</v>
      </c>
    </row>
    <row r="1097" spans="1:2" x14ac:dyDescent="0.2">
      <c r="A1097" s="183">
        <v>434</v>
      </c>
      <c r="B1097" s="184" t="s">
        <v>774</v>
      </c>
    </row>
    <row r="1098" spans="1:2" x14ac:dyDescent="0.2">
      <c r="A1098" s="183">
        <v>436</v>
      </c>
      <c r="B1098" s="184" t="s">
        <v>775</v>
      </c>
    </row>
    <row r="1099" spans="1:2" x14ac:dyDescent="0.2">
      <c r="A1099" s="183">
        <v>437</v>
      </c>
      <c r="B1099" s="184" t="s">
        <v>776</v>
      </c>
    </row>
    <row r="1100" spans="1:2" x14ac:dyDescent="0.2">
      <c r="A1100" s="183">
        <v>438</v>
      </c>
      <c r="B1100" s="184" t="s">
        <v>777</v>
      </c>
    </row>
    <row r="1101" spans="1:2" x14ac:dyDescent="0.2">
      <c r="A1101" s="183">
        <v>464</v>
      </c>
      <c r="B1101" s="184" t="s">
        <v>778</v>
      </c>
    </row>
    <row r="1102" spans="1:2" x14ac:dyDescent="0.2">
      <c r="A1102" s="183">
        <v>486</v>
      </c>
      <c r="B1102" s="184" t="s">
        <v>779</v>
      </c>
    </row>
    <row r="1103" spans="1:2" x14ac:dyDescent="0.2">
      <c r="A1103" s="183">
        <v>494</v>
      </c>
      <c r="B1103" s="184" t="s">
        <v>780</v>
      </c>
    </row>
    <row r="1104" spans="1:2" x14ac:dyDescent="0.2">
      <c r="A1104" s="183">
        <v>497</v>
      </c>
      <c r="B1104" s="184" t="s">
        <v>781</v>
      </c>
    </row>
    <row r="1105" spans="1:2" x14ac:dyDescent="0.2">
      <c r="A1105" s="183">
        <v>498</v>
      </c>
      <c r="B1105" s="184" t="s">
        <v>782</v>
      </c>
    </row>
    <row r="1106" spans="1:2" x14ac:dyDescent="0.2">
      <c r="A1106" s="183">
        <v>520</v>
      </c>
      <c r="B1106" s="184" t="s">
        <v>783</v>
      </c>
    </row>
    <row r="1107" spans="1:2" x14ac:dyDescent="0.2">
      <c r="A1107" s="183">
        <v>573</v>
      </c>
      <c r="B1107" s="184" t="s">
        <v>784</v>
      </c>
    </row>
    <row r="1108" spans="1:2" x14ac:dyDescent="0.2">
      <c r="A1108" s="183">
        <v>588</v>
      </c>
      <c r="B1108" s="184" t="s">
        <v>785</v>
      </c>
    </row>
    <row r="1109" spans="1:2" x14ac:dyDescent="0.2">
      <c r="A1109" s="183">
        <v>589</v>
      </c>
      <c r="B1109" s="184" t="s">
        <v>786</v>
      </c>
    </row>
    <row r="1110" spans="1:2" x14ac:dyDescent="0.2">
      <c r="A1110" s="183">
        <v>591</v>
      </c>
      <c r="B1110" s="184" t="s">
        <v>787</v>
      </c>
    </row>
    <row r="1111" spans="1:2" x14ac:dyDescent="0.2">
      <c r="A1111" s="183">
        <v>597</v>
      </c>
      <c r="B1111" s="184" t="s">
        <v>788</v>
      </c>
    </row>
    <row r="1112" spans="1:2" x14ac:dyDescent="0.2">
      <c r="A1112" s="183">
        <v>653</v>
      </c>
      <c r="B1112" s="184" t="s">
        <v>789</v>
      </c>
    </row>
    <row r="1113" spans="1:2" x14ac:dyDescent="0.2">
      <c r="A1113" s="183">
        <v>665</v>
      </c>
      <c r="B1113" s="184" t="s">
        <v>790</v>
      </c>
    </row>
    <row r="1114" spans="1:2" x14ac:dyDescent="0.2">
      <c r="A1114" s="183">
        <v>677</v>
      </c>
      <c r="B1114" s="184" t="s">
        <v>791</v>
      </c>
    </row>
    <row r="1115" spans="1:2" x14ac:dyDescent="0.2">
      <c r="A1115" s="183">
        <v>693</v>
      </c>
      <c r="B1115" s="184" t="s">
        <v>792</v>
      </c>
    </row>
    <row r="1116" spans="1:2" x14ac:dyDescent="0.2">
      <c r="A1116" s="183">
        <v>720</v>
      </c>
      <c r="B1116" s="184" t="s">
        <v>793</v>
      </c>
    </row>
    <row r="1117" spans="1:2" x14ac:dyDescent="0.2">
      <c r="A1117" s="183">
        <v>721</v>
      </c>
      <c r="B1117" s="184" t="s">
        <v>794</v>
      </c>
    </row>
    <row r="1118" spans="1:2" ht="25.5" x14ac:dyDescent="0.2">
      <c r="A1118" s="183">
        <v>722</v>
      </c>
      <c r="B1118" s="184" t="s">
        <v>795</v>
      </c>
    </row>
    <row r="1119" spans="1:2" x14ac:dyDescent="0.2">
      <c r="A1119" s="183">
        <v>801</v>
      </c>
      <c r="B1119" s="184" t="s">
        <v>796</v>
      </c>
    </row>
    <row r="1120" spans="1:2" x14ac:dyDescent="0.2">
      <c r="A1120" s="183">
        <v>804</v>
      </c>
      <c r="B1120" s="184" t="s">
        <v>797</v>
      </c>
    </row>
    <row r="1121" spans="1:2" ht="25.5" x14ac:dyDescent="0.2">
      <c r="A1121" s="183">
        <v>807</v>
      </c>
      <c r="B1121" s="184" t="s">
        <v>798</v>
      </c>
    </row>
    <row r="1122" spans="1:2" x14ac:dyDescent="0.2">
      <c r="A1122" s="183">
        <v>812</v>
      </c>
      <c r="B1122" s="184" t="s">
        <v>799</v>
      </c>
    </row>
    <row r="1123" spans="1:2" x14ac:dyDescent="0.2">
      <c r="A1123" s="183">
        <v>905</v>
      </c>
      <c r="B1123" s="184" t="s">
        <v>800</v>
      </c>
    </row>
    <row r="1124" spans="1:2" x14ac:dyDescent="0.2">
      <c r="A1124" s="183">
        <v>906</v>
      </c>
      <c r="B1124" s="184" t="s">
        <v>801</v>
      </c>
    </row>
    <row r="1125" spans="1:2" x14ac:dyDescent="0.2">
      <c r="A1125" s="183">
        <v>914</v>
      </c>
      <c r="B1125" s="184" t="s">
        <v>802</v>
      </c>
    </row>
    <row r="1126" spans="1:2" x14ac:dyDescent="0.2">
      <c r="A1126" s="183">
        <v>932</v>
      </c>
      <c r="B1126" s="184" t="s">
        <v>803</v>
      </c>
    </row>
    <row r="1127" spans="1:2" x14ac:dyDescent="0.2">
      <c r="A1127" s="183">
        <v>950</v>
      </c>
      <c r="B1127" s="184" t="s">
        <v>309</v>
      </c>
    </row>
    <row r="1128" spans="1:2" x14ac:dyDescent="0.2">
      <c r="A1128" s="183">
        <v>951</v>
      </c>
      <c r="B1128" s="184" t="s">
        <v>804</v>
      </c>
    </row>
    <row r="1129" spans="1:2" x14ac:dyDescent="0.2">
      <c r="A1129" s="183">
        <v>952</v>
      </c>
      <c r="B1129" s="184" t="s">
        <v>359</v>
      </c>
    </row>
    <row r="1130" spans="1:2" x14ac:dyDescent="0.2">
      <c r="A1130" s="183">
        <v>953</v>
      </c>
      <c r="B1130" s="184" t="s">
        <v>365</v>
      </c>
    </row>
    <row r="1131" spans="1:2" x14ac:dyDescent="0.2">
      <c r="A1131" s="183">
        <v>954</v>
      </c>
      <c r="B1131" s="184" t="s">
        <v>444</v>
      </c>
    </row>
    <row r="1132" spans="1:2" x14ac:dyDescent="0.2">
      <c r="A1132" s="183">
        <v>955</v>
      </c>
      <c r="B1132" s="184" t="s">
        <v>473</v>
      </c>
    </row>
    <row r="1133" spans="1:2" x14ac:dyDescent="0.2">
      <c r="A1133" s="183">
        <v>956</v>
      </c>
      <c r="B1133" s="184" t="s">
        <v>487</v>
      </c>
    </row>
    <row r="1134" spans="1:2" x14ac:dyDescent="0.2">
      <c r="A1134" s="183">
        <v>957</v>
      </c>
      <c r="B1134" s="184" t="s">
        <v>805</v>
      </c>
    </row>
    <row r="1135" spans="1:2" x14ac:dyDescent="0.2">
      <c r="A1135" s="183">
        <v>958</v>
      </c>
      <c r="B1135" s="184" t="s">
        <v>523</v>
      </c>
    </row>
    <row r="1136" spans="1:2" x14ac:dyDescent="0.2">
      <c r="A1136" s="183">
        <v>959</v>
      </c>
      <c r="B1136" s="184" t="s">
        <v>806</v>
      </c>
    </row>
    <row r="1137" spans="1:2" x14ac:dyDescent="0.2">
      <c r="A1137" s="183">
        <v>960</v>
      </c>
      <c r="B1137" s="184" t="s">
        <v>807</v>
      </c>
    </row>
    <row r="1138" spans="1:2" x14ac:dyDescent="0.2">
      <c r="A1138" s="183">
        <v>961</v>
      </c>
      <c r="B1138" s="184" t="s">
        <v>808</v>
      </c>
    </row>
    <row r="1139" spans="1:2" x14ac:dyDescent="0.2">
      <c r="A1139" s="183">
        <v>962</v>
      </c>
      <c r="B1139" s="184" t="s">
        <v>809</v>
      </c>
    </row>
    <row r="1140" spans="1:2" x14ac:dyDescent="0.2">
      <c r="A1140" s="183">
        <v>963</v>
      </c>
      <c r="B1140" s="184" t="s">
        <v>810</v>
      </c>
    </row>
    <row r="1141" spans="1:2" x14ac:dyDescent="0.2">
      <c r="A1141" s="183">
        <v>964</v>
      </c>
      <c r="B1141" s="184" t="s">
        <v>811</v>
      </c>
    </row>
    <row r="1142" spans="1:2" x14ac:dyDescent="0.2">
      <c r="A1142" s="183">
        <v>965</v>
      </c>
      <c r="B1142" s="184" t="s">
        <v>812</v>
      </c>
    </row>
    <row r="1143" spans="1:2" x14ac:dyDescent="0.2">
      <c r="A1143" s="183">
        <v>966</v>
      </c>
      <c r="B1143" s="184" t="s">
        <v>813</v>
      </c>
    </row>
    <row r="1144" spans="1:2" x14ac:dyDescent="0.2">
      <c r="A1144" s="183">
        <v>967</v>
      </c>
      <c r="B1144" s="184" t="s">
        <v>814</v>
      </c>
    </row>
    <row r="1145" spans="1:2" x14ac:dyDescent="0.2">
      <c r="A1145" s="183">
        <v>968</v>
      </c>
      <c r="B1145" s="184" t="s">
        <v>815</v>
      </c>
    </row>
    <row r="1146" spans="1:2" x14ac:dyDescent="0.2">
      <c r="A1146" s="183">
        <v>969</v>
      </c>
      <c r="B1146" s="184" t="s">
        <v>816</v>
      </c>
    </row>
    <row r="1147" spans="1:2" x14ac:dyDescent="0.2">
      <c r="A1147" s="183">
        <v>970</v>
      </c>
      <c r="B1147" s="184" t="s">
        <v>817</v>
      </c>
    </row>
    <row r="1148" spans="1:2" x14ac:dyDescent="0.2">
      <c r="A1148" s="183">
        <v>971</v>
      </c>
      <c r="B1148" s="184" t="s">
        <v>818</v>
      </c>
    </row>
    <row r="1149" spans="1:2" x14ac:dyDescent="0.2">
      <c r="A1149" s="183">
        <v>972</v>
      </c>
      <c r="B1149" s="184" t="s">
        <v>819</v>
      </c>
    </row>
    <row r="1150" spans="1:2" x14ac:dyDescent="0.2">
      <c r="A1150" s="183">
        <v>973</v>
      </c>
      <c r="B1150" s="184" t="s">
        <v>820</v>
      </c>
    </row>
    <row r="1151" spans="1:2" x14ac:dyDescent="0.2">
      <c r="A1151" s="183">
        <v>974</v>
      </c>
      <c r="B1151" s="184" t="s">
        <v>821</v>
      </c>
    </row>
    <row r="1152" spans="1:2" x14ac:dyDescent="0.2">
      <c r="A1152" s="183">
        <v>975</v>
      </c>
      <c r="B1152" s="184" t="s">
        <v>822</v>
      </c>
    </row>
    <row r="1153" spans="1:2" x14ac:dyDescent="0.2">
      <c r="A1153" s="183">
        <v>976</v>
      </c>
      <c r="B1153" s="184" t="s">
        <v>823</v>
      </c>
    </row>
    <row r="1154" spans="1:2" x14ac:dyDescent="0.2">
      <c r="A1154" s="183">
        <v>977</v>
      </c>
      <c r="B1154" s="184" t="s">
        <v>824</v>
      </c>
    </row>
    <row r="1155" spans="1:2" x14ac:dyDescent="0.2">
      <c r="A1155" s="183">
        <v>978</v>
      </c>
      <c r="B1155" s="184" t="s">
        <v>825</v>
      </c>
    </row>
    <row r="1156" spans="1:2" x14ac:dyDescent="0.2">
      <c r="A1156" s="183">
        <v>979</v>
      </c>
      <c r="B1156" s="184" t="s">
        <v>826</v>
      </c>
    </row>
    <row r="1157" spans="1:2" x14ac:dyDescent="0.2">
      <c r="A1157" s="183">
        <v>980</v>
      </c>
      <c r="B1157" s="184" t="s">
        <v>827</v>
      </c>
    </row>
    <row r="1158" spans="1:2" x14ac:dyDescent="0.2">
      <c r="A1158" s="183">
        <v>981</v>
      </c>
      <c r="B1158" s="184" t="s">
        <v>828</v>
      </c>
    </row>
    <row r="1159" spans="1:2" x14ac:dyDescent="0.2">
      <c r="A1159" s="183">
        <v>982</v>
      </c>
      <c r="B1159" s="184" t="s">
        <v>568</v>
      </c>
    </row>
    <row r="1160" spans="1:2" x14ac:dyDescent="0.2">
      <c r="A1160" s="183">
        <v>983</v>
      </c>
      <c r="B1160" s="184" t="s">
        <v>829</v>
      </c>
    </row>
    <row r="1161" spans="1:2" x14ac:dyDescent="0.2">
      <c r="A1161" s="183">
        <v>984</v>
      </c>
      <c r="B1161" s="184" t="s">
        <v>830</v>
      </c>
    </row>
    <row r="1162" spans="1:2" x14ac:dyDescent="0.2">
      <c r="A1162" s="183">
        <v>985</v>
      </c>
      <c r="B1162" s="184" t="s">
        <v>831</v>
      </c>
    </row>
    <row r="1163" spans="1:2" x14ac:dyDescent="0.2">
      <c r="A1163" s="183">
        <v>986</v>
      </c>
      <c r="B1163" s="184" t="s">
        <v>832</v>
      </c>
    </row>
    <row r="1164" spans="1:2" x14ac:dyDescent="0.2">
      <c r="A1164" s="183">
        <v>987</v>
      </c>
      <c r="B1164" s="184" t="s">
        <v>833</v>
      </c>
    </row>
    <row r="1165" spans="1:2" x14ac:dyDescent="0.2">
      <c r="A1165" s="183">
        <v>988</v>
      </c>
      <c r="B1165" s="184" t="s">
        <v>834</v>
      </c>
    </row>
    <row r="1166" spans="1:2" x14ac:dyDescent="0.2">
      <c r="A1166" s="183">
        <v>989</v>
      </c>
      <c r="B1166" s="184" t="s">
        <v>835</v>
      </c>
    </row>
    <row r="1167" spans="1:2" x14ac:dyDescent="0.2">
      <c r="A1167" s="180">
        <v>995</v>
      </c>
      <c r="B1167" s="179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935</v>
      </c>
      <c r="C1425" s="193"/>
    </row>
    <row r="1426" spans="1:3" x14ac:dyDescent="0.2">
      <c r="A1426" s="198">
        <v>302</v>
      </c>
      <c r="B1426" s="200" t="s">
        <v>936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1562</v>
      </c>
      <c r="C1433" s="193"/>
    </row>
    <row r="1434" spans="1:3" x14ac:dyDescent="0.2">
      <c r="A1434" s="198">
        <v>310</v>
      </c>
      <c r="B1434" s="199" t="s">
        <v>1563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1028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1564</v>
      </c>
      <c r="C1470" s="193"/>
    </row>
    <row r="1471" spans="1:3" x14ac:dyDescent="0.2">
      <c r="A1471" s="198">
        <v>707</v>
      </c>
      <c r="B1471" s="200" t="s">
        <v>1029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61" t="s">
        <v>1565</v>
      </c>
    </row>
    <row r="1508" spans="1:2" x14ac:dyDescent="0.2">
      <c r="A1508" s="198">
        <v>1301</v>
      </c>
      <c r="B1508" s="199" t="s">
        <v>1566</v>
      </c>
    </row>
    <row r="1509" spans="1:2" x14ac:dyDescent="0.2">
      <c r="A1509" s="198">
        <v>1302</v>
      </c>
      <c r="B1509" s="199" t="s">
        <v>1567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1568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70" customWidth="1"/>
    <col min="2" max="2" width="16.140625" style="270" customWidth="1"/>
    <col min="3" max="3" width="12.7109375" style="270" customWidth="1"/>
    <col min="4" max="4" width="16.7109375" style="270" customWidth="1"/>
    <col min="5" max="5" width="20.140625" style="270" customWidth="1"/>
    <col min="6" max="16384" width="9.140625" style="270"/>
  </cols>
  <sheetData>
    <row r="1" spans="1:5" ht="15.75" x14ac:dyDescent="0.25">
      <c r="A1" s="931" t="s">
        <v>1544</v>
      </c>
      <c r="B1" s="931"/>
      <c r="C1" s="931"/>
      <c r="D1" s="931"/>
      <c r="E1" s="931"/>
    </row>
    <row r="2" spans="1:5" ht="15.75" x14ac:dyDescent="0.25">
      <c r="A2" s="931" t="s">
        <v>1</v>
      </c>
      <c r="B2" s="931"/>
      <c r="C2" s="931"/>
      <c r="D2" s="931"/>
      <c r="E2" s="931"/>
    </row>
    <row r="3" spans="1:5" ht="15.75" x14ac:dyDescent="0.25">
      <c r="A3" s="931" t="s">
        <v>2</v>
      </c>
      <c r="B3" s="931"/>
      <c r="C3" s="931"/>
      <c r="D3" s="931"/>
      <c r="E3" s="931"/>
    </row>
    <row r="4" spans="1:5" ht="15.75" x14ac:dyDescent="0.25">
      <c r="A4" s="931" t="s">
        <v>1540</v>
      </c>
      <c r="B4" s="931"/>
      <c r="C4" s="931"/>
      <c r="D4" s="931"/>
      <c r="E4" s="931"/>
    </row>
    <row r="5" spans="1:5" x14ac:dyDescent="0.2">
      <c r="A5" s="273"/>
      <c r="B5" s="273"/>
      <c r="C5" s="273"/>
      <c r="D5" s="273"/>
      <c r="E5" s="272"/>
    </row>
    <row r="6" spans="1:5" ht="48.75" customHeight="1" x14ac:dyDescent="0.2">
      <c r="A6" s="969" t="s">
        <v>1640</v>
      </c>
      <c r="B6" s="969"/>
      <c r="C6" s="969"/>
      <c r="D6" s="969"/>
      <c r="E6" s="969"/>
    </row>
    <row r="7" spans="1:5" ht="21.75" customHeight="1" thickBot="1" x14ac:dyDescent="0.25">
      <c r="A7" s="278"/>
      <c r="B7" s="278"/>
      <c r="C7" s="278"/>
      <c r="D7" s="278"/>
      <c r="E7" s="272"/>
    </row>
    <row r="8" spans="1:5" ht="32.25" thickBot="1" x14ac:dyDescent="0.25">
      <c r="A8" s="690" t="s">
        <v>666</v>
      </c>
      <c r="B8" s="691" t="s">
        <v>1389</v>
      </c>
      <c r="C8" s="692" t="s">
        <v>671</v>
      </c>
      <c r="D8" s="691" t="s">
        <v>1574</v>
      </c>
      <c r="E8" s="691" t="s">
        <v>1641</v>
      </c>
    </row>
    <row r="9" spans="1:5" s="356" customFormat="1" ht="31.5" x14ac:dyDescent="0.25">
      <c r="A9" s="693" t="s">
        <v>1035</v>
      </c>
      <c r="B9" s="694">
        <f>SUM(B10:B13)</f>
        <v>884420</v>
      </c>
      <c r="C9" s="694">
        <f t="shared" ref="C9:E9" si="0">SUM(C10:C13)</f>
        <v>-7324</v>
      </c>
      <c r="D9" s="695">
        <f t="shared" ref="D9" si="1">SUM(D10:D13)</f>
        <v>0</v>
      </c>
      <c r="E9" s="695">
        <f t="shared" si="0"/>
        <v>0</v>
      </c>
    </row>
    <row r="10" spans="1:5" ht="15.75" x14ac:dyDescent="0.25">
      <c r="A10" s="602" t="s">
        <v>667</v>
      </c>
      <c r="B10" s="601">
        <v>200000</v>
      </c>
      <c r="C10" s="689"/>
      <c r="D10" s="279">
        <v>0</v>
      </c>
      <c r="E10" s="279">
        <v>0</v>
      </c>
    </row>
    <row r="11" spans="1:5" ht="15.75" x14ac:dyDescent="0.25">
      <c r="A11" s="602" t="s">
        <v>672</v>
      </c>
      <c r="B11" s="601">
        <v>240000</v>
      </c>
      <c r="C11" s="689"/>
      <c r="D11" s="279">
        <v>0</v>
      </c>
      <c r="E11" s="279">
        <v>0</v>
      </c>
    </row>
    <row r="12" spans="1:5" ht="15.75" x14ac:dyDescent="0.25">
      <c r="A12" s="602" t="s">
        <v>670</v>
      </c>
      <c r="B12" s="601">
        <v>120000</v>
      </c>
      <c r="C12" s="689"/>
      <c r="D12" s="279">
        <v>0</v>
      </c>
      <c r="E12" s="279">
        <v>0</v>
      </c>
    </row>
    <row r="13" spans="1:5" ht="16.5" thickBot="1" x14ac:dyDescent="0.3">
      <c r="A13" s="696" t="s">
        <v>668</v>
      </c>
      <c r="B13" s="697">
        <v>324420</v>
      </c>
      <c r="C13" s="698">
        <v>-7324</v>
      </c>
      <c r="D13" s="699">
        <v>0</v>
      </c>
      <c r="E13" s="699">
        <v>0</v>
      </c>
    </row>
    <row r="14" spans="1:5" ht="99" customHeight="1" x14ac:dyDescent="0.2">
      <c r="A14" s="700" t="s">
        <v>1572</v>
      </c>
      <c r="B14" s="701">
        <f>SUM(B15:B15)</f>
        <v>6075160</v>
      </c>
      <c r="C14" s="701">
        <f t="shared" ref="C14:E16" si="2">SUM(C15:C15)</f>
        <v>0</v>
      </c>
      <c r="D14" s="702">
        <f t="shared" si="2"/>
        <v>6200000</v>
      </c>
      <c r="E14" s="702">
        <f t="shared" si="2"/>
        <v>6400000</v>
      </c>
    </row>
    <row r="15" spans="1:5" ht="16.5" thickBot="1" x14ac:dyDescent="0.3">
      <c r="A15" s="703" t="s">
        <v>668</v>
      </c>
      <c r="B15" s="704">
        <v>6075160</v>
      </c>
      <c r="C15" s="705">
        <v>0</v>
      </c>
      <c r="D15" s="706">
        <v>6200000</v>
      </c>
      <c r="E15" s="706">
        <v>6400000</v>
      </c>
    </row>
    <row r="16" spans="1:5" ht="31.5" x14ac:dyDescent="0.2">
      <c r="A16" s="707" t="s">
        <v>1328</v>
      </c>
      <c r="B16" s="701">
        <f>SUM(B17:B17)</f>
        <v>202604</v>
      </c>
      <c r="C16" s="701">
        <f t="shared" si="2"/>
        <v>0</v>
      </c>
      <c r="D16" s="702">
        <f t="shared" si="2"/>
        <v>0</v>
      </c>
      <c r="E16" s="702">
        <f t="shared" si="2"/>
        <v>0</v>
      </c>
    </row>
    <row r="17" spans="1:5" ht="16.5" thickBot="1" x14ac:dyDescent="0.3">
      <c r="A17" s="708" t="s">
        <v>668</v>
      </c>
      <c r="B17" s="704">
        <v>202604</v>
      </c>
      <c r="C17" s="709">
        <v>0</v>
      </c>
      <c r="D17" s="706"/>
      <c r="E17" s="706"/>
    </row>
    <row r="18" spans="1:5" ht="94.5" x14ac:dyDescent="0.25">
      <c r="A18" s="693" t="s">
        <v>1495</v>
      </c>
      <c r="B18" s="694">
        <f>SUM(B19:B22)</f>
        <v>0</v>
      </c>
      <c r="C18" s="694">
        <f t="shared" ref="C18:E18" si="3">SUM(C19:C22)</f>
        <v>0</v>
      </c>
      <c r="D18" s="695">
        <f t="shared" ref="D18" si="4">SUM(D19:D22)</f>
        <v>0</v>
      </c>
      <c r="E18" s="695">
        <f t="shared" si="3"/>
        <v>0</v>
      </c>
    </row>
    <row r="19" spans="1:5" ht="15.75" x14ac:dyDescent="0.25">
      <c r="A19" s="602" t="s">
        <v>667</v>
      </c>
      <c r="B19" s="601"/>
      <c r="C19" s="689"/>
      <c r="D19" s="279">
        <f>SUM(A19:B19)</f>
        <v>0</v>
      </c>
      <c r="E19" s="279">
        <f>SUM(B19:C19)</f>
        <v>0</v>
      </c>
    </row>
    <row r="20" spans="1:5" ht="15.75" x14ac:dyDescent="0.25">
      <c r="A20" s="602" t="s">
        <v>672</v>
      </c>
      <c r="B20" s="601"/>
      <c r="C20" s="689"/>
      <c r="D20" s="279">
        <f t="shared" ref="D20:E22" si="5">SUM(A20:B20)</f>
        <v>0</v>
      </c>
      <c r="E20" s="279">
        <f t="shared" si="5"/>
        <v>0</v>
      </c>
    </row>
    <row r="21" spans="1:5" ht="15.75" x14ac:dyDescent="0.25">
      <c r="A21" s="602" t="s">
        <v>670</v>
      </c>
      <c r="B21" s="601"/>
      <c r="C21" s="689"/>
      <c r="D21" s="279">
        <f t="shared" si="5"/>
        <v>0</v>
      </c>
      <c r="E21" s="279">
        <f t="shared" si="5"/>
        <v>0</v>
      </c>
    </row>
    <row r="22" spans="1:5" ht="16.5" thickBot="1" x14ac:dyDescent="0.3">
      <c r="A22" s="753" t="s">
        <v>668</v>
      </c>
      <c r="B22" s="754"/>
      <c r="C22" s="755"/>
      <c r="D22" s="756">
        <f t="shared" si="5"/>
        <v>0</v>
      </c>
      <c r="E22" s="756">
        <f t="shared" si="5"/>
        <v>0</v>
      </c>
    </row>
    <row r="23" spans="1:5" ht="13.5" thickBot="1" x14ac:dyDescent="0.25">
      <c r="A23" s="757" t="s">
        <v>570</v>
      </c>
      <c r="B23" s="758">
        <f>B9+B14+B16+B18</f>
        <v>7162184</v>
      </c>
      <c r="C23" s="759">
        <f>C9+C14+C16+C18</f>
        <v>-7324</v>
      </c>
      <c r="D23" s="760">
        <f>D9+D14+D16+D18</f>
        <v>6200000</v>
      </c>
      <c r="E23" s="760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showGridLines="0" view="pageBreakPreview" topLeftCell="A117" zoomScaleSheetLayoutView="100" workbookViewId="0">
      <selection activeCell="M60" sqref="M60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customWidth="1"/>
    <col min="11" max="12" width="14.28515625" style="42" customWidth="1"/>
    <col min="13" max="13" width="16.140625" style="42" customWidth="1"/>
    <col min="14" max="14" width="14.28515625" style="42" customWidth="1"/>
    <col min="15" max="15" width="14.42578125" style="42" customWidth="1"/>
    <col min="16" max="16384" width="9.140625" style="42"/>
  </cols>
  <sheetData>
    <row r="1" spans="1:15" ht="15.75" x14ac:dyDescent="0.25">
      <c r="A1" s="931" t="s">
        <v>130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</row>
    <row r="2" spans="1:15" ht="15.75" x14ac:dyDescent="0.25">
      <c r="A2" s="931" t="s">
        <v>1</v>
      </c>
      <c r="B2" s="931"/>
      <c r="C2" s="931"/>
      <c r="D2" s="931"/>
      <c r="E2" s="931"/>
      <c r="F2" s="931"/>
      <c r="G2" s="931"/>
      <c r="H2" s="931"/>
      <c r="I2" s="931"/>
      <c r="J2" s="931"/>
      <c r="K2" s="931"/>
      <c r="L2" s="931"/>
      <c r="M2" s="931"/>
      <c r="N2" s="931"/>
      <c r="O2" s="931"/>
    </row>
    <row r="3" spans="1:15" ht="15.75" x14ac:dyDescent="0.25">
      <c r="A3" s="931" t="s">
        <v>2</v>
      </c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931"/>
      <c r="N3" s="931"/>
      <c r="O3" s="931"/>
    </row>
    <row r="4" spans="1:15" ht="15.75" x14ac:dyDescent="0.25">
      <c r="A4" s="931" t="s">
        <v>1757</v>
      </c>
      <c r="B4" s="931"/>
      <c r="C4" s="931"/>
      <c r="D4" s="931"/>
      <c r="E4" s="931"/>
      <c r="F4" s="931"/>
      <c r="G4" s="931"/>
      <c r="H4" s="931"/>
      <c r="I4" s="931"/>
      <c r="J4" s="931"/>
      <c r="K4" s="931"/>
      <c r="L4" s="931"/>
      <c r="M4" s="931"/>
      <c r="N4" s="931"/>
      <c r="O4" s="931"/>
    </row>
    <row r="5" spans="1:15" ht="15.75" x14ac:dyDescent="0.25">
      <c r="A5" s="305"/>
      <c r="B5" s="305"/>
      <c r="C5" s="305"/>
      <c r="D5" s="305"/>
      <c r="E5" s="305"/>
      <c r="F5" s="305"/>
      <c r="G5" s="306"/>
      <c r="H5" s="307"/>
      <c r="I5" s="930"/>
      <c r="J5" s="930"/>
      <c r="K5" s="304"/>
      <c r="L5" s="304"/>
      <c r="M5" s="304"/>
      <c r="N5" s="304"/>
      <c r="O5" s="304"/>
    </row>
    <row r="6" spans="1:15" ht="54.95" customHeight="1" x14ac:dyDescent="0.2">
      <c r="A6" s="924" t="s">
        <v>1617</v>
      </c>
      <c r="B6" s="924"/>
      <c r="C6" s="924"/>
      <c r="D6" s="924"/>
      <c r="E6" s="924"/>
      <c r="F6" s="924"/>
      <c r="G6" s="924"/>
      <c r="H6" s="924"/>
      <c r="I6" s="924"/>
      <c r="J6" s="924"/>
      <c r="K6" s="924"/>
      <c r="L6" s="924"/>
      <c r="M6" s="924"/>
      <c r="N6" s="924"/>
      <c r="O6" s="924"/>
    </row>
    <row r="7" spans="1:15" ht="18.75" hidden="1" x14ac:dyDescent="0.2">
      <c r="A7" s="305"/>
      <c r="B7" s="305"/>
      <c r="C7" s="305"/>
      <c r="D7" s="305"/>
      <c r="E7" s="305"/>
      <c r="F7" s="305"/>
      <c r="G7" s="277"/>
      <c r="H7" s="276"/>
      <c r="I7" s="925"/>
      <c r="J7" s="925"/>
      <c r="K7" s="304"/>
      <c r="L7" s="304"/>
      <c r="M7" s="304"/>
      <c r="N7" s="304"/>
      <c r="O7" s="304"/>
    </row>
    <row r="8" spans="1:15" ht="18.75" hidden="1" x14ac:dyDescent="0.2">
      <c r="A8" s="305"/>
      <c r="B8" s="305"/>
      <c r="C8" s="305"/>
      <c r="D8" s="305"/>
      <c r="E8" s="305"/>
      <c r="F8" s="305"/>
      <c r="G8" s="277"/>
      <c r="H8" s="276"/>
      <c r="I8" s="926"/>
      <c r="J8" s="926"/>
      <c r="K8" s="304"/>
      <c r="L8" s="304"/>
      <c r="M8" s="304"/>
      <c r="N8" s="304"/>
      <c r="O8" s="304"/>
    </row>
    <row r="9" spans="1:15" x14ac:dyDescent="0.2">
      <c r="A9" s="927" t="s">
        <v>3</v>
      </c>
      <c r="B9" s="927"/>
      <c r="C9" s="927"/>
      <c r="D9" s="927"/>
      <c r="E9" s="927"/>
      <c r="F9" s="927"/>
      <c r="G9" s="927"/>
      <c r="H9" s="927"/>
      <c r="I9" s="923" t="s">
        <v>4</v>
      </c>
      <c r="J9" s="923" t="s">
        <v>1541</v>
      </c>
      <c r="K9" s="923" t="s">
        <v>658</v>
      </c>
      <c r="L9" s="923" t="s">
        <v>1541</v>
      </c>
      <c r="M9" s="923" t="s">
        <v>1618</v>
      </c>
      <c r="N9" s="928" t="s">
        <v>658</v>
      </c>
      <c r="O9" s="923" t="s">
        <v>1618</v>
      </c>
    </row>
    <row r="10" spans="1:15" ht="138.75" x14ac:dyDescent="0.2">
      <c r="A10" s="490" t="s">
        <v>6</v>
      </c>
      <c r="B10" s="490" t="s">
        <v>7</v>
      </c>
      <c r="C10" s="490" t="s">
        <v>8</v>
      </c>
      <c r="D10" s="490" t="s">
        <v>131</v>
      </c>
      <c r="E10" s="491" t="s">
        <v>132</v>
      </c>
      <c r="F10" s="490" t="s">
        <v>133</v>
      </c>
      <c r="G10" s="492" t="s">
        <v>12</v>
      </c>
      <c r="H10" s="491" t="s">
        <v>13</v>
      </c>
      <c r="I10" s="923"/>
      <c r="J10" s="923"/>
      <c r="K10" s="923"/>
      <c r="L10" s="923"/>
      <c r="M10" s="923"/>
      <c r="N10" s="929"/>
      <c r="O10" s="923"/>
    </row>
    <row r="11" spans="1:15" ht="15.75" x14ac:dyDescent="0.2">
      <c r="A11" s="308" t="s">
        <v>14</v>
      </c>
      <c r="B11" s="308" t="s">
        <v>15</v>
      </c>
      <c r="C11" s="308" t="s">
        <v>16</v>
      </c>
      <c r="D11" s="308" t="s">
        <v>16</v>
      </c>
      <c r="E11" s="308" t="s">
        <v>14</v>
      </c>
      <c r="F11" s="308" t="s">
        <v>16</v>
      </c>
      <c r="G11" s="309" t="s">
        <v>17</v>
      </c>
      <c r="H11" s="309" t="s">
        <v>14</v>
      </c>
      <c r="I11" s="310" t="s">
        <v>1186</v>
      </c>
      <c r="J11" s="311">
        <v>237229620</v>
      </c>
      <c r="K11" s="311">
        <f>K12+K14+K16+K20+K24+K33+K36+K38+K44+K45</f>
        <v>0</v>
      </c>
      <c r="L11" s="311">
        <f>J11+K11</f>
        <v>237229620</v>
      </c>
      <c r="M11" s="311">
        <v>243604670</v>
      </c>
      <c r="N11" s="311"/>
      <c r="O11" s="311">
        <f>M11+N11</f>
        <v>243604670</v>
      </c>
    </row>
    <row r="12" spans="1:15" ht="15.75" x14ac:dyDescent="0.2">
      <c r="A12" s="308" t="s">
        <v>14</v>
      </c>
      <c r="B12" s="308" t="s">
        <v>15</v>
      </c>
      <c r="C12" s="308" t="s">
        <v>18</v>
      </c>
      <c r="D12" s="308" t="s">
        <v>16</v>
      </c>
      <c r="E12" s="308" t="s">
        <v>14</v>
      </c>
      <c r="F12" s="308" t="s">
        <v>16</v>
      </c>
      <c r="G12" s="309" t="s">
        <v>17</v>
      </c>
      <c r="H12" s="309" t="s">
        <v>14</v>
      </c>
      <c r="I12" s="310" t="s">
        <v>19</v>
      </c>
      <c r="J12" s="311">
        <v>134472000</v>
      </c>
      <c r="K12" s="311">
        <f>K13</f>
        <v>0</v>
      </c>
      <c r="L12" s="311">
        <f t="shared" ref="L12:L79" si="0">J12+K12</f>
        <v>134472000</v>
      </c>
      <c r="M12" s="311">
        <v>140255000</v>
      </c>
      <c r="N12" s="311"/>
      <c r="O12" s="311">
        <f t="shared" ref="O12:O79" si="1">M12+N12</f>
        <v>140255000</v>
      </c>
    </row>
    <row r="13" spans="1:15" ht="15.75" x14ac:dyDescent="0.2">
      <c r="A13" s="312" t="s">
        <v>20</v>
      </c>
      <c r="B13" s="312" t="s">
        <v>15</v>
      </c>
      <c r="C13" s="312" t="s">
        <v>18</v>
      </c>
      <c r="D13" s="312" t="s">
        <v>21</v>
      </c>
      <c r="E13" s="312" t="s">
        <v>14</v>
      </c>
      <c r="F13" s="312" t="s">
        <v>18</v>
      </c>
      <c r="G13" s="313" t="s">
        <v>17</v>
      </c>
      <c r="H13" s="313" t="s">
        <v>22</v>
      </c>
      <c r="I13" s="301" t="s">
        <v>23</v>
      </c>
      <c r="J13" s="314">
        <v>134472000</v>
      </c>
      <c r="K13" s="314"/>
      <c r="L13" s="314">
        <f t="shared" si="0"/>
        <v>134472000</v>
      </c>
      <c r="M13" s="314">
        <v>140255000</v>
      </c>
      <c r="N13" s="314"/>
      <c r="O13" s="314">
        <f t="shared" si="1"/>
        <v>140255000</v>
      </c>
    </row>
    <row r="14" spans="1:15" ht="47.25" x14ac:dyDescent="0.2">
      <c r="A14" s="308" t="s">
        <v>14</v>
      </c>
      <c r="B14" s="308" t="s">
        <v>15</v>
      </c>
      <c r="C14" s="308" t="s">
        <v>24</v>
      </c>
      <c r="D14" s="308" t="s">
        <v>16</v>
      </c>
      <c r="E14" s="308" t="s">
        <v>14</v>
      </c>
      <c r="F14" s="308" t="s">
        <v>16</v>
      </c>
      <c r="G14" s="309" t="s">
        <v>17</v>
      </c>
      <c r="H14" s="309" t="s">
        <v>14</v>
      </c>
      <c r="I14" s="310" t="s">
        <v>25</v>
      </c>
      <c r="J14" s="311">
        <v>9898620</v>
      </c>
      <c r="K14" s="314">
        <f>K15</f>
        <v>0</v>
      </c>
      <c r="L14" s="311">
        <f t="shared" si="0"/>
        <v>9898620</v>
      </c>
      <c r="M14" s="311">
        <v>10459670</v>
      </c>
      <c r="N14" s="311"/>
      <c r="O14" s="311">
        <f t="shared" si="1"/>
        <v>10459670</v>
      </c>
    </row>
    <row r="15" spans="1:15" ht="47.25" x14ac:dyDescent="0.2">
      <c r="A15" s="312" t="s">
        <v>26</v>
      </c>
      <c r="B15" s="312" t="s">
        <v>15</v>
      </c>
      <c r="C15" s="312" t="s">
        <v>24</v>
      </c>
      <c r="D15" s="312" t="s">
        <v>21</v>
      </c>
      <c r="E15" s="312" t="s">
        <v>14</v>
      </c>
      <c r="F15" s="312" t="s">
        <v>18</v>
      </c>
      <c r="G15" s="313" t="s">
        <v>17</v>
      </c>
      <c r="H15" s="313" t="s">
        <v>22</v>
      </c>
      <c r="I15" s="301" t="s">
        <v>27</v>
      </c>
      <c r="J15" s="314">
        <v>9898620</v>
      </c>
      <c r="K15" s="314"/>
      <c r="L15" s="314">
        <f t="shared" si="0"/>
        <v>9898620</v>
      </c>
      <c r="M15" s="314">
        <v>10459670</v>
      </c>
      <c r="N15" s="314"/>
      <c r="O15" s="314">
        <f t="shared" si="1"/>
        <v>10459670</v>
      </c>
    </row>
    <row r="16" spans="1:15" ht="15.75" x14ac:dyDescent="0.2">
      <c r="A16" s="308" t="s">
        <v>14</v>
      </c>
      <c r="B16" s="308" t="s">
        <v>15</v>
      </c>
      <c r="C16" s="308" t="s">
        <v>28</v>
      </c>
      <c r="D16" s="308" t="s">
        <v>16</v>
      </c>
      <c r="E16" s="308" t="s">
        <v>14</v>
      </c>
      <c r="F16" s="308" t="s">
        <v>16</v>
      </c>
      <c r="G16" s="309" t="s">
        <v>17</v>
      </c>
      <c r="H16" s="309" t="s">
        <v>14</v>
      </c>
      <c r="I16" s="310" t="s">
        <v>29</v>
      </c>
      <c r="J16" s="311">
        <v>8870000</v>
      </c>
      <c r="K16" s="311">
        <f>K18+K19</f>
        <v>0</v>
      </c>
      <c r="L16" s="311">
        <f t="shared" si="0"/>
        <v>8870000</v>
      </c>
      <c r="M16" s="311">
        <v>8900000</v>
      </c>
      <c r="N16" s="311"/>
      <c r="O16" s="311">
        <f t="shared" si="1"/>
        <v>8900000</v>
      </c>
    </row>
    <row r="17" spans="1:15" ht="31.5" x14ac:dyDescent="0.2">
      <c r="A17" s="312" t="s">
        <v>20</v>
      </c>
      <c r="B17" s="312" t="s">
        <v>15</v>
      </c>
      <c r="C17" s="312" t="s">
        <v>28</v>
      </c>
      <c r="D17" s="312" t="s">
        <v>21</v>
      </c>
      <c r="E17" s="312" t="s">
        <v>14</v>
      </c>
      <c r="F17" s="312" t="s">
        <v>21</v>
      </c>
      <c r="G17" s="313" t="s">
        <v>17</v>
      </c>
      <c r="H17" s="313" t="s">
        <v>22</v>
      </c>
      <c r="I17" s="301" t="s">
        <v>30</v>
      </c>
      <c r="J17" s="314">
        <v>0</v>
      </c>
      <c r="K17" s="314"/>
      <c r="L17" s="311">
        <f t="shared" si="0"/>
        <v>0</v>
      </c>
      <c r="M17" s="314">
        <v>0</v>
      </c>
      <c r="N17" s="314"/>
      <c r="O17" s="311">
        <f t="shared" si="1"/>
        <v>0</v>
      </c>
    </row>
    <row r="18" spans="1:15" ht="15.75" x14ac:dyDescent="0.2">
      <c r="A18" s="312" t="s">
        <v>20</v>
      </c>
      <c r="B18" s="312" t="s">
        <v>15</v>
      </c>
      <c r="C18" s="312" t="s">
        <v>28</v>
      </c>
      <c r="D18" s="312" t="s">
        <v>24</v>
      </c>
      <c r="E18" s="312" t="s">
        <v>14</v>
      </c>
      <c r="F18" s="312" t="s">
        <v>18</v>
      </c>
      <c r="G18" s="313" t="s">
        <v>17</v>
      </c>
      <c r="H18" s="313" t="s">
        <v>22</v>
      </c>
      <c r="I18" s="301" t="s">
        <v>31</v>
      </c>
      <c r="J18" s="314">
        <v>383000</v>
      </c>
      <c r="K18" s="314"/>
      <c r="L18" s="314">
        <f t="shared" si="0"/>
        <v>383000</v>
      </c>
      <c r="M18" s="314">
        <v>383000</v>
      </c>
      <c r="N18" s="314"/>
      <c r="O18" s="314">
        <f t="shared" si="1"/>
        <v>383000</v>
      </c>
    </row>
    <row r="19" spans="1:15" ht="31.5" x14ac:dyDescent="0.2">
      <c r="A19" s="312" t="s">
        <v>20</v>
      </c>
      <c r="B19" s="312" t="s">
        <v>15</v>
      </c>
      <c r="C19" s="312" t="s">
        <v>28</v>
      </c>
      <c r="D19" s="312" t="s">
        <v>32</v>
      </c>
      <c r="E19" s="312" t="s">
        <v>14</v>
      </c>
      <c r="F19" s="312" t="s">
        <v>21</v>
      </c>
      <c r="G19" s="313" t="s">
        <v>17</v>
      </c>
      <c r="H19" s="313" t="s">
        <v>22</v>
      </c>
      <c r="I19" s="301" t="s">
        <v>33</v>
      </c>
      <c r="J19" s="314">
        <v>8487000</v>
      </c>
      <c r="K19" s="314"/>
      <c r="L19" s="314">
        <f t="shared" si="0"/>
        <v>8487000</v>
      </c>
      <c r="M19" s="314">
        <v>8517000</v>
      </c>
      <c r="N19" s="314"/>
      <c r="O19" s="314">
        <f t="shared" si="1"/>
        <v>8517000</v>
      </c>
    </row>
    <row r="20" spans="1:15" ht="15.75" x14ac:dyDescent="0.2">
      <c r="A20" s="308" t="s">
        <v>14</v>
      </c>
      <c r="B20" s="308" t="s">
        <v>15</v>
      </c>
      <c r="C20" s="308" t="s">
        <v>34</v>
      </c>
      <c r="D20" s="308" t="s">
        <v>16</v>
      </c>
      <c r="E20" s="308" t="s">
        <v>14</v>
      </c>
      <c r="F20" s="308" t="s">
        <v>16</v>
      </c>
      <c r="G20" s="309" t="s">
        <v>17</v>
      </c>
      <c r="H20" s="309" t="s">
        <v>14</v>
      </c>
      <c r="I20" s="310" t="s">
        <v>35</v>
      </c>
      <c r="J20" s="311">
        <v>8200000</v>
      </c>
      <c r="K20" s="311">
        <f>K21+K22</f>
        <v>0</v>
      </c>
      <c r="L20" s="311">
        <f t="shared" si="0"/>
        <v>8200000</v>
      </c>
      <c r="M20" s="311">
        <v>8200000</v>
      </c>
      <c r="N20" s="311"/>
      <c r="O20" s="311">
        <f t="shared" si="1"/>
        <v>8200000</v>
      </c>
    </row>
    <row r="21" spans="1:15" ht="47.25" x14ac:dyDescent="0.2">
      <c r="A21" s="312" t="s">
        <v>20</v>
      </c>
      <c r="B21" s="312" t="s">
        <v>15</v>
      </c>
      <c r="C21" s="312" t="s">
        <v>34</v>
      </c>
      <c r="D21" s="312" t="s">
        <v>24</v>
      </c>
      <c r="E21" s="312" t="s">
        <v>14</v>
      </c>
      <c r="F21" s="312" t="s">
        <v>18</v>
      </c>
      <c r="G21" s="313" t="s">
        <v>17</v>
      </c>
      <c r="H21" s="313" t="s">
        <v>22</v>
      </c>
      <c r="I21" s="301" t="s">
        <v>36</v>
      </c>
      <c r="J21" s="314">
        <v>8200000</v>
      </c>
      <c r="K21" s="314"/>
      <c r="L21" s="314">
        <f t="shared" si="0"/>
        <v>8200000</v>
      </c>
      <c r="M21" s="314">
        <v>8200000</v>
      </c>
      <c r="N21" s="314"/>
      <c r="O21" s="314">
        <f t="shared" si="1"/>
        <v>8200000</v>
      </c>
    </row>
    <row r="22" spans="1:15" ht="63" x14ac:dyDescent="0.2">
      <c r="A22" s="312" t="s">
        <v>1172</v>
      </c>
      <c r="B22" s="312" t="s">
        <v>15</v>
      </c>
      <c r="C22" s="312" t="s">
        <v>34</v>
      </c>
      <c r="D22" s="312" t="s">
        <v>38</v>
      </c>
      <c r="E22" s="312" t="s">
        <v>14</v>
      </c>
      <c r="F22" s="312" t="s">
        <v>18</v>
      </c>
      <c r="G22" s="313" t="s">
        <v>17</v>
      </c>
      <c r="H22" s="313" t="s">
        <v>22</v>
      </c>
      <c r="I22" s="301" t="s">
        <v>39</v>
      </c>
      <c r="J22" s="314">
        <v>0</v>
      </c>
      <c r="K22" s="314"/>
      <c r="L22" s="311">
        <f t="shared" si="0"/>
        <v>0</v>
      </c>
      <c r="M22" s="314">
        <v>0</v>
      </c>
      <c r="N22" s="314"/>
      <c r="O22" s="311">
        <f t="shared" si="1"/>
        <v>0</v>
      </c>
    </row>
    <row r="23" spans="1:15" ht="47.25" x14ac:dyDescent="0.2">
      <c r="A23" s="308" t="s">
        <v>20</v>
      </c>
      <c r="B23" s="308" t="s">
        <v>15</v>
      </c>
      <c r="C23" s="308" t="s">
        <v>40</v>
      </c>
      <c r="D23" s="308"/>
      <c r="E23" s="308" t="s">
        <v>41</v>
      </c>
      <c r="F23" s="308" t="s">
        <v>16</v>
      </c>
      <c r="G23" s="309" t="s">
        <v>17</v>
      </c>
      <c r="H23" s="309" t="s">
        <v>14</v>
      </c>
      <c r="I23" s="310" t="s">
        <v>42</v>
      </c>
      <c r="J23" s="311">
        <v>0</v>
      </c>
      <c r="K23" s="314"/>
      <c r="L23" s="311">
        <f t="shared" si="0"/>
        <v>0</v>
      </c>
      <c r="M23" s="311">
        <v>0</v>
      </c>
      <c r="N23" s="311"/>
      <c r="O23" s="311">
        <f t="shared" si="1"/>
        <v>0</v>
      </c>
    </row>
    <row r="24" spans="1:15" ht="47.25" x14ac:dyDescent="0.2">
      <c r="A24" s="308" t="s">
        <v>14</v>
      </c>
      <c r="B24" s="308" t="s">
        <v>15</v>
      </c>
      <c r="C24" s="308" t="s">
        <v>43</v>
      </c>
      <c r="D24" s="308" t="s">
        <v>16</v>
      </c>
      <c r="E24" s="308" t="s">
        <v>14</v>
      </c>
      <c r="F24" s="308" t="s">
        <v>16</v>
      </c>
      <c r="G24" s="309" t="s">
        <v>17</v>
      </c>
      <c r="H24" s="309" t="s">
        <v>14</v>
      </c>
      <c r="I24" s="310" t="s">
        <v>44</v>
      </c>
      <c r="J24" s="315">
        <v>8817000</v>
      </c>
      <c r="K24" s="315">
        <f t="shared" ref="K24:L24" si="2">K25+K27+K31</f>
        <v>0</v>
      </c>
      <c r="L24" s="315">
        <f t="shared" si="2"/>
        <v>8817000</v>
      </c>
      <c r="M24" s="315">
        <v>8817000</v>
      </c>
      <c r="N24" s="315">
        <f>N25+N27+N31</f>
        <v>0</v>
      </c>
      <c r="O24" s="311">
        <f t="shared" si="1"/>
        <v>8817000</v>
      </c>
    </row>
    <row r="25" spans="1:15" ht="110.25" x14ac:dyDescent="0.2">
      <c r="A25" s="316" t="s">
        <v>45</v>
      </c>
      <c r="B25" s="316" t="s">
        <v>15</v>
      </c>
      <c r="C25" s="316" t="s">
        <v>43</v>
      </c>
      <c r="D25" s="316" t="s">
        <v>18</v>
      </c>
      <c r="E25" s="316" t="s">
        <v>14</v>
      </c>
      <c r="F25" s="316" t="s">
        <v>16</v>
      </c>
      <c r="G25" s="317" t="s">
        <v>17</v>
      </c>
      <c r="H25" s="317" t="s">
        <v>46</v>
      </c>
      <c r="I25" s="318" t="s">
        <v>47</v>
      </c>
      <c r="J25" s="319">
        <v>30000</v>
      </c>
      <c r="K25" s="319">
        <f>+K27</f>
        <v>0</v>
      </c>
      <c r="L25" s="311">
        <f t="shared" si="0"/>
        <v>30000</v>
      </c>
      <c r="M25" s="319">
        <v>30000</v>
      </c>
      <c r="N25" s="319"/>
      <c r="O25" s="311">
        <f t="shared" si="1"/>
        <v>30000</v>
      </c>
    </row>
    <row r="26" spans="1:15" ht="81.95" customHeight="1" x14ac:dyDescent="0.2">
      <c r="A26" s="312" t="s">
        <v>45</v>
      </c>
      <c r="B26" s="312" t="s">
        <v>15</v>
      </c>
      <c r="C26" s="312" t="s">
        <v>43</v>
      </c>
      <c r="D26" s="312" t="s">
        <v>18</v>
      </c>
      <c r="E26" s="312" t="s">
        <v>48</v>
      </c>
      <c r="F26" s="312" t="s">
        <v>28</v>
      </c>
      <c r="G26" s="313" t="s">
        <v>17</v>
      </c>
      <c r="H26" s="313" t="s">
        <v>46</v>
      </c>
      <c r="I26" s="301" t="s">
        <v>134</v>
      </c>
      <c r="J26" s="314">
        <v>30000</v>
      </c>
      <c r="K26" s="314"/>
      <c r="L26" s="314">
        <f t="shared" si="0"/>
        <v>30000</v>
      </c>
      <c r="M26" s="314">
        <v>30000</v>
      </c>
      <c r="N26" s="314"/>
      <c r="O26" s="314">
        <f t="shared" si="1"/>
        <v>30000</v>
      </c>
    </row>
    <row r="27" spans="1:15" ht="141.75" x14ac:dyDescent="0.2">
      <c r="A27" s="316" t="s">
        <v>14</v>
      </c>
      <c r="B27" s="316" t="s">
        <v>15</v>
      </c>
      <c r="C27" s="316" t="s">
        <v>43</v>
      </c>
      <c r="D27" s="316" t="s">
        <v>28</v>
      </c>
      <c r="E27" s="316" t="s">
        <v>14</v>
      </c>
      <c r="F27" s="316" t="s">
        <v>16</v>
      </c>
      <c r="G27" s="317" t="s">
        <v>17</v>
      </c>
      <c r="H27" s="317" t="s">
        <v>46</v>
      </c>
      <c r="I27" s="318" t="s">
        <v>50</v>
      </c>
      <c r="J27" s="320">
        <v>8250000</v>
      </c>
      <c r="K27" s="320">
        <f>K28+K29+K30</f>
        <v>0</v>
      </c>
      <c r="L27" s="320">
        <f t="shared" si="0"/>
        <v>8250000</v>
      </c>
      <c r="M27" s="320">
        <v>8250000</v>
      </c>
      <c r="N27" s="320"/>
      <c r="O27" s="320">
        <f t="shared" si="1"/>
        <v>8250000</v>
      </c>
    </row>
    <row r="28" spans="1:15" ht="126" x14ac:dyDescent="0.2">
      <c r="A28" s="312" t="s">
        <v>45</v>
      </c>
      <c r="B28" s="312" t="s">
        <v>15</v>
      </c>
      <c r="C28" s="312" t="s">
        <v>43</v>
      </c>
      <c r="D28" s="312" t="s">
        <v>28</v>
      </c>
      <c r="E28" s="312" t="s">
        <v>69</v>
      </c>
      <c r="F28" s="312" t="s">
        <v>28</v>
      </c>
      <c r="G28" s="313" t="s">
        <v>17</v>
      </c>
      <c r="H28" s="313" t="s">
        <v>46</v>
      </c>
      <c r="I28" s="301" t="s">
        <v>1120</v>
      </c>
      <c r="J28" s="314">
        <v>3600000</v>
      </c>
      <c r="K28" s="314"/>
      <c r="L28" s="314">
        <f t="shared" si="0"/>
        <v>3600000</v>
      </c>
      <c r="M28" s="320">
        <v>3600000</v>
      </c>
      <c r="N28" s="320"/>
      <c r="O28" s="314">
        <f t="shared" si="1"/>
        <v>3600000</v>
      </c>
    </row>
    <row r="29" spans="1:15" ht="126" x14ac:dyDescent="0.2">
      <c r="A29" s="312" t="s">
        <v>45</v>
      </c>
      <c r="B29" s="312" t="s">
        <v>15</v>
      </c>
      <c r="C29" s="312" t="s">
        <v>43</v>
      </c>
      <c r="D29" s="312" t="s">
        <v>28</v>
      </c>
      <c r="E29" s="312" t="s">
        <v>69</v>
      </c>
      <c r="F29" s="312" t="s">
        <v>58</v>
      </c>
      <c r="G29" s="313" t="s">
        <v>17</v>
      </c>
      <c r="H29" s="313" t="s">
        <v>46</v>
      </c>
      <c r="I29" s="301" t="s">
        <v>1545</v>
      </c>
      <c r="J29" s="314">
        <v>3250000</v>
      </c>
      <c r="K29" s="314"/>
      <c r="L29" s="314">
        <f t="shared" si="0"/>
        <v>3250000</v>
      </c>
      <c r="M29" s="314">
        <v>3250000</v>
      </c>
      <c r="N29" s="314"/>
      <c r="O29" s="314">
        <f t="shared" si="1"/>
        <v>3250000</v>
      </c>
    </row>
    <row r="30" spans="1:15" ht="63" x14ac:dyDescent="0.2">
      <c r="A30" s="312" t="s">
        <v>45</v>
      </c>
      <c r="B30" s="312" t="s">
        <v>15</v>
      </c>
      <c r="C30" s="312" t="s">
        <v>43</v>
      </c>
      <c r="D30" s="312" t="s">
        <v>28</v>
      </c>
      <c r="E30" s="312" t="s">
        <v>51</v>
      </c>
      <c r="F30" s="312" t="s">
        <v>28</v>
      </c>
      <c r="G30" s="313" t="s">
        <v>17</v>
      </c>
      <c r="H30" s="313" t="s">
        <v>46</v>
      </c>
      <c r="I30" s="301" t="s">
        <v>52</v>
      </c>
      <c r="J30" s="314">
        <v>1400000</v>
      </c>
      <c r="K30" s="314"/>
      <c r="L30" s="314">
        <f t="shared" si="0"/>
        <v>1400000</v>
      </c>
      <c r="M30" s="314">
        <v>1400000</v>
      </c>
      <c r="N30" s="314"/>
      <c r="O30" s="314">
        <f t="shared" si="1"/>
        <v>1400000</v>
      </c>
    </row>
    <row r="31" spans="1:15" ht="148.69999999999999" customHeight="1" x14ac:dyDescent="0.2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1591</v>
      </c>
      <c r="J31" s="320">
        <v>537000</v>
      </c>
      <c r="K31" s="320">
        <f>K32</f>
        <v>0</v>
      </c>
      <c r="L31" s="320">
        <f t="shared" si="0"/>
        <v>537000</v>
      </c>
      <c r="M31" s="320">
        <v>537000</v>
      </c>
      <c r="N31" s="320">
        <f>N32</f>
        <v>0</v>
      </c>
      <c r="O31" s="320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1588</v>
      </c>
      <c r="F32" s="23" t="s">
        <v>28</v>
      </c>
      <c r="G32" s="24" t="s">
        <v>17</v>
      </c>
      <c r="H32" s="24" t="s">
        <v>46</v>
      </c>
      <c r="I32" s="822" t="s">
        <v>1576</v>
      </c>
      <c r="J32" s="314">
        <v>537000</v>
      </c>
      <c r="K32" s="314"/>
      <c r="L32" s="314">
        <f t="shared" si="0"/>
        <v>537000</v>
      </c>
      <c r="M32" s="314">
        <v>537000</v>
      </c>
      <c r="N32" s="314"/>
      <c r="O32" s="314">
        <f t="shared" si="1"/>
        <v>537000</v>
      </c>
    </row>
    <row r="33" spans="1:15" ht="31.5" x14ac:dyDescent="0.2">
      <c r="A33" s="308" t="s">
        <v>14</v>
      </c>
      <c r="B33" s="308" t="s">
        <v>15</v>
      </c>
      <c r="C33" s="308" t="s">
        <v>53</v>
      </c>
      <c r="D33" s="308" t="s">
        <v>16</v>
      </c>
      <c r="E33" s="308" t="s">
        <v>14</v>
      </c>
      <c r="F33" s="308" t="s">
        <v>16</v>
      </c>
      <c r="G33" s="309" t="s">
        <v>17</v>
      </c>
      <c r="H33" s="309" t="s">
        <v>14</v>
      </c>
      <c r="I33" s="310" t="s">
        <v>54</v>
      </c>
      <c r="J33" s="315">
        <v>1637000</v>
      </c>
      <c r="K33" s="311">
        <f>K34</f>
        <v>0</v>
      </c>
      <c r="L33" s="311">
        <f t="shared" si="0"/>
        <v>1637000</v>
      </c>
      <c r="M33" s="315">
        <v>1643000</v>
      </c>
      <c r="N33" s="315"/>
      <c r="O33" s="311">
        <f t="shared" si="1"/>
        <v>1643000</v>
      </c>
    </row>
    <row r="34" spans="1:15" ht="31.5" x14ac:dyDescent="0.2">
      <c r="A34" s="312" t="s">
        <v>135</v>
      </c>
      <c r="B34" s="312" t="s">
        <v>15</v>
      </c>
      <c r="C34" s="312" t="s">
        <v>53</v>
      </c>
      <c r="D34" s="312" t="s">
        <v>18</v>
      </c>
      <c r="E34" s="312" t="s">
        <v>14</v>
      </c>
      <c r="F34" s="312" t="s">
        <v>18</v>
      </c>
      <c r="G34" s="313" t="s">
        <v>17</v>
      </c>
      <c r="H34" s="313" t="s">
        <v>46</v>
      </c>
      <c r="I34" s="301" t="s">
        <v>55</v>
      </c>
      <c r="J34" s="314">
        <v>1637000</v>
      </c>
      <c r="K34" s="314"/>
      <c r="L34" s="314">
        <f t="shared" si="0"/>
        <v>1637000</v>
      </c>
      <c r="M34" s="314">
        <v>1643000</v>
      </c>
      <c r="N34" s="314"/>
      <c r="O34" s="314">
        <f t="shared" si="1"/>
        <v>1643000</v>
      </c>
    </row>
    <row r="35" spans="1:15" ht="63" x14ac:dyDescent="0.2">
      <c r="A35" s="312" t="s">
        <v>20</v>
      </c>
      <c r="B35" s="312" t="s">
        <v>15</v>
      </c>
      <c r="C35" s="312" t="s">
        <v>53</v>
      </c>
      <c r="D35" s="312"/>
      <c r="E35" s="312" t="s">
        <v>56</v>
      </c>
      <c r="F35" s="312" t="s">
        <v>18</v>
      </c>
      <c r="G35" s="313" t="s">
        <v>17</v>
      </c>
      <c r="H35" s="313" t="s">
        <v>46</v>
      </c>
      <c r="I35" s="301" t="s">
        <v>57</v>
      </c>
      <c r="J35" s="314">
        <v>0</v>
      </c>
      <c r="K35" s="314"/>
      <c r="L35" s="311">
        <f t="shared" si="0"/>
        <v>0</v>
      </c>
      <c r="M35" s="314">
        <v>0</v>
      </c>
      <c r="N35" s="314"/>
      <c r="O35" s="311">
        <f t="shared" si="1"/>
        <v>0</v>
      </c>
    </row>
    <row r="36" spans="1:15" ht="31.5" x14ac:dyDescent="0.2">
      <c r="A36" s="308" t="s">
        <v>14</v>
      </c>
      <c r="B36" s="308" t="s">
        <v>15</v>
      </c>
      <c r="C36" s="308" t="s">
        <v>58</v>
      </c>
      <c r="D36" s="308" t="s">
        <v>16</v>
      </c>
      <c r="E36" s="308" t="s">
        <v>14</v>
      </c>
      <c r="F36" s="308" t="s">
        <v>16</v>
      </c>
      <c r="G36" s="309" t="s">
        <v>17</v>
      </c>
      <c r="H36" s="309" t="s">
        <v>59</v>
      </c>
      <c r="I36" s="310" t="s">
        <v>60</v>
      </c>
      <c r="J36" s="311">
        <v>57925000</v>
      </c>
      <c r="K36" s="311">
        <f>K37</f>
        <v>0</v>
      </c>
      <c r="L36" s="311">
        <f t="shared" si="0"/>
        <v>57925000</v>
      </c>
      <c r="M36" s="311">
        <v>57920000</v>
      </c>
      <c r="N36" s="311"/>
      <c r="O36" s="311">
        <f t="shared" si="1"/>
        <v>57920000</v>
      </c>
    </row>
    <row r="37" spans="1:15" ht="47.25" x14ac:dyDescent="0.2">
      <c r="A37" s="312" t="s">
        <v>14</v>
      </c>
      <c r="B37" s="312" t="s">
        <v>15</v>
      </c>
      <c r="C37" s="312" t="s">
        <v>58</v>
      </c>
      <c r="D37" s="312" t="s">
        <v>18</v>
      </c>
      <c r="E37" s="312" t="s">
        <v>61</v>
      </c>
      <c r="F37" s="312" t="s">
        <v>28</v>
      </c>
      <c r="G37" s="313" t="s">
        <v>17</v>
      </c>
      <c r="H37" s="313" t="s">
        <v>59</v>
      </c>
      <c r="I37" s="301" t="s">
        <v>62</v>
      </c>
      <c r="J37" s="314">
        <v>57925000</v>
      </c>
      <c r="K37" s="314"/>
      <c r="L37" s="314">
        <f t="shared" si="0"/>
        <v>57925000</v>
      </c>
      <c r="M37" s="314">
        <v>57920000</v>
      </c>
      <c r="N37" s="314"/>
      <c r="O37" s="314">
        <f t="shared" si="1"/>
        <v>57920000</v>
      </c>
    </row>
    <row r="38" spans="1:15" ht="31.5" x14ac:dyDescent="0.2">
      <c r="A38" s="308" t="s">
        <v>14</v>
      </c>
      <c r="B38" s="308" t="s">
        <v>15</v>
      </c>
      <c r="C38" s="308" t="s">
        <v>63</v>
      </c>
      <c r="D38" s="308" t="s">
        <v>16</v>
      </c>
      <c r="E38" s="308" t="s">
        <v>14</v>
      </c>
      <c r="F38" s="308" t="s">
        <v>16</v>
      </c>
      <c r="G38" s="309" t="s">
        <v>17</v>
      </c>
      <c r="H38" s="309" t="s">
        <v>14</v>
      </c>
      <c r="I38" s="310" t="s">
        <v>64</v>
      </c>
      <c r="J38" s="315">
        <v>6000000</v>
      </c>
      <c r="K38" s="311">
        <f>K39+K40</f>
        <v>0</v>
      </c>
      <c r="L38" s="311">
        <f t="shared" si="0"/>
        <v>6000000</v>
      </c>
      <c r="M38" s="315">
        <v>6000000</v>
      </c>
      <c r="N38" s="315"/>
      <c r="O38" s="311">
        <f t="shared" si="1"/>
        <v>6000000</v>
      </c>
    </row>
    <row r="39" spans="1:15" ht="126" x14ac:dyDescent="0.2">
      <c r="A39" s="312" t="s">
        <v>14</v>
      </c>
      <c r="B39" s="312" t="s">
        <v>15</v>
      </c>
      <c r="C39" s="312" t="s">
        <v>63</v>
      </c>
      <c r="D39" s="312" t="s">
        <v>21</v>
      </c>
      <c r="E39" s="312" t="s">
        <v>14</v>
      </c>
      <c r="F39" s="312" t="s">
        <v>16</v>
      </c>
      <c r="G39" s="313" t="s">
        <v>17</v>
      </c>
      <c r="H39" s="313" t="s">
        <v>14</v>
      </c>
      <c r="I39" s="301" t="s">
        <v>65</v>
      </c>
      <c r="J39" s="314">
        <v>2000000</v>
      </c>
      <c r="K39" s="314"/>
      <c r="L39" s="314">
        <f t="shared" si="0"/>
        <v>2000000</v>
      </c>
      <c r="M39" s="314">
        <v>2000000</v>
      </c>
      <c r="N39" s="314"/>
      <c r="O39" s="314">
        <f t="shared" si="1"/>
        <v>2000000</v>
      </c>
    </row>
    <row r="40" spans="1:15" ht="47.25" x14ac:dyDescent="0.2">
      <c r="A40" s="316" t="s">
        <v>45</v>
      </c>
      <c r="B40" s="316" t="s">
        <v>15</v>
      </c>
      <c r="C40" s="316" t="s">
        <v>63</v>
      </c>
      <c r="D40" s="316" t="s">
        <v>66</v>
      </c>
      <c r="E40" s="316" t="s">
        <v>14</v>
      </c>
      <c r="F40" s="316" t="s">
        <v>16</v>
      </c>
      <c r="G40" s="317" t="s">
        <v>17</v>
      </c>
      <c r="H40" s="317" t="s">
        <v>67</v>
      </c>
      <c r="I40" s="318" t="s">
        <v>136</v>
      </c>
      <c r="J40" s="319">
        <v>4000000</v>
      </c>
      <c r="K40" s="319">
        <f t="shared" ref="K40:L40" si="3">K41+K42+K43</f>
        <v>0</v>
      </c>
      <c r="L40" s="319">
        <f t="shared" si="3"/>
        <v>4000000</v>
      </c>
      <c r="M40" s="319">
        <v>4000000</v>
      </c>
      <c r="N40" s="321">
        <f t="shared" ref="N40" si="4">N41+N42+N43</f>
        <v>0</v>
      </c>
      <c r="O40" s="320">
        <f t="shared" si="1"/>
        <v>4000000</v>
      </c>
    </row>
    <row r="41" spans="1:15" ht="94.5" x14ac:dyDescent="0.2">
      <c r="A41" s="312" t="s">
        <v>45</v>
      </c>
      <c r="B41" s="312" t="s">
        <v>15</v>
      </c>
      <c r="C41" s="312" t="s">
        <v>63</v>
      </c>
      <c r="D41" s="312" t="s">
        <v>66</v>
      </c>
      <c r="E41" s="312" t="s">
        <v>69</v>
      </c>
      <c r="F41" s="312" t="s">
        <v>28</v>
      </c>
      <c r="G41" s="313" t="s">
        <v>17</v>
      </c>
      <c r="H41" s="313" t="s">
        <v>67</v>
      </c>
      <c r="I41" s="301" t="s">
        <v>1121</v>
      </c>
      <c r="J41" s="321">
        <v>2000000</v>
      </c>
      <c r="K41" s="314"/>
      <c r="L41" s="314">
        <f t="shared" si="0"/>
        <v>2000000</v>
      </c>
      <c r="M41" s="321">
        <v>2000000</v>
      </c>
      <c r="N41" s="321"/>
      <c r="O41" s="314">
        <f t="shared" si="1"/>
        <v>2000000</v>
      </c>
    </row>
    <row r="42" spans="1:15" ht="63" x14ac:dyDescent="0.2">
      <c r="A42" s="312" t="s">
        <v>45</v>
      </c>
      <c r="B42" s="312" t="s">
        <v>15</v>
      </c>
      <c r="C42" s="312" t="s">
        <v>63</v>
      </c>
      <c r="D42" s="312" t="s">
        <v>66</v>
      </c>
      <c r="E42" s="312" t="s">
        <v>69</v>
      </c>
      <c r="F42" s="312" t="s">
        <v>58</v>
      </c>
      <c r="G42" s="313" t="s">
        <v>17</v>
      </c>
      <c r="H42" s="313" t="s">
        <v>67</v>
      </c>
      <c r="I42" s="301" t="s">
        <v>71</v>
      </c>
      <c r="J42" s="314">
        <v>1500000</v>
      </c>
      <c r="K42" s="314"/>
      <c r="L42" s="314">
        <f t="shared" si="0"/>
        <v>1500000</v>
      </c>
      <c r="M42" s="314">
        <v>1500000</v>
      </c>
      <c r="N42" s="314"/>
      <c r="O42" s="314">
        <f t="shared" si="1"/>
        <v>1500000</v>
      </c>
    </row>
    <row r="43" spans="1:15" ht="78.75" x14ac:dyDescent="0.2">
      <c r="A43" s="312" t="s">
        <v>45</v>
      </c>
      <c r="B43" s="312" t="s">
        <v>15</v>
      </c>
      <c r="C43" s="312" t="s">
        <v>63</v>
      </c>
      <c r="D43" s="312" t="s">
        <v>66</v>
      </c>
      <c r="E43" s="312" t="s">
        <v>72</v>
      </c>
      <c r="F43" s="312" t="s">
        <v>28</v>
      </c>
      <c r="G43" s="313" t="s">
        <v>17</v>
      </c>
      <c r="H43" s="313" t="s">
        <v>67</v>
      </c>
      <c r="I43" s="301" t="s">
        <v>137</v>
      </c>
      <c r="J43" s="314">
        <v>500000</v>
      </c>
      <c r="K43" s="314"/>
      <c r="L43" s="314">
        <f t="shared" si="0"/>
        <v>500000</v>
      </c>
      <c r="M43" s="314">
        <v>500000</v>
      </c>
      <c r="N43" s="314"/>
      <c r="O43" s="314">
        <f t="shared" si="1"/>
        <v>500000</v>
      </c>
    </row>
    <row r="44" spans="1:15" ht="15.75" x14ac:dyDescent="0.2">
      <c r="A44" s="308" t="s">
        <v>14</v>
      </c>
      <c r="B44" s="308" t="s">
        <v>15</v>
      </c>
      <c r="C44" s="308" t="s">
        <v>74</v>
      </c>
      <c r="D44" s="308" t="s">
        <v>16</v>
      </c>
      <c r="E44" s="308" t="s">
        <v>14</v>
      </c>
      <c r="F44" s="308" t="s">
        <v>16</v>
      </c>
      <c r="G44" s="309" t="s">
        <v>17</v>
      </c>
      <c r="H44" s="309" t="s">
        <v>14</v>
      </c>
      <c r="I44" s="310" t="s">
        <v>75</v>
      </c>
      <c r="J44" s="311">
        <v>1410000</v>
      </c>
      <c r="K44" s="311"/>
      <c r="L44" s="311">
        <f t="shared" si="0"/>
        <v>1410000</v>
      </c>
      <c r="M44" s="311">
        <v>1410000</v>
      </c>
      <c r="N44" s="311"/>
      <c r="O44" s="311">
        <f t="shared" si="1"/>
        <v>1410000</v>
      </c>
    </row>
    <row r="45" spans="1:15" ht="15.75" x14ac:dyDescent="0.2">
      <c r="A45" s="308" t="s">
        <v>14</v>
      </c>
      <c r="B45" s="308" t="s">
        <v>15</v>
      </c>
      <c r="C45" s="308" t="s">
        <v>76</v>
      </c>
      <c r="D45" s="308" t="s">
        <v>16</v>
      </c>
      <c r="E45" s="308" t="s">
        <v>14</v>
      </c>
      <c r="F45" s="308" t="s">
        <v>16</v>
      </c>
      <c r="G45" s="309" t="s">
        <v>17</v>
      </c>
      <c r="H45" s="309" t="s">
        <v>14</v>
      </c>
      <c r="I45" s="310" t="s">
        <v>77</v>
      </c>
      <c r="J45" s="311">
        <v>0</v>
      </c>
      <c r="K45" s="314"/>
      <c r="L45" s="311">
        <f t="shared" si="0"/>
        <v>0</v>
      </c>
      <c r="M45" s="311">
        <v>0</v>
      </c>
      <c r="N45" s="311"/>
      <c r="O45" s="311">
        <f t="shared" si="1"/>
        <v>0</v>
      </c>
    </row>
    <row r="46" spans="1:15" ht="15.75" x14ac:dyDescent="0.2">
      <c r="A46" s="308" t="s">
        <v>14</v>
      </c>
      <c r="B46" s="308" t="s">
        <v>78</v>
      </c>
      <c r="C46" s="308" t="s">
        <v>16</v>
      </c>
      <c r="D46" s="308" t="s">
        <v>16</v>
      </c>
      <c r="E46" s="308" t="s">
        <v>14</v>
      </c>
      <c r="F46" s="308" t="s">
        <v>16</v>
      </c>
      <c r="G46" s="322" t="s">
        <v>17</v>
      </c>
      <c r="H46" s="322" t="s">
        <v>14</v>
      </c>
      <c r="I46" s="323" t="s">
        <v>79</v>
      </c>
      <c r="J46" s="315">
        <v>2027385448</v>
      </c>
      <c r="K46" s="315">
        <f>K47</f>
        <v>0</v>
      </c>
      <c r="L46" s="311">
        <f t="shared" si="0"/>
        <v>2027385448</v>
      </c>
      <c r="M46" s="315">
        <v>1993923354</v>
      </c>
      <c r="N46" s="315">
        <f>N47</f>
        <v>0</v>
      </c>
      <c r="O46" s="311">
        <f t="shared" si="1"/>
        <v>1993923354</v>
      </c>
    </row>
    <row r="47" spans="1:15" ht="47.25" x14ac:dyDescent="0.2">
      <c r="A47" s="308" t="s">
        <v>14</v>
      </c>
      <c r="B47" s="308" t="s">
        <v>78</v>
      </c>
      <c r="C47" s="308" t="s">
        <v>21</v>
      </c>
      <c r="D47" s="308" t="s">
        <v>16</v>
      </c>
      <c r="E47" s="308" t="s">
        <v>14</v>
      </c>
      <c r="F47" s="308" t="s">
        <v>16</v>
      </c>
      <c r="G47" s="322" t="s">
        <v>17</v>
      </c>
      <c r="H47" s="322" t="s">
        <v>14</v>
      </c>
      <c r="I47" s="323" t="s">
        <v>80</v>
      </c>
      <c r="J47" s="315">
        <v>2027385448</v>
      </c>
      <c r="K47" s="315">
        <f>K48+K50+K61+K106</f>
        <v>0</v>
      </c>
      <c r="L47" s="311">
        <f t="shared" si="0"/>
        <v>2027385448</v>
      </c>
      <c r="M47" s="315">
        <v>1993923354</v>
      </c>
      <c r="N47" s="315">
        <f>N48+N50+N61+N106</f>
        <v>0</v>
      </c>
      <c r="O47" s="311">
        <f t="shared" si="1"/>
        <v>1993923354</v>
      </c>
    </row>
    <row r="48" spans="1:15" ht="47.25" x14ac:dyDescent="0.2">
      <c r="A48" s="308" t="s">
        <v>83</v>
      </c>
      <c r="B48" s="308" t="s">
        <v>78</v>
      </c>
      <c r="C48" s="308" t="s">
        <v>21</v>
      </c>
      <c r="D48" s="308" t="s">
        <v>70</v>
      </c>
      <c r="E48" s="308" t="s">
        <v>14</v>
      </c>
      <c r="F48" s="308" t="s">
        <v>16</v>
      </c>
      <c r="G48" s="322" t="s">
        <v>17</v>
      </c>
      <c r="H48" s="322" t="s">
        <v>1173</v>
      </c>
      <c r="I48" s="323" t="s">
        <v>82</v>
      </c>
      <c r="J48" s="315">
        <v>290771000</v>
      </c>
      <c r="K48" s="315">
        <f>K49</f>
        <v>0</v>
      </c>
      <c r="L48" s="311">
        <f t="shared" si="0"/>
        <v>290771000</v>
      </c>
      <c r="M48" s="315">
        <v>100418000</v>
      </c>
      <c r="N48" s="315"/>
      <c r="O48" s="311">
        <f t="shared" si="1"/>
        <v>100418000</v>
      </c>
    </row>
    <row r="49" spans="1:17" ht="47.25" x14ac:dyDescent="0.2">
      <c r="A49" s="312" t="s">
        <v>83</v>
      </c>
      <c r="B49" s="312" t="s">
        <v>78</v>
      </c>
      <c r="C49" s="312" t="s">
        <v>21</v>
      </c>
      <c r="D49" s="312" t="s">
        <v>663</v>
      </c>
      <c r="E49" s="312" t="s">
        <v>84</v>
      </c>
      <c r="F49" s="312" t="s">
        <v>28</v>
      </c>
      <c r="G49" s="324" t="s">
        <v>17</v>
      </c>
      <c r="H49" s="324" t="s">
        <v>1173</v>
      </c>
      <c r="I49" s="325" t="s">
        <v>85</v>
      </c>
      <c r="J49" s="314">
        <v>290771000</v>
      </c>
      <c r="K49" s="314"/>
      <c r="L49" s="314">
        <f t="shared" si="0"/>
        <v>290771000</v>
      </c>
      <c r="M49" s="314">
        <v>100418000</v>
      </c>
      <c r="N49" s="314"/>
      <c r="O49" s="314">
        <f t="shared" si="1"/>
        <v>100418000</v>
      </c>
    </row>
    <row r="50" spans="1:17" ht="47.25" x14ac:dyDescent="0.2">
      <c r="A50" s="308" t="s">
        <v>14</v>
      </c>
      <c r="B50" s="308" t="s">
        <v>78</v>
      </c>
      <c r="C50" s="308" t="s">
        <v>21</v>
      </c>
      <c r="D50" s="308" t="s">
        <v>1070</v>
      </c>
      <c r="E50" s="308" t="s">
        <v>14</v>
      </c>
      <c r="F50" s="308" t="s">
        <v>16</v>
      </c>
      <c r="G50" s="322" t="s">
        <v>17</v>
      </c>
      <c r="H50" s="322" t="s">
        <v>1173</v>
      </c>
      <c r="I50" s="323" t="s">
        <v>87</v>
      </c>
      <c r="J50" s="772">
        <v>69524674</v>
      </c>
      <c r="K50" s="772">
        <f t="shared" ref="K50:L50" si="5">SUM(K51:K60)</f>
        <v>0</v>
      </c>
      <c r="L50" s="772">
        <f t="shared" si="5"/>
        <v>69524674</v>
      </c>
      <c r="M50" s="772">
        <v>311326004</v>
      </c>
      <c r="N50" s="772">
        <f>SUM(N51:N60)</f>
        <v>0</v>
      </c>
      <c r="O50" s="311">
        <f t="shared" si="1"/>
        <v>311326004</v>
      </c>
    </row>
    <row r="51" spans="1:17" ht="31.5" x14ac:dyDescent="0.2">
      <c r="A51" s="312" t="s">
        <v>37</v>
      </c>
      <c r="B51" s="312" t="s">
        <v>78</v>
      </c>
      <c r="C51" s="312" t="s">
        <v>21</v>
      </c>
      <c r="D51" s="312" t="s">
        <v>1070</v>
      </c>
      <c r="E51" s="312" t="s">
        <v>89</v>
      </c>
      <c r="F51" s="312" t="s">
        <v>28</v>
      </c>
      <c r="G51" s="324" t="s">
        <v>17</v>
      </c>
      <c r="H51" s="324" t="s">
        <v>81</v>
      </c>
      <c r="I51" s="325" t="s">
        <v>90</v>
      </c>
      <c r="J51" s="774">
        <v>10771487</v>
      </c>
      <c r="K51" s="344"/>
      <c r="L51" s="314">
        <f t="shared" si="0"/>
        <v>10771487</v>
      </c>
      <c r="M51" s="774">
        <v>10771487</v>
      </c>
      <c r="N51" s="774"/>
      <c r="O51" s="314">
        <f t="shared" si="1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25" t="s">
        <v>1178</v>
      </c>
      <c r="J52" s="344">
        <v>13163000</v>
      </c>
      <c r="K52" s="344"/>
      <c r="L52" s="314">
        <f t="shared" si="0"/>
        <v>13163000</v>
      </c>
      <c r="M52" s="344">
        <v>0</v>
      </c>
      <c r="N52" s="344"/>
      <c r="O52" s="314">
        <f t="shared" si="1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1396</v>
      </c>
      <c r="E53" s="23" t="s">
        <v>1397</v>
      </c>
      <c r="F53" s="23" t="s">
        <v>28</v>
      </c>
      <c r="G53" s="29" t="s">
        <v>17</v>
      </c>
      <c r="H53" s="29" t="s">
        <v>1173</v>
      </c>
      <c r="I53" s="35" t="s">
        <v>1398</v>
      </c>
      <c r="J53" s="773">
        <v>1752215</v>
      </c>
      <c r="K53" s="344"/>
      <c r="L53" s="314">
        <f t="shared" si="0"/>
        <v>1752215</v>
      </c>
      <c r="M53" s="344">
        <v>1979665</v>
      </c>
      <c r="N53" s="344"/>
      <c r="O53" s="314">
        <f t="shared" si="1"/>
        <v>1979665</v>
      </c>
    </row>
    <row r="54" spans="1:17" ht="68.25" customHeight="1" x14ac:dyDescent="0.2">
      <c r="A54" s="312" t="s">
        <v>92</v>
      </c>
      <c r="B54" s="23" t="s">
        <v>78</v>
      </c>
      <c r="C54" s="23" t="s">
        <v>21</v>
      </c>
      <c r="D54" s="23" t="s">
        <v>1396</v>
      </c>
      <c r="E54" s="23" t="s">
        <v>1446</v>
      </c>
      <c r="F54" s="23" t="s">
        <v>28</v>
      </c>
      <c r="G54" s="598" t="s">
        <v>17</v>
      </c>
      <c r="H54" s="29" t="s">
        <v>1173</v>
      </c>
      <c r="I54" s="828" t="s">
        <v>1643</v>
      </c>
      <c r="J54" s="773">
        <v>164610</v>
      </c>
      <c r="K54" s="344"/>
      <c r="L54" s="314">
        <f t="shared" ref="L54:L55" si="6">J54+K54</f>
        <v>164610</v>
      </c>
      <c r="M54" s="344">
        <v>164610</v>
      </c>
      <c r="N54" s="344"/>
      <c r="O54" s="314">
        <f t="shared" si="1"/>
        <v>164610</v>
      </c>
    </row>
    <row r="55" spans="1:17" ht="63" x14ac:dyDescent="0.2">
      <c r="A55" s="312" t="s">
        <v>94</v>
      </c>
      <c r="B55" s="312" t="s">
        <v>78</v>
      </c>
      <c r="C55" s="312" t="s">
        <v>21</v>
      </c>
      <c r="D55" s="312" t="s">
        <v>1071</v>
      </c>
      <c r="E55" s="312" t="s">
        <v>93</v>
      </c>
      <c r="F55" s="312" t="s">
        <v>28</v>
      </c>
      <c r="G55" s="324" t="s">
        <v>1116</v>
      </c>
      <c r="H55" s="324" t="s">
        <v>1173</v>
      </c>
      <c r="I55" s="326" t="s">
        <v>95</v>
      </c>
      <c r="J55" s="773">
        <v>807497</v>
      </c>
      <c r="K55" s="770"/>
      <c r="L55" s="314">
        <f t="shared" si="6"/>
        <v>807497</v>
      </c>
      <c r="M55" s="344">
        <v>807497</v>
      </c>
      <c r="N55" s="344"/>
      <c r="O55" s="314">
        <f t="shared" si="1"/>
        <v>807497</v>
      </c>
      <c r="Q55" s="880"/>
    </row>
    <row r="56" spans="1:17" ht="63" x14ac:dyDescent="0.2">
      <c r="A56" s="312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324" t="s">
        <v>1176</v>
      </c>
      <c r="H56" s="29" t="s">
        <v>1173</v>
      </c>
      <c r="I56" s="30" t="s">
        <v>1175</v>
      </c>
      <c r="J56" s="344">
        <v>9074072</v>
      </c>
      <c r="K56" s="344"/>
      <c r="L56" s="314">
        <f>J56+K56</f>
        <v>9074072</v>
      </c>
      <c r="M56" s="344">
        <v>9074072</v>
      </c>
      <c r="N56" s="344"/>
      <c r="O56" s="314">
        <f t="shared" si="1"/>
        <v>9074072</v>
      </c>
    </row>
    <row r="57" spans="1:17" ht="47.25" x14ac:dyDescent="0.2">
      <c r="A57" s="312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324" t="s">
        <v>1174</v>
      </c>
      <c r="H57" s="29" t="s">
        <v>1173</v>
      </c>
      <c r="I57" s="30" t="s">
        <v>1177</v>
      </c>
      <c r="J57" s="344">
        <v>33344728</v>
      </c>
      <c r="K57" s="770"/>
      <c r="L57" s="314">
        <f t="shared" si="0"/>
        <v>33344728</v>
      </c>
      <c r="M57" s="344">
        <v>33344728</v>
      </c>
      <c r="N57" s="344"/>
      <c r="O57" s="314">
        <f t="shared" si="1"/>
        <v>33344728</v>
      </c>
    </row>
    <row r="58" spans="1:17" ht="31.5" x14ac:dyDescent="0.2">
      <c r="A58" s="312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324" t="s">
        <v>1644</v>
      </c>
      <c r="H58" s="29" t="s">
        <v>1173</v>
      </c>
      <c r="I58" s="828" t="s">
        <v>1645</v>
      </c>
      <c r="J58" s="344">
        <v>447065</v>
      </c>
      <c r="K58" s="770"/>
      <c r="L58" s="314">
        <f t="shared" si="0"/>
        <v>447065</v>
      </c>
      <c r="M58" s="344">
        <v>447065</v>
      </c>
      <c r="N58" s="344"/>
      <c r="O58" s="314">
        <f t="shared" si="1"/>
        <v>447065</v>
      </c>
    </row>
    <row r="59" spans="1:17" ht="77.25" customHeight="1" x14ac:dyDescent="0.2">
      <c r="A59" s="312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324" t="s">
        <v>1646</v>
      </c>
      <c r="H59" s="29" t="s">
        <v>1173</v>
      </c>
      <c r="I59" s="828" t="s">
        <v>1647</v>
      </c>
      <c r="J59" s="344">
        <v>0</v>
      </c>
      <c r="K59" s="770"/>
      <c r="L59" s="314">
        <f t="shared" si="0"/>
        <v>0</v>
      </c>
      <c r="M59" s="344">
        <v>254736880</v>
      </c>
      <c r="N59" s="344"/>
      <c r="O59" s="314">
        <f t="shared" si="1"/>
        <v>254736880</v>
      </c>
    </row>
    <row r="60" spans="1:17" ht="78.75" x14ac:dyDescent="0.2">
      <c r="A60" s="312" t="s">
        <v>92</v>
      </c>
      <c r="B60" s="23" t="s">
        <v>78</v>
      </c>
      <c r="C60" s="23" t="s">
        <v>21</v>
      </c>
      <c r="D60" s="23" t="s">
        <v>1396</v>
      </c>
      <c r="E60" s="23" t="s">
        <v>1446</v>
      </c>
      <c r="F60" s="23" t="s">
        <v>28</v>
      </c>
      <c r="G60" s="598" t="s">
        <v>17</v>
      </c>
      <c r="H60" s="29" t="s">
        <v>1173</v>
      </c>
      <c r="I60" s="326" t="s">
        <v>1561</v>
      </c>
      <c r="J60" s="344">
        <v>0</v>
      </c>
      <c r="K60" s="770"/>
      <c r="L60" s="311">
        <f t="shared" si="0"/>
        <v>0</v>
      </c>
      <c r="M60" s="344">
        <v>0</v>
      </c>
      <c r="N60" s="344"/>
      <c r="O60" s="311">
        <f t="shared" si="1"/>
        <v>0</v>
      </c>
    </row>
    <row r="61" spans="1:17" ht="47.25" x14ac:dyDescent="0.2">
      <c r="A61" s="308" t="s">
        <v>14</v>
      </c>
      <c r="B61" s="308" t="s">
        <v>78</v>
      </c>
      <c r="C61" s="308" t="s">
        <v>21</v>
      </c>
      <c r="D61" s="308" t="s">
        <v>1076</v>
      </c>
      <c r="E61" s="308" t="s">
        <v>14</v>
      </c>
      <c r="F61" s="308" t="s">
        <v>16</v>
      </c>
      <c r="G61" s="322" t="s">
        <v>17</v>
      </c>
      <c r="H61" s="322" t="s">
        <v>1173</v>
      </c>
      <c r="I61" s="323" t="s">
        <v>97</v>
      </c>
      <c r="J61" s="771">
        <v>1378227929</v>
      </c>
      <c r="K61" s="771">
        <f>SUM(K62:K105)</f>
        <v>0</v>
      </c>
      <c r="L61" s="311">
        <f>J61+K61</f>
        <v>1378227929</v>
      </c>
      <c r="M61" s="771">
        <v>1404572755</v>
      </c>
      <c r="N61" s="771">
        <f t="shared" ref="N61" si="7">SUM(N62:N105)</f>
        <v>0</v>
      </c>
      <c r="O61" s="311">
        <f t="shared" si="1"/>
        <v>1404572755</v>
      </c>
    </row>
    <row r="62" spans="1:17" ht="47.25" x14ac:dyDescent="0.2">
      <c r="A62" s="312" t="s">
        <v>98</v>
      </c>
      <c r="B62" s="312" t="s">
        <v>78</v>
      </c>
      <c r="C62" s="312" t="s">
        <v>21</v>
      </c>
      <c r="D62" s="312" t="s">
        <v>1076</v>
      </c>
      <c r="E62" s="312" t="s">
        <v>1181</v>
      </c>
      <c r="F62" s="312" t="s">
        <v>28</v>
      </c>
      <c r="G62" s="324" t="s">
        <v>17</v>
      </c>
      <c r="H62" s="324" t="s">
        <v>1173</v>
      </c>
      <c r="I62" s="30" t="s">
        <v>101</v>
      </c>
      <c r="J62" s="345">
        <v>28658000</v>
      </c>
      <c r="K62" s="770"/>
      <c r="L62" s="314">
        <f t="shared" si="0"/>
        <v>28658000</v>
      </c>
      <c r="M62" s="345">
        <v>28658000</v>
      </c>
      <c r="N62" s="345"/>
      <c r="O62" s="314">
        <f t="shared" si="1"/>
        <v>28658000</v>
      </c>
    </row>
    <row r="63" spans="1:17" ht="63" x14ac:dyDescent="0.2">
      <c r="A63" s="312" t="s">
        <v>98</v>
      </c>
      <c r="B63" s="312" t="s">
        <v>78</v>
      </c>
      <c r="C63" s="312" t="s">
        <v>21</v>
      </c>
      <c r="D63" s="312" t="s">
        <v>1076</v>
      </c>
      <c r="E63" s="312" t="s">
        <v>102</v>
      </c>
      <c r="F63" s="312" t="s">
        <v>28</v>
      </c>
      <c r="G63" s="324" t="s">
        <v>1096</v>
      </c>
      <c r="H63" s="324" t="s">
        <v>1173</v>
      </c>
      <c r="I63" s="301" t="s">
        <v>105</v>
      </c>
      <c r="J63" s="344">
        <v>81572</v>
      </c>
      <c r="K63" s="770"/>
      <c r="L63" s="314">
        <f t="shared" si="0"/>
        <v>81572</v>
      </c>
      <c r="M63" s="344">
        <v>84833</v>
      </c>
      <c r="N63" s="344"/>
      <c r="O63" s="314">
        <f t="shared" si="1"/>
        <v>84833</v>
      </c>
    </row>
    <row r="64" spans="1:17" ht="47.25" x14ac:dyDescent="0.2">
      <c r="A64" s="312" t="s">
        <v>98</v>
      </c>
      <c r="B64" s="312" t="s">
        <v>78</v>
      </c>
      <c r="C64" s="312" t="s">
        <v>21</v>
      </c>
      <c r="D64" s="312" t="s">
        <v>1076</v>
      </c>
      <c r="E64" s="312" t="s">
        <v>102</v>
      </c>
      <c r="F64" s="312" t="s">
        <v>28</v>
      </c>
      <c r="G64" s="324" t="s">
        <v>1097</v>
      </c>
      <c r="H64" s="324" t="s">
        <v>1173</v>
      </c>
      <c r="I64" s="301" t="s">
        <v>1140</v>
      </c>
      <c r="J64" s="345">
        <v>2577467</v>
      </c>
      <c r="K64" s="770"/>
      <c r="L64" s="314">
        <f t="shared" si="0"/>
        <v>2577467</v>
      </c>
      <c r="M64" s="345">
        <v>2680620</v>
      </c>
      <c r="N64" s="345"/>
      <c r="O64" s="314">
        <f t="shared" si="1"/>
        <v>2680620</v>
      </c>
    </row>
    <row r="65" spans="1:15" ht="78.75" x14ac:dyDescent="0.2">
      <c r="A65" s="312" t="s">
        <v>98</v>
      </c>
      <c r="B65" s="312" t="s">
        <v>78</v>
      </c>
      <c r="C65" s="312" t="s">
        <v>21</v>
      </c>
      <c r="D65" s="312" t="s">
        <v>1076</v>
      </c>
      <c r="E65" s="312" t="s">
        <v>102</v>
      </c>
      <c r="F65" s="312" t="s">
        <v>28</v>
      </c>
      <c r="G65" s="324" t="s">
        <v>1098</v>
      </c>
      <c r="H65" s="324" t="s">
        <v>1173</v>
      </c>
      <c r="I65" s="301" t="s">
        <v>106</v>
      </c>
      <c r="J65" s="345">
        <v>68101000</v>
      </c>
      <c r="K65" s="770"/>
      <c r="L65" s="314">
        <f t="shared" si="0"/>
        <v>68101000</v>
      </c>
      <c r="M65" s="345">
        <v>68101000</v>
      </c>
      <c r="N65" s="345"/>
      <c r="O65" s="314">
        <f t="shared" si="1"/>
        <v>68101000</v>
      </c>
    </row>
    <row r="66" spans="1:15" ht="78.75" x14ac:dyDescent="0.2">
      <c r="A66" s="312" t="s">
        <v>94</v>
      </c>
      <c r="B66" s="312" t="s">
        <v>78</v>
      </c>
      <c r="C66" s="312" t="s">
        <v>21</v>
      </c>
      <c r="D66" s="312" t="s">
        <v>1076</v>
      </c>
      <c r="E66" s="312" t="s">
        <v>102</v>
      </c>
      <c r="F66" s="312" t="s">
        <v>28</v>
      </c>
      <c r="G66" s="324" t="s">
        <v>1113</v>
      </c>
      <c r="H66" s="324" t="s">
        <v>1173</v>
      </c>
      <c r="I66" s="301" t="s">
        <v>1145</v>
      </c>
      <c r="J66" s="345">
        <v>5281330</v>
      </c>
      <c r="K66" s="770"/>
      <c r="L66" s="314">
        <f t="shared" si="0"/>
        <v>5281330</v>
      </c>
      <c r="M66" s="345">
        <v>5281330</v>
      </c>
      <c r="N66" s="345"/>
      <c r="O66" s="314">
        <f t="shared" si="1"/>
        <v>5281330</v>
      </c>
    </row>
    <row r="67" spans="1:15" ht="47.25" x14ac:dyDescent="0.2">
      <c r="A67" s="312" t="s">
        <v>94</v>
      </c>
      <c r="B67" s="312" t="s">
        <v>78</v>
      </c>
      <c r="C67" s="312" t="s">
        <v>21</v>
      </c>
      <c r="D67" s="312" t="s">
        <v>1076</v>
      </c>
      <c r="E67" s="312" t="s">
        <v>102</v>
      </c>
      <c r="F67" s="312" t="s">
        <v>28</v>
      </c>
      <c r="G67" s="324" t="s">
        <v>1110</v>
      </c>
      <c r="H67" s="324" t="s">
        <v>1173</v>
      </c>
      <c r="I67" s="301" t="s">
        <v>117</v>
      </c>
      <c r="J67" s="345">
        <v>149601</v>
      </c>
      <c r="K67" s="770"/>
      <c r="L67" s="314">
        <f t="shared" si="0"/>
        <v>149601</v>
      </c>
      <c r="M67" s="345">
        <v>149601</v>
      </c>
      <c r="N67" s="345"/>
      <c r="O67" s="314">
        <f t="shared" si="1"/>
        <v>149601</v>
      </c>
    </row>
    <row r="68" spans="1:15" ht="94.5" x14ac:dyDescent="0.2">
      <c r="A68" s="312" t="s">
        <v>94</v>
      </c>
      <c r="B68" s="312" t="s">
        <v>78</v>
      </c>
      <c r="C68" s="312" t="s">
        <v>21</v>
      </c>
      <c r="D68" s="312" t="s">
        <v>1076</v>
      </c>
      <c r="E68" s="312" t="s">
        <v>102</v>
      </c>
      <c r="F68" s="312" t="s">
        <v>28</v>
      </c>
      <c r="G68" s="324" t="s">
        <v>1108</v>
      </c>
      <c r="H68" s="324" t="s">
        <v>1173</v>
      </c>
      <c r="I68" s="301" t="s">
        <v>115</v>
      </c>
      <c r="J68" s="344">
        <v>9205899</v>
      </c>
      <c r="K68" s="770"/>
      <c r="L68" s="314">
        <f t="shared" si="0"/>
        <v>9205899</v>
      </c>
      <c r="M68" s="344">
        <v>9205899</v>
      </c>
      <c r="N68" s="344"/>
      <c r="O68" s="314">
        <f t="shared" si="1"/>
        <v>9205899</v>
      </c>
    </row>
    <row r="69" spans="1:15" ht="31.5" x14ac:dyDescent="0.2">
      <c r="A69" s="312" t="s">
        <v>94</v>
      </c>
      <c r="B69" s="312" t="s">
        <v>78</v>
      </c>
      <c r="C69" s="312" t="s">
        <v>21</v>
      </c>
      <c r="D69" s="312" t="s">
        <v>1076</v>
      </c>
      <c r="E69" s="312" t="s">
        <v>102</v>
      </c>
      <c r="F69" s="312" t="s">
        <v>28</v>
      </c>
      <c r="G69" s="324" t="s">
        <v>1106</v>
      </c>
      <c r="H69" s="324" t="s">
        <v>1173</v>
      </c>
      <c r="I69" s="301" t="s">
        <v>113</v>
      </c>
      <c r="J69" s="344">
        <v>3542684</v>
      </c>
      <c r="K69" s="344"/>
      <c r="L69" s="314">
        <f t="shared" si="0"/>
        <v>3542684</v>
      </c>
      <c r="M69" s="344">
        <v>3542684</v>
      </c>
      <c r="N69" s="344"/>
      <c r="O69" s="314">
        <f t="shared" si="1"/>
        <v>3542684</v>
      </c>
    </row>
    <row r="70" spans="1:15" ht="47.25" x14ac:dyDescent="0.2">
      <c r="A70" s="312" t="s">
        <v>94</v>
      </c>
      <c r="B70" s="312" t="s">
        <v>78</v>
      </c>
      <c r="C70" s="312" t="s">
        <v>21</v>
      </c>
      <c r="D70" s="312" t="s">
        <v>1076</v>
      </c>
      <c r="E70" s="312" t="s">
        <v>102</v>
      </c>
      <c r="F70" s="312" t="s">
        <v>28</v>
      </c>
      <c r="G70" s="324" t="s">
        <v>1093</v>
      </c>
      <c r="H70" s="324" t="s">
        <v>1173</v>
      </c>
      <c r="I70" s="301" t="s">
        <v>103</v>
      </c>
      <c r="J70" s="344">
        <v>236317535</v>
      </c>
      <c r="K70" s="344"/>
      <c r="L70" s="314">
        <f t="shared" si="0"/>
        <v>236317535</v>
      </c>
      <c r="M70" s="344">
        <v>236317535</v>
      </c>
      <c r="N70" s="344"/>
      <c r="O70" s="314">
        <f t="shared" si="1"/>
        <v>236317535</v>
      </c>
    </row>
    <row r="71" spans="1:15" ht="47.25" x14ac:dyDescent="0.2">
      <c r="A71" s="312" t="s">
        <v>94</v>
      </c>
      <c r="B71" s="312" t="s">
        <v>78</v>
      </c>
      <c r="C71" s="312" t="s">
        <v>21</v>
      </c>
      <c r="D71" s="312" t="s">
        <v>1076</v>
      </c>
      <c r="E71" s="312" t="s">
        <v>102</v>
      </c>
      <c r="F71" s="312" t="s">
        <v>28</v>
      </c>
      <c r="G71" s="324" t="s">
        <v>1107</v>
      </c>
      <c r="H71" s="324" t="s">
        <v>1173</v>
      </c>
      <c r="I71" s="301" t="s">
        <v>114</v>
      </c>
      <c r="J71" s="344">
        <v>408283400</v>
      </c>
      <c r="K71" s="344"/>
      <c r="L71" s="314">
        <f t="shared" si="0"/>
        <v>408283400</v>
      </c>
      <c r="M71" s="344">
        <v>408283400</v>
      </c>
      <c r="N71" s="344"/>
      <c r="O71" s="314">
        <f t="shared" si="1"/>
        <v>408283400</v>
      </c>
    </row>
    <row r="72" spans="1:15" ht="31.5" x14ac:dyDescent="0.2">
      <c r="A72" s="312" t="s">
        <v>94</v>
      </c>
      <c r="B72" s="312" t="s">
        <v>78</v>
      </c>
      <c r="C72" s="312" t="s">
        <v>21</v>
      </c>
      <c r="D72" s="312" t="s">
        <v>1076</v>
      </c>
      <c r="E72" s="312" t="s">
        <v>102</v>
      </c>
      <c r="F72" s="312" t="s">
        <v>28</v>
      </c>
      <c r="G72" s="324" t="s">
        <v>1094</v>
      </c>
      <c r="H72" s="324" t="s">
        <v>1173</v>
      </c>
      <c r="I72" s="301" t="s">
        <v>104</v>
      </c>
      <c r="J72" s="344">
        <v>21231600</v>
      </c>
      <c r="K72" s="770"/>
      <c r="L72" s="314">
        <f t="shared" si="0"/>
        <v>21231600</v>
      </c>
      <c r="M72" s="344">
        <v>21231600</v>
      </c>
      <c r="N72" s="344"/>
      <c r="O72" s="314">
        <f t="shared" si="1"/>
        <v>21231600</v>
      </c>
    </row>
    <row r="73" spans="1:15" ht="63" x14ac:dyDescent="0.2">
      <c r="A73" s="312" t="s">
        <v>94</v>
      </c>
      <c r="B73" s="312" t="s">
        <v>78</v>
      </c>
      <c r="C73" s="312" t="s">
        <v>21</v>
      </c>
      <c r="D73" s="312" t="s">
        <v>1076</v>
      </c>
      <c r="E73" s="312" t="s">
        <v>102</v>
      </c>
      <c r="F73" s="312" t="s">
        <v>28</v>
      </c>
      <c r="G73" s="324" t="s">
        <v>1111</v>
      </c>
      <c r="H73" s="324" t="s">
        <v>1173</v>
      </c>
      <c r="I73" s="301" t="s">
        <v>119</v>
      </c>
      <c r="J73" s="344">
        <v>27292878</v>
      </c>
      <c r="K73" s="344"/>
      <c r="L73" s="314">
        <f t="shared" si="0"/>
        <v>27292878</v>
      </c>
      <c r="M73" s="344">
        <v>27292878</v>
      </c>
      <c r="N73" s="344"/>
      <c r="O73" s="314">
        <f t="shared" si="1"/>
        <v>27292878</v>
      </c>
    </row>
    <row r="74" spans="1:15" ht="15.75" x14ac:dyDescent="0.2">
      <c r="A74" s="312" t="s">
        <v>98</v>
      </c>
      <c r="B74" s="312" t="s">
        <v>78</v>
      </c>
      <c r="C74" s="312" t="s">
        <v>21</v>
      </c>
      <c r="D74" s="312" t="s">
        <v>1076</v>
      </c>
      <c r="E74" s="312" t="s">
        <v>102</v>
      </c>
      <c r="F74" s="312" t="s">
        <v>28</v>
      </c>
      <c r="G74" s="324" t="s">
        <v>1102</v>
      </c>
      <c r="H74" s="324" t="s">
        <v>1173</v>
      </c>
      <c r="I74" s="301" t="s">
        <v>111</v>
      </c>
      <c r="J74" s="344">
        <v>20517823</v>
      </c>
      <c r="K74" s="344"/>
      <c r="L74" s="314">
        <f t="shared" si="0"/>
        <v>20517823</v>
      </c>
      <c r="M74" s="344">
        <v>20517823</v>
      </c>
      <c r="N74" s="344"/>
      <c r="O74" s="314">
        <f t="shared" si="1"/>
        <v>20517823</v>
      </c>
    </row>
    <row r="75" spans="1:15" ht="110.25" x14ac:dyDescent="0.2">
      <c r="A75" s="312" t="s">
        <v>98</v>
      </c>
      <c r="B75" s="312" t="s">
        <v>78</v>
      </c>
      <c r="C75" s="312" t="s">
        <v>21</v>
      </c>
      <c r="D75" s="312" t="s">
        <v>1076</v>
      </c>
      <c r="E75" s="312" t="s">
        <v>102</v>
      </c>
      <c r="F75" s="312" t="s">
        <v>28</v>
      </c>
      <c r="G75" s="324" t="s">
        <v>1109</v>
      </c>
      <c r="H75" s="324" t="s">
        <v>1173</v>
      </c>
      <c r="I75" s="301" t="s">
        <v>116</v>
      </c>
      <c r="J75" s="344">
        <v>84274175</v>
      </c>
      <c r="K75" s="344"/>
      <c r="L75" s="314">
        <f t="shared" si="0"/>
        <v>84274175</v>
      </c>
      <c r="M75" s="344">
        <v>84274175</v>
      </c>
      <c r="N75" s="344"/>
      <c r="O75" s="314">
        <f t="shared" si="1"/>
        <v>84274175</v>
      </c>
    </row>
    <row r="76" spans="1:15" ht="31.5" x14ac:dyDescent="0.2">
      <c r="A76" s="312" t="s">
        <v>98</v>
      </c>
      <c r="B76" s="312" t="s">
        <v>78</v>
      </c>
      <c r="C76" s="312" t="s">
        <v>21</v>
      </c>
      <c r="D76" s="312" t="s">
        <v>1076</v>
      </c>
      <c r="E76" s="312" t="s">
        <v>102</v>
      </c>
      <c r="F76" s="312" t="s">
        <v>28</v>
      </c>
      <c r="G76" s="324" t="s">
        <v>1103</v>
      </c>
      <c r="H76" s="324" t="s">
        <v>1173</v>
      </c>
      <c r="I76" s="301" t="s">
        <v>112</v>
      </c>
      <c r="J76" s="344">
        <v>2494000</v>
      </c>
      <c r="K76" s="344"/>
      <c r="L76" s="314">
        <f t="shared" si="0"/>
        <v>2494000</v>
      </c>
      <c r="M76" s="344">
        <v>2494000</v>
      </c>
      <c r="N76" s="344"/>
      <c r="O76" s="314">
        <f t="shared" si="1"/>
        <v>2494000</v>
      </c>
    </row>
    <row r="77" spans="1:15" ht="31.5" x14ac:dyDescent="0.2">
      <c r="A77" s="312" t="s">
        <v>98</v>
      </c>
      <c r="B77" s="312" t="s">
        <v>78</v>
      </c>
      <c r="C77" s="312" t="s">
        <v>21</v>
      </c>
      <c r="D77" s="312" t="s">
        <v>1076</v>
      </c>
      <c r="E77" s="312" t="s">
        <v>102</v>
      </c>
      <c r="F77" s="312" t="s">
        <v>28</v>
      </c>
      <c r="G77" s="324" t="s">
        <v>1104</v>
      </c>
      <c r="H77" s="324" t="s">
        <v>1173</v>
      </c>
      <c r="I77" s="301" t="s">
        <v>1558</v>
      </c>
      <c r="J77" s="344">
        <v>29440000</v>
      </c>
      <c r="K77" s="770"/>
      <c r="L77" s="314">
        <f t="shared" si="0"/>
        <v>29440000</v>
      </c>
      <c r="M77" s="344">
        <v>29440000</v>
      </c>
      <c r="N77" s="344"/>
      <c r="O77" s="314">
        <f t="shared" si="1"/>
        <v>29440000</v>
      </c>
    </row>
    <row r="78" spans="1:15" ht="78.75" x14ac:dyDescent="0.2">
      <c r="A78" s="312" t="s">
        <v>98</v>
      </c>
      <c r="B78" s="312" t="s">
        <v>78</v>
      </c>
      <c r="C78" s="312" t="s">
        <v>21</v>
      </c>
      <c r="D78" s="312" t="s">
        <v>1076</v>
      </c>
      <c r="E78" s="312" t="s">
        <v>102</v>
      </c>
      <c r="F78" s="312" t="s">
        <v>28</v>
      </c>
      <c r="G78" s="324" t="s">
        <v>1105</v>
      </c>
      <c r="H78" s="324" t="s">
        <v>1173</v>
      </c>
      <c r="I78" s="301" t="s">
        <v>1557</v>
      </c>
      <c r="J78" s="344">
        <v>38653000</v>
      </c>
      <c r="K78" s="770"/>
      <c r="L78" s="314">
        <f t="shared" si="0"/>
        <v>38653000</v>
      </c>
      <c r="M78" s="344">
        <v>38653000</v>
      </c>
      <c r="N78" s="344"/>
      <c r="O78" s="314">
        <f t="shared" si="1"/>
        <v>38653000</v>
      </c>
    </row>
    <row r="79" spans="1:15" ht="78.75" x14ac:dyDescent="0.2">
      <c r="A79" s="312" t="s">
        <v>37</v>
      </c>
      <c r="B79" s="312" t="s">
        <v>78</v>
      </c>
      <c r="C79" s="312" t="s">
        <v>21</v>
      </c>
      <c r="D79" s="312" t="s">
        <v>1076</v>
      </c>
      <c r="E79" s="312" t="s">
        <v>102</v>
      </c>
      <c r="F79" s="312" t="s">
        <v>28</v>
      </c>
      <c r="G79" s="324" t="s">
        <v>1115</v>
      </c>
      <c r="H79" s="324" t="s">
        <v>1173</v>
      </c>
      <c r="I79" s="301" t="s">
        <v>122</v>
      </c>
      <c r="J79" s="344">
        <v>4590</v>
      </c>
      <c r="K79" s="770"/>
      <c r="L79" s="344">
        <f t="shared" si="0"/>
        <v>4590</v>
      </c>
      <c r="M79" s="344">
        <v>4590</v>
      </c>
      <c r="N79" s="770"/>
      <c r="O79" s="314">
        <f t="shared" si="1"/>
        <v>4590</v>
      </c>
    </row>
    <row r="80" spans="1:15" ht="47.25" x14ac:dyDescent="0.2">
      <c r="A80" s="312" t="s">
        <v>37</v>
      </c>
      <c r="B80" s="312" t="s">
        <v>78</v>
      </c>
      <c r="C80" s="312" t="s">
        <v>21</v>
      </c>
      <c r="D80" s="312" t="s">
        <v>1076</v>
      </c>
      <c r="E80" s="312" t="s">
        <v>102</v>
      </c>
      <c r="F80" s="312" t="s">
        <v>28</v>
      </c>
      <c r="G80" s="324" t="s">
        <v>1114</v>
      </c>
      <c r="H80" s="324" t="s">
        <v>1173</v>
      </c>
      <c r="I80" s="301" t="s">
        <v>1554</v>
      </c>
      <c r="J80" s="344">
        <v>757500</v>
      </c>
      <c r="K80" s="770"/>
      <c r="L80" s="314">
        <f t="shared" ref="L80:L125" si="8">J80+K80</f>
        <v>757500</v>
      </c>
      <c r="M80" s="344">
        <v>757500</v>
      </c>
      <c r="N80" s="344"/>
      <c r="O80" s="314">
        <f t="shared" ref="O80:O126" si="9">M80+N80</f>
        <v>757500</v>
      </c>
    </row>
    <row r="81" spans="1:15" ht="47.25" x14ac:dyDescent="0.2">
      <c r="A81" s="327">
        <v>950</v>
      </c>
      <c r="B81" s="328" t="s">
        <v>78</v>
      </c>
      <c r="C81" s="328" t="s">
        <v>21</v>
      </c>
      <c r="D81" s="328" t="s">
        <v>1076</v>
      </c>
      <c r="E81" s="328" t="s">
        <v>102</v>
      </c>
      <c r="F81" s="328" t="s">
        <v>28</v>
      </c>
      <c r="G81" s="328" t="s">
        <v>1095</v>
      </c>
      <c r="H81" s="328" t="s">
        <v>1173</v>
      </c>
      <c r="I81" s="301" t="s">
        <v>107</v>
      </c>
      <c r="J81" s="344">
        <v>2779530</v>
      </c>
      <c r="K81" s="344"/>
      <c r="L81" s="314">
        <f t="shared" si="8"/>
        <v>2779530</v>
      </c>
      <c r="M81" s="344">
        <v>2779530</v>
      </c>
      <c r="N81" s="344"/>
      <c r="O81" s="314">
        <f t="shared" si="9"/>
        <v>2779530</v>
      </c>
    </row>
    <row r="82" spans="1:15" ht="47.25" x14ac:dyDescent="0.2">
      <c r="A82" s="312" t="s">
        <v>98</v>
      </c>
      <c r="B82" s="312" t="s">
        <v>78</v>
      </c>
      <c r="C82" s="312" t="s">
        <v>21</v>
      </c>
      <c r="D82" s="312" t="s">
        <v>1076</v>
      </c>
      <c r="E82" s="312" t="s">
        <v>102</v>
      </c>
      <c r="F82" s="312" t="s">
        <v>28</v>
      </c>
      <c r="G82" s="324" t="s">
        <v>1099</v>
      </c>
      <c r="H82" s="324" t="s">
        <v>1173</v>
      </c>
      <c r="I82" s="301" t="s">
        <v>108</v>
      </c>
      <c r="J82" s="344">
        <v>15695520</v>
      </c>
      <c r="K82" s="344"/>
      <c r="L82" s="314">
        <f t="shared" si="8"/>
        <v>15695520</v>
      </c>
      <c r="M82" s="344">
        <v>15695520</v>
      </c>
      <c r="N82" s="344"/>
      <c r="O82" s="314">
        <f t="shared" si="9"/>
        <v>15695520</v>
      </c>
    </row>
    <row r="83" spans="1:15" ht="31.5" x14ac:dyDescent="0.2">
      <c r="A83" s="312" t="s">
        <v>94</v>
      </c>
      <c r="B83" s="312" t="s">
        <v>78</v>
      </c>
      <c r="C83" s="312" t="s">
        <v>21</v>
      </c>
      <c r="D83" s="312" t="s">
        <v>1076</v>
      </c>
      <c r="E83" s="312" t="s">
        <v>102</v>
      </c>
      <c r="F83" s="312" t="s">
        <v>28</v>
      </c>
      <c r="G83" s="324" t="s">
        <v>1100</v>
      </c>
      <c r="H83" s="324" t="s">
        <v>1173</v>
      </c>
      <c r="I83" s="301" t="s">
        <v>109</v>
      </c>
      <c r="J83" s="344">
        <v>4315658</v>
      </c>
      <c r="K83" s="344"/>
      <c r="L83" s="314">
        <f t="shared" si="8"/>
        <v>4315658</v>
      </c>
      <c r="M83" s="344">
        <v>4315658</v>
      </c>
      <c r="N83" s="344"/>
      <c r="O83" s="314">
        <f t="shared" si="9"/>
        <v>4315658</v>
      </c>
    </row>
    <row r="84" spans="1:15" ht="47.25" x14ac:dyDescent="0.2">
      <c r="A84" s="312" t="s">
        <v>37</v>
      </c>
      <c r="B84" s="312" t="s">
        <v>78</v>
      </c>
      <c r="C84" s="312" t="s">
        <v>21</v>
      </c>
      <c r="D84" s="312" t="s">
        <v>1076</v>
      </c>
      <c r="E84" s="312" t="s">
        <v>102</v>
      </c>
      <c r="F84" s="312" t="s">
        <v>28</v>
      </c>
      <c r="G84" s="324" t="s">
        <v>1101</v>
      </c>
      <c r="H84" s="324" t="s">
        <v>1173</v>
      </c>
      <c r="I84" s="301" t="s">
        <v>110</v>
      </c>
      <c r="J84" s="344">
        <v>340175</v>
      </c>
      <c r="K84" s="344"/>
      <c r="L84" s="314">
        <f t="shared" si="8"/>
        <v>340175</v>
      </c>
      <c r="M84" s="344">
        <v>340175</v>
      </c>
      <c r="N84" s="344"/>
      <c r="O84" s="314">
        <f t="shared" si="9"/>
        <v>340175</v>
      </c>
    </row>
    <row r="85" spans="1:15" ht="47.25" x14ac:dyDescent="0.2">
      <c r="A85" s="312" t="s">
        <v>94</v>
      </c>
      <c r="B85" s="312" t="s">
        <v>78</v>
      </c>
      <c r="C85" s="312" t="s">
        <v>21</v>
      </c>
      <c r="D85" s="312" t="s">
        <v>1076</v>
      </c>
      <c r="E85" s="312" t="s">
        <v>102</v>
      </c>
      <c r="F85" s="312" t="s">
        <v>28</v>
      </c>
      <c r="G85" s="324" t="s">
        <v>1112</v>
      </c>
      <c r="H85" s="324" t="s">
        <v>1173</v>
      </c>
      <c r="I85" s="301" t="s">
        <v>118</v>
      </c>
      <c r="J85" s="344">
        <v>24933</v>
      </c>
      <c r="K85" s="770"/>
      <c r="L85" s="314">
        <f t="shared" si="8"/>
        <v>24933</v>
      </c>
      <c r="M85" s="344">
        <v>24933</v>
      </c>
      <c r="N85" s="344"/>
      <c r="O85" s="314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1402</v>
      </c>
      <c r="J86" s="344">
        <v>647000</v>
      </c>
      <c r="K86" s="770"/>
      <c r="L86" s="314">
        <f t="shared" si="8"/>
        <v>647000</v>
      </c>
      <c r="M86" s="344">
        <v>730000</v>
      </c>
      <c r="N86" s="344"/>
      <c r="O86" s="314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44">
        <v>30317</v>
      </c>
      <c r="K87" s="770"/>
      <c r="L87" s="314">
        <f t="shared" si="8"/>
        <v>30317</v>
      </c>
      <c r="M87" s="344">
        <v>30317</v>
      </c>
      <c r="N87" s="344"/>
      <c r="O87" s="314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1526</v>
      </c>
      <c r="H88" s="29" t="s">
        <v>1173</v>
      </c>
      <c r="I88" s="745" t="s">
        <v>1555</v>
      </c>
      <c r="J88" s="344">
        <v>257038</v>
      </c>
      <c r="K88" s="344"/>
      <c r="L88" s="314">
        <f t="shared" si="8"/>
        <v>257038</v>
      </c>
      <c r="M88" s="344">
        <v>257038</v>
      </c>
      <c r="N88" s="344"/>
      <c r="O88" s="314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1505</v>
      </c>
      <c r="H89" s="29" t="s">
        <v>1173</v>
      </c>
      <c r="I89" s="752" t="s">
        <v>1506</v>
      </c>
      <c r="J89" s="344">
        <v>1707913</v>
      </c>
      <c r="K89" s="770"/>
      <c r="L89" s="314">
        <f t="shared" si="8"/>
        <v>1707913</v>
      </c>
      <c r="M89" s="344">
        <v>1893689</v>
      </c>
      <c r="N89" s="344"/>
      <c r="O89" s="314">
        <f t="shared" si="9"/>
        <v>1893689</v>
      </c>
    </row>
    <row r="90" spans="1:15" ht="78.75" x14ac:dyDescent="0.2">
      <c r="A90" s="312" t="s">
        <v>98</v>
      </c>
      <c r="B90" s="312" t="s">
        <v>78</v>
      </c>
      <c r="C90" s="312" t="s">
        <v>21</v>
      </c>
      <c r="D90" s="312" t="s">
        <v>1072</v>
      </c>
      <c r="E90" s="312" t="s">
        <v>1141</v>
      </c>
      <c r="F90" s="312" t="s">
        <v>28</v>
      </c>
      <c r="G90" s="324" t="s">
        <v>17</v>
      </c>
      <c r="H90" s="324" t="s">
        <v>1173</v>
      </c>
      <c r="I90" s="301" t="s">
        <v>1401</v>
      </c>
      <c r="J90" s="344">
        <v>52131216</v>
      </c>
      <c r="K90" s="770"/>
      <c r="L90" s="314">
        <f t="shared" si="8"/>
        <v>52131216</v>
      </c>
      <c r="M90" s="344">
        <v>55281996</v>
      </c>
      <c r="N90" s="344"/>
      <c r="O90" s="314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45">
        <v>3059</v>
      </c>
      <c r="K91" s="770"/>
      <c r="L91" s="314">
        <f t="shared" si="8"/>
        <v>3059</v>
      </c>
      <c r="M91" s="345">
        <v>2726</v>
      </c>
      <c r="N91" s="345"/>
      <c r="O91" s="314">
        <f t="shared" si="9"/>
        <v>2726</v>
      </c>
    </row>
    <row r="92" spans="1:15" ht="94.5" x14ac:dyDescent="0.2">
      <c r="A92" s="312" t="s">
        <v>98</v>
      </c>
      <c r="B92" s="312" t="s">
        <v>78</v>
      </c>
      <c r="C92" s="312" t="s">
        <v>21</v>
      </c>
      <c r="D92" s="312" t="s">
        <v>1072</v>
      </c>
      <c r="E92" s="312" t="s">
        <v>1080</v>
      </c>
      <c r="F92" s="312" t="s">
        <v>28</v>
      </c>
      <c r="G92" s="324" t="s">
        <v>17</v>
      </c>
      <c r="H92" s="324" t="s">
        <v>1173</v>
      </c>
      <c r="I92" s="301" t="s">
        <v>125</v>
      </c>
      <c r="J92" s="344">
        <v>0</v>
      </c>
      <c r="K92" s="770"/>
      <c r="L92" s="314">
        <f t="shared" si="8"/>
        <v>0</v>
      </c>
      <c r="M92" s="344">
        <v>0</v>
      </c>
      <c r="N92" s="344"/>
      <c r="O92" s="314">
        <f t="shared" si="9"/>
        <v>0</v>
      </c>
    </row>
    <row r="93" spans="1:15" ht="94.5" x14ac:dyDescent="0.2">
      <c r="A93" s="312" t="s">
        <v>98</v>
      </c>
      <c r="B93" s="312" t="s">
        <v>78</v>
      </c>
      <c r="C93" s="312" t="s">
        <v>21</v>
      </c>
      <c r="D93" s="312" t="s">
        <v>1072</v>
      </c>
      <c r="E93" s="312" t="s">
        <v>1074</v>
      </c>
      <c r="F93" s="312" t="s">
        <v>28</v>
      </c>
      <c r="G93" s="324" t="s">
        <v>17</v>
      </c>
      <c r="H93" s="324" t="s">
        <v>1173</v>
      </c>
      <c r="I93" s="301" t="s">
        <v>99</v>
      </c>
      <c r="J93" s="345">
        <v>6552020</v>
      </c>
      <c r="K93" s="770"/>
      <c r="L93" s="314">
        <f t="shared" si="8"/>
        <v>6552020</v>
      </c>
      <c r="M93" s="345">
        <v>6814181</v>
      </c>
      <c r="N93" s="345"/>
      <c r="O93" s="314">
        <f t="shared" si="9"/>
        <v>6814181</v>
      </c>
    </row>
    <row r="94" spans="1:15" ht="94.5" x14ac:dyDescent="0.2">
      <c r="A94" s="312" t="s">
        <v>98</v>
      </c>
      <c r="B94" s="312" t="s">
        <v>78</v>
      </c>
      <c r="C94" s="312" t="s">
        <v>21</v>
      </c>
      <c r="D94" s="312" t="s">
        <v>1072</v>
      </c>
      <c r="E94" s="312" t="s">
        <v>1559</v>
      </c>
      <c r="F94" s="312" t="s">
        <v>28</v>
      </c>
      <c r="G94" s="324" t="s">
        <v>17</v>
      </c>
      <c r="H94" s="324" t="s">
        <v>1173</v>
      </c>
      <c r="I94" s="301" t="s">
        <v>1560</v>
      </c>
      <c r="J94" s="345">
        <v>0</v>
      </c>
      <c r="K94" s="770"/>
      <c r="L94" s="314">
        <f t="shared" si="8"/>
        <v>0</v>
      </c>
      <c r="M94" s="345">
        <v>0</v>
      </c>
      <c r="N94" s="345"/>
      <c r="O94" s="314">
        <f t="shared" si="9"/>
        <v>0</v>
      </c>
    </row>
    <row r="95" spans="1:15" ht="47.25" x14ac:dyDescent="0.2">
      <c r="A95" s="312" t="s">
        <v>98</v>
      </c>
      <c r="B95" s="312" t="s">
        <v>78</v>
      </c>
      <c r="C95" s="312" t="s">
        <v>21</v>
      </c>
      <c r="D95" s="312" t="s">
        <v>1072</v>
      </c>
      <c r="E95" s="312" t="s">
        <v>1073</v>
      </c>
      <c r="F95" s="312" t="s">
        <v>28</v>
      </c>
      <c r="G95" s="324" t="s">
        <v>17</v>
      </c>
      <c r="H95" s="324" t="s">
        <v>1173</v>
      </c>
      <c r="I95" s="301" t="s">
        <v>1649</v>
      </c>
      <c r="J95" s="345">
        <v>40985534</v>
      </c>
      <c r="K95" s="770"/>
      <c r="L95" s="314">
        <f t="shared" si="8"/>
        <v>40985534</v>
      </c>
      <c r="M95" s="345">
        <v>40985534</v>
      </c>
      <c r="N95" s="345"/>
      <c r="O95" s="314">
        <f t="shared" si="9"/>
        <v>40985534</v>
      </c>
    </row>
    <row r="96" spans="1:15" ht="63" x14ac:dyDescent="0.2">
      <c r="A96" s="312" t="s">
        <v>94</v>
      </c>
      <c r="B96" s="312" t="s">
        <v>78</v>
      </c>
      <c r="C96" s="312" t="s">
        <v>21</v>
      </c>
      <c r="D96" s="312" t="s">
        <v>1072</v>
      </c>
      <c r="E96" s="312" t="s">
        <v>1075</v>
      </c>
      <c r="F96" s="312" t="s">
        <v>28</v>
      </c>
      <c r="G96" s="324" t="s">
        <v>17</v>
      </c>
      <c r="H96" s="324" t="s">
        <v>1173</v>
      </c>
      <c r="I96" s="301" t="s">
        <v>100</v>
      </c>
      <c r="J96" s="344">
        <v>0</v>
      </c>
      <c r="K96" s="770"/>
      <c r="L96" s="314">
        <f t="shared" si="8"/>
        <v>0</v>
      </c>
      <c r="M96" s="344">
        <v>0</v>
      </c>
      <c r="N96" s="344"/>
      <c r="O96" s="314">
        <f t="shared" si="9"/>
        <v>0</v>
      </c>
    </row>
    <row r="97" spans="1:15" ht="110.25" x14ac:dyDescent="0.2">
      <c r="A97" s="312" t="s">
        <v>98</v>
      </c>
      <c r="B97" s="312" t="s">
        <v>78</v>
      </c>
      <c r="C97" s="312" t="s">
        <v>21</v>
      </c>
      <c r="D97" s="312" t="s">
        <v>1072</v>
      </c>
      <c r="E97" s="312" t="s">
        <v>1077</v>
      </c>
      <c r="F97" s="312" t="s">
        <v>28</v>
      </c>
      <c r="G97" s="324" t="s">
        <v>17</v>
      </c>
      <c r="H97" s="324" t="s">
        <v>1173</v>
      </c>
      <c r="I97" s="301" t="s">
        <v>123</v>
      </c>
      <c r="J97" s="344">
        <v>0</v>
      </c>
      <c r="K97" s="770"/>
      <c r="L97" s="314">
        <f t="shared" si="8"/>
        <v>0</v>
      </c>
      <c r="M97" s="344">
        <v>0</v>
      </c>
      <c r="N97" s="344"/>
      <c r="O97" s="314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1507</v>
      </c>
      <c r="F98" s="23" t="s">
        <v>28</v>
      </c>
      <c r="G98" s="29" t="s">
        <v>17</v>
      </c>
      <c r="H98" s="29" t="s">
        <v>1173</v>
      </c>
      <c r="I98" s="301" t="s">
        <v>1508</v>
      </c>
      <c r="J98" s="344">
        <v>136433748</v>
      </c>
      <c r="K98" s="770"/>
      <c r="L98" s="314">
        <f t="shared" si="8"/>
        <v>136433748</v>
      </c>
      <c r="M98" s="344">
        <v>151115300</v>
      </c>
      <c r="N98" s="344"/>
      <c r="O98" s="314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1509</v>
      </c>
      <c r="F99" s="23" t="s">
        <v>28</v>
      </c>
      <c r="G99" s="29" t="s">
        <v>17</v>
      </c>
      <c r="H99" s="29" t="s">
        <v>1173</v>
      </c>
      <c r="I99" s="745" t="s">
        <v>1524</v>
      </c>
      <c r="J99" s="344">
        <v>23201640</v>
      </c>
      <c r="K99" s="770"/>
      <c r="L99" s="344">
        <f t="shared" si="8"/>
        <v>23201640</v>
      </c>
      <c r="M99" s="344">
        <v>24764040</v>
      </c>
      <c r="N99" s="344"/>
      <c r="O99" s="344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1527</v>
      </c>
      <c r="F100" s="23" t="s">
        <v>28</v>
      </c>
      <c r="G100" s="29" t="s">
        <v>17</v>
      </c>
      <c r="H100" s="29" t="s">
        <v>1173</v>
      </c>
      <c r="I100" s="752" t="s">
        <v>1528</v>
      </c>
      <c r="J100" s="768">
        <v>28934503</v>
      </c>
      <c r="K100" s="770"/>
      <c r="L100" s="314">
        <f t="shared" si="8"/>
        <v>28934503</v>
      </c>
      <c r="M100" s="344">
        <v>29748117</v>
      </c>
      <c r="N100" s="344"/>
      <c r="O100" s="314">
        <f t="shared" si="9"/>
        <v>29748117</v>
      </c>
    </row>
    <row r="101" spans="1:15" ht="141.75" x14ac:dyDescent="0.2">
      <c r="A101" s="312" t="s">
        <v>98</v>
      </c>
      <c r="B101" s="312" t="s">
        <v>78</v>
      </c>
      <c r="C101" s="312" t="s">
        <v>21</v>
      </c>
      <c r="D101" s="312" t="s">
        <v>1072</v>
      </c>
      <c r="E101" s="312" t="s">
        <v>1079</v>
      </c>
      <c r="F101" s="312" t="s">
        <v>28</v>
      </c>
      <c r="G101" s="324" t="s">
        <v>17</v>
      </c>
      <c r="H101" s="324" t="s">
        <v>1173</v>
      </c>
      <c r="I101" s="301" t="s">
        <v>1400</v>
      </c>
      <c r="J101" s="344">
        <v>0</v>
      </c>
      <c r="K101" s="770"/>
      <c r="L101" s="314">
        <f t="shared" si="8"/>
        <v>0</v>
      </c>
      <c r="M101" s="344">
        <v>0</v>
      </c>
      <c r="N101" s="344"/>
      <c r="O101" s="314">
        <f t="shared" si="9"/>
        <v>0</v>
      </c>
    </row>
    <row r="102" spans="1:15" ht="78.75" x14ac:dyDescent="0.2">
      <c r="A102" s="763" t="s">
        <v>98</v>
      </c>
      <c r="B102" s="763" t="s">
        <v>78</v>
      </c>
      <c r="C102" s="763" t="s">
        <v>21</v>
      </c>
      <c r="D102" s="763" t="s">
        <v>1072</v>
      </c>
      <c r="E102" s="763" t="s">
        <v>1556</v>
      </c>
      <c r="F102" s="763" t="s">
        <v>28</v>
      </c>
      <c r="G102" s="764" t="s">
        <v>17</v>
      </c>
      <c r="H102" s="764" t="s">
        <v>1173</v>
      </c>
      <c r="I102" s="765" t="s">
        <v>1525</v>
      </c>
      <c r="J102" s="768">
        <v>17135868</v>
      </c>
      <c r="K102" s="879"/>
      <c r="L102" s="314">
        <f t="shared" si="8"/>
        <v>17135868</v>
      </c>
      <c r="M102" s="768">
        <v>17135868</v>
      </c>
      <c r="N102" s="768"/>
      <c r="O102" s="314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9" t="s">
        <v>17</v>
      </c>
      <c r="H103" s="39" t="s">
        <v>1173</v>
      </c>
      <c r="I103" s="33" t="s">
        <v>124</v>
      </c>
      <c r="J103" s="344">
        <v>1759206</v>
      </c>
      <c r="K103" s="770"/>
      <c r="L103" s="314">
        <f t="shared" si="8"/>
        <v>1759206</v>
      </c>
      <c r="M103" s="344">
        <v>1740718</v>
      </c>
      <c r="N103" s="344"/>
      <c r="O103" s="314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9" t="s">
        <v>17</v>
      </c>
      <c r="H104" s="39" t="s">
        <v>1173</v>
      </c>
      <c r="I104" s="33" t="s">
        <v>1180</v>
      </c>
      <c r="J104" s="344">
        <v>55756964</v>
      </c>
      <c r="K104" s="770"/>
      <c r="L104" s="314">
        <f t="shared" si="8"/>
        <v>55756964</v>
      </c>
      <c r="M104" s="344">
        <v>60982127</v>
      </c>
      <c r="N104" s="344"/>
      <c r="O104" s="314">
        <f t="shared" si="9"/>
        <v>60982127</v>
      </c>
    </row>
    <row r="105" spans="1:15" s="348" customFormat="1" ht="78" customHeight="1" x14ac:dyDescent="0.2">
      <c r="A105" s="349" t="s">
        <v>37</v>
      </c>
      <c r="B105" s="349" t="s">
        <v>78</v>
      </c>
      <c r="C105" s="349" t="s">
        <v>21</v>
      </c>
      <c r="D105" s="349" t="s">
        <v>1072</v>
      </c>
      <c r="E105" s="349" t="s">
        <v>1144</v>
      </c>
      <c r="F105" s="349" t="s">
        <v>28</v>
      </c>
      <c r="G105" s="350" t="s">
        <v>17</v>
      </c>
      <c r="H105" s="350" t="s">
        <v>1173</v>
      </c>
      <c r="I105" s="351" t="s">
        <v>1168</v>
      </c>
      <c r="J105" s="344">
        <v>2672033</v>
      </c>
      <c r="K105" s="770"/>
      <c r="L105" s="314">
        <f t="shared" si="8"/>
        <v>2672033</v>
      </c>
      <c r="M105" s="344">
        <v>2964820</v>
      </c>
      <c r="N105" s="344"/>
      <c r="O105" s="314">
        <f t="shared" si="9"/>
        <v>2964820</v>
      </c>
    </row>
    <row r="106" spans="1:15" ht="15.75" x14ac:dyDescent="0.2">
      <c r="A106" s="308" t="s">
        <v>14</v>
      </c>
      <c r="B106" s="308" t="s">
        <v>78</v>
      </c>
      <c r="C106" s="308" t="s">
        <v>21</v>
      </c>
      <c r="D106" s="308" t="s">
        <v>32</v>
      </c>
      <c r="E106" s="308" t="s">
        <v>14</v>
      </c>
      <c r="F106" s="308" t="s">
        <v>16</v>
      </c>
      <c r="G106" s="322" t="s">
        <v>17</v>
      </c>
      <c r="H106" s="322" t="s">
        <v>1173</v>
      </c>
      <c r="I106" s="323" t="s">
        <v>126</v>
      </c>
      <c r="J106" s="346">
        <v>288861845</v>
      </c>
      <c r="K106" s="346">
        <f>K107</f>
        <v>0</v>
      </c>
      <c r="L106" s="311">
        <f>J106+K106</f>
        <v>288861845</v>
      </c>
      <c r="M106" s="346">
        <v>177606595</v>
      </c>
      <c r="N106" s="346">
        <f>N107</f>
        <v>0</v>
      </c>
      <c r="O106" s="311">
        <f t="shared" si="9"/>
        <v>177606595</v>
      </c>
    </row>
    <row r="107" spans="1:15" ht="110.25" x14ac:dyDescent="0.2">
      <c r="A107" s="786" t="s">
        <v>14</v>
      </c>
      <c r="B107" s="786" t="s">
        <v>78</v>
      </c>
      <c r="C107" s="786" t="s">
        <v>21</v>
      </c>
      <c r="D107" s="786" t="s">
        <v>1081</v>
      </c>
      <c r="E107" s="786" t="s">
        <v>128</v>
      </c>
      <c r="F107" s="786" t="s">
        <v>28</v>
      </c>
      <c r="G107" s="787" t="s">
        <v>17</v>
      </c>
      <c r="H107" s="787" t="s">
        <v>1173</v>
      </c>
      <c r="I107" s="788" t="s">
        <v>1593</v>
      </c>
      <c r="J107" s="346">
        <v>288861845</v>
      </c>
      <c r="K107" s="346">
        <f t="shared" ref="K107:O107" si="10">SUM(K108:K125)</f>
        <v>0</v>
      </c>
      <c r="L107" s="346">
        <f t="shared" si="10"/>
        <v>288861845</v>
      </c>
      <c r="M107" s="346">
        <v>177606595</v>
      </c>
      <c r="N107" s="346">
        <f t="shared" si="10"/>
        <v>0</v>
      </c>
      <c r="O107" s="346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764" t="s">
        <v>1650</v>
      </c>
      <c r="H108" s="29" t="s">
        <v>1173</v>
      </c>
      <c r="I108" s="828" t="s">
        <v>1651</v>
      </c>
      <c r="J108" s="344">
        <v>22362816</v>
      </c>
      <c r="K108" s="770"/>
      <c r="L108" s="314">
        <f t="shared" si="8"/>
        <v>22362816</v>
      </c>
      <c r="M108" s="344">
        <v>22362816</v>
      </c>
      <c r="N108" s="344"/>
      <c r="O108" s="314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1716</v>
      </c>
      <c r="H109" s="29" t="s">
        <v>1173</v>
      </c>
      <c r="I109" s="878" t="s">
        <v>1734</v>
      </c>
      <c r="J109" s="344">
        <v>1515000</v>
      </c>
      <c r="K109" s="344"/>
      <c r="L109" s="314">
        <f t="shared" si="8"/>
        <v>1515000</v>
      </c>
      <c r="M109" s="344">
        <v>1515000</v>
      </c>
      <c r="N109" s="344"/>
      <c r="O109" s="314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1717</v>
      </c>
      <c r="H110" s="29" t="s">
        <v>1173</v>
      </c>
      <c r="I110" s="878" t="s">
        <v>1735</v>
      </c>
      <c r="J110" s="344">
        <v>2700000</v>
      </c>
      <c r="K110" s="344"/>
      <c r="L110" s="314">
        <f t="shared" si="8"/>
        <v>2700000</v>
      </c>
      <c r="M110" s="344">
        <v>2700000</v>
      </c>
      <c r="N110" s="344"/>
      <c r="O110" s="314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1718</v>
      </c>
      <c r="H111" s="29" t="s">
        <v>1173</v>
      </c>
      <c r="I111" s="878" t="s">
        <v>1736</v>
      </c>
      <c r="J111" s="347">
        <v>222797951</v>
      </c>
      <c r="K111" s="344"/>
      <c r="L111" s="314">
        <f t="shared" si="8"/>
        <v>222797951</v>
      </c>
      <c r="M111" s="344">
        <v>115777701</v>
      </c>
      <c r="N111" s="344"/>
      <c r="O111" s="314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1719</v>
      </c>
      <c r="H112" s="29" t="s">
        <v>1173</v>
      </c>
      <c r="I112" s="878" t="s">
        <v>1737</v>
      </c>
      <c r="J112" s="347">
        <v>580000</v>
      </c>
      <c r="K112" s="344"/>
      <c r="L112" s="314">
        <f t="shared" si="8"/>
        <v>580000</v>
      </c>
      <c r="M112" s="344">
        <v>580000</v>
      </c>
      <c r="N112" s="344"/>
      <c r="O112" s="314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1720</v>
      </c>
      <c r="H113" s="29" t="s">
        <v>1173</v>
      </c>
      <c r="I113" s="877" t="s">
        <v>1738</v>
      </c>
      <c r="J113" s="347">
        <v>830000</v>
      </c>
      <c r="K113" s="344"/>
      <c r="L113" s="314">
        <f t="shared" si="8"/>
        <v>830000</v>
      </c>
      <c r="M113" s="344">
        <v>0</v>
      </c>
      <c r="N113" s="344">
        <v>0</v>
      </c>
      <c r="O113" s="314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1721</v>
      </c>
      <c r="H114" s="29" t="s">
        <v>1173</v>
      </c>
      <c r="I114" s="877" t="s">
        <v>1739</v>
      </c>
      <c r="J114" s="347">
        <v>100000</v>
      </c>
      <c r="K114" s="344"/>
      <c r="L114" s="314">
        <f t="shared" si="8"/>
        <v>100000</v>
      </c>
      <c r="M114" s="344">
        <v>100000</v>
      </c>
      <c r="N114" s="344"/>
      <c r="O114" s="314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1722</v>
      </c>
      <c r="H115" s="29" t="s">
        <v>1173</v>
      </c>
      <c r="I115" s="877" t="s">
        <v>1740</v>
      </c>
      <c r="J115" s="347">
        <v>0</v>
      </c>
      <c r="K115" s="770"/>
      <c r="L115" s="314">
        <f t="shared" si="8"/>
        <v>0</v>
      </c>
      <c r="M115" s="344">
        <v>0</v>
      </c>
      <c r="N115" s="344"/>
      <c r="O115" s="314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1723</v>
      </c>
      <c r="H116" s="29" t="s">
        <v>1173</v>
      </c>
      <c r="I116" s="877" t="s">
        <v>1741</v>
      </c>
      <c r="J116" s="347">
        <v>0</v>
      </c>
      <c r="K116" s="344"/>
      <c r="L116" s="314">
        <f t="shared" si="8"/>
        <v>0</v>
      </c>
      <c r="M116" s="344">
        <v>3000000</v>
      </c>
      <c r="N116" s="344"/>
      <c r="O116" s="314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1724</v>
      </c>
      <c r="H117" s="29" t="s">
        <v>1173</v>
      </c>
      <c r="I117" s="41" t="s">
        <v>1742</v>
      </c>
      <c r="J117" s="347">
        <v>350000</v>
      </c>
      <c r="K117" s="344"/>
      <c r="L117" s="314">
        <f t="shared" si="8"/>
        <v>350000</v>
      </c>
      <c r="M117" s="344">
        <v>350000</v>
      </c>
      <c r="N117" s="344"/>
      <c r="O117" s="314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1725</v>
      </c>
      <c r="H118" s="29" t="s">
        <v>1173</v>
      </c>
      <c r="I118" s="877" t="s">
        <v>1743</v>
      </c>
      <c r="J118" s="347">
        <v>24980078</v>
      </c>
      <c r="K118" s="344"/>
      <c r="L118" s="314">
        <f t="shared" si="8"/>
        <v>24980078</v>
      </c>
      <c r="M118" s="344">
        <v>22930078</v>
      </c>
      <c r="N118" s="344"/>
      <c r="O118" s="314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1726</v>
      </c>
      <c r="H119" s="29" t="s">
        <v>1173</v>
      </c>
      <c r="I119" s="877" t="s">
        <v>1744</v>
      </c>
      <c r="J119" s="347">
        <v>7875000</v>
      </c>
      <c r="K119" s="344"/>
      <c r="L119" s="314">
        <f t="shared" si="8"/>
        <v>7875000</v>
      </c>
      <c r="M119" s="344">
        <v>3500000</v>
      </c>
      <c r="N119" s="344"/>
      <c r="O119" s="314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1745</v>
      </c>
      <c r="H120" s="29" t="s">
        <v>1173</v>
      </c>
      <c r="I120" s="877" t="s">
        <v>1746</v>
      </c>
      <c r="J120" s="347">
        <v>500000</v>
      </c>
      <c r="K120" s="344"/>
      <c r="L120" s="314">
        <f t="shared" si="8"/>
        <v>500000</v>
      </c>
      <c r="M120" s="344">
        <v>500000</v>
      </c>
      <c r="N120" s="344"/>
      <c r="O120" s="314">
        <f t="shared" si="9"/>
        <v>500000</v>
      </c>
    </row>
    <row r="121" spans="1:15" ht="78.75" customHeight="1" x14ac:dyDescent="0.2">
      <c r="A121" s="433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1727</v>
      </c>
      <c r="H121" s="29" t="s">
        <v>1173</v>
      </c>
      <c r="I121" s="877" t="s">
        <v>1747</v>
      </c>
      <c r="J121" s="347">
        <v>2500000</v>
      </c>
      <c r="K121" s="344"/>
      <c r="L121" s="314">
        <f t="shared" si="8"/>
        <v>2500000</v>
      </c>
      <c r="M121" s="344">
        <v>2500000</v>
      </c>
      <c r="N121" s="344"/>
      <c r="O121" s="314">
        <f t="shared" si="9"/>
        <v>2500000</v>
      </c>
    </row>
    <row r="122" spans="1:15" ht="38.25" customHeight="1" x14ac:dyDescent="0.2">
      <c r="A122" s="433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1729</v>
      </c>
      <c r="H122" s="29" t="s">
        <v>1173</v>
      </c>
      <c r="I122" s="877" t="s">
        <v>1748</v>
      </c>
      <c r="J122" s="347">
        <v>200000</v>
      </c>
      <c r="K122" s="344"/>
      <c r="L122" s="314">
        <f t="shared" si="8"/>
        <v>200000</v>
      </c>
      <c r="M122" s="344">
        <v>200000</v>
      </c>
      <c r="N122" s="344"/>
      <c r="O122" s="314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1728</v>
      </c>
      <c r="H123" s="29" t="s">
        <v>1173</v>
      </c>
      <c r="I123" s="877" t="s">
        <v>1749</v>
      </c>
      <c r="J123" s="347">
        <v>600000</v>
      </c>
      <c r="K123" s="344"/>
      <c r="L123" s="314">
        <f t="shared" si="8"/>
        <v>600000</v>
      </c>
      <c r="M123" s="344">
        <v>600000</v>
      </c>
      <c r="N123" s="344"/>
      <c r="O123" s="314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1730</v>
      </c>
      <c r="H124" s="29" t="s">
        <v>1173</v>
      </c>
      <c r="I124" s="41" t="s">
        <v>1750</v>
      </c>
      <c r="J124" s="347">
        <v>320000</v>
      </c>
      <c r="K124" s="344"/>
      <c r="L124" s="314">
        <f t="shared" si="8"/>
        <v>320000</v>
      </c>
      <c r="M124" s="344">
        <v>340000</v>
      </c>
      <c r="N124" s="344"/>
      <c r="O124" s="314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1731</v>
      </c>
      <c r="H125" s="29" t="s">
        <v>1173</v>
      </c>
      <c r="I125" s="877" t="s">
        <v>1751</v>
      </c>
      <c r="J125" s="347">
        <v>651000</v>
      </c>
      <c r="K125" s="344"/>
      <c r="L125" s="314">
        <f t="shared" si="8"/>
        <v>651000</v>
      </c>
      <c r="M125" s="344">
        <v>651000</v>
      </c>
      <c r="N125" s="344"/>
      <c r="O125" s="314">
        <f t="shared" si="9"/>
        <v>651000</v>
      </c>
    </row>
    <row r="126" spans="1:15" ht="20.25" customHeight="1" x14ac:dyDescent="0.2">
      <c r="A126" s="312"/>
      <c r="B126" s="312"/>
      <c r="C126" s="312"/>
      <c r="D126" s="312"/>
      <c r="E126" s="312"/>
      <c r="F126" s="312"/>
      <c r="G126" s="324"/>
      <c r="H126" s="324"/>
      <c r="I126" s="310" t="s">
        <v>129</v>
      </c>
      <c r="J126" s="346">
        <v>2264615068</v>
      </c>
      <c r="K126" s="346">
        <f t="shared" ref="K126:L126" si="11">K11+K46</f>
        <v>0</v>
      </c>
      <c r="L126" s="346">
        <f t="shared" si="11"/>
        <v>2264615068</v>
      </c>
      <c r="M126" s="346">
        <v>2237528024</v>
      </c>
      <c r="N126" s="346">
        <f>N11+N46</f>
        <v>0</v>
      </c>
      <c r="O126" s="311">
        <f t="shared" si="9"/>
        <v>2237528024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opLeftCell="A149" workbookViewId="0">
      <selection activeCell="B168" sqref="B168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573</v>
      </c>
      <c r="B1" s="216" t="s">
        <v>1024</v>
      </c>
    </row>
    <row r="2" spans="1:2" ht="32.25" thickBot="1" x14ac:dyDescent="0.3">
      <c r="A2" s="217" t="s">
        <v>396</v>
      </c>
      <c r="B2" s="218" t="s">
        <v>395</v>
      </c>
    </row>
    <row r="3" spans="1:2" s="219" customFormat="1" x14ac:dyDescent="0.25">
      <c r="A3" s="220" t="s">
        <v>499</v>
      </c>
      <c r="B3" s="221" t="s">
        <v>498</v>
      </c>
    </row>
    <row r="4" spans="1:2" ht="31.5" x14ac:dyDescent="0.25">
      <c r="A4" s="222" t="s">
        <v>501</v>
      </c>
      <c r="B4" s="223" t="s">
        <v>500</v>
      </c>
    </row>
    <row r="5" spans="1:2" ht="31.5" x14ac:dyDescent="0.25">
      <c r="A5" s="222" t="s">
        <v>1091</v>
      </c>
      <c r="B5" s="223" t="s">
        <v>1092</v>
      </c>
    </row>
    <row r="6" spans="1:2" s="219" customFormat="1" ht="47.25" x14ac:dyDescent="0.25">
      <c r="A6" s="224" t="s">
        <v>398</v>
      </c>
      <c r="B6" s="225" t="s">
        <v>397</v>
      </c>
    </row>
    <row r="7" spans="1:2" ht="47.25" x14ac:dyDescent="0.25">
      <c r="A7" s="222" t="s">
        <v>400</v>
      </c>
      <c r="B7" s="223" t="s">
        <v>399</v>
      </c>
    </row>
    <row r="8" spans="1:2" ht="47.25" x14ac:dyDescent="0.25">
      <c r="A8" s="222" t="s">
        <v>1440</v>
      </c>
      <c r="B8" s="223" t="s">
        <v>1441</v>
      </c>
    </row>
    <row r="9" spans="1:2" s="219" customFormat="1" ht="31.5" x14ac:dyDescent="0.25">
      <c r="A9" s="224" t="s">
        <v>403</v>
      </c>
      <c r="B9" s="225" t="s">
        <v>402</v>
      </c>
    </row>
    <row r="10" spans="1:2" x14ac:dyDescent="0.25">
      <c r="A10" s="222" t="s">
        <v>405</v>
      </c>
      <c r="B10" s="223" t="s">
        <v>404</v>
      </c>
    </row>
    <row r="11" spans="1:2" s="219" customFormat="1" ht="31.5" x14ac:dyDescent="0.25">
      <c r="A11" s="224" t="s">
        <v>494</v>
      </c>
      <c r="B11" s="225" t="s">
        <v>493</v>
      </c>
    </row>
    <row r="12" spans="1:2" x14ac:dyDescent="0.25">
      <c r="A12" s="222" t="s">
        <v>496</v>
      </c>
      <c r="B12" s="223" t="s">
        <v>495</v>
      </c>
    </row>
    <row r="13" spans="1:2" x14ac:dyDescent="0.25">
      <c r="A13" s="222" t="s">
        <v>512</v>
      </c>
      <c r="B13" s="223" t="s">
        <v>511</v>
      </c>
    </row>
    <row r="14" spans="1:2" x14ac:dyDescent="0.25">
      <c r="A14" s="222" t="s">
        <v>517</v>
      </c>
      <c r="B14" s="223" t="s">
        <v>516</v>
      </c>
    </row>
    <row r="15" spans="1:2" x14ac:dyDescent="0.25">
      <c r="A15" s="222" t="s">
        <v>520</v>
      </c>
      <c r="B15" s="223" t="s">
        <v>519</v>
      </c>
    </row>
    <row r="16" spans="1:2" x14ac:dyDescent="0.25">
      <c r="A16" s="222" t="s">
        <v>1570</v>
      </c>
      <c r="B16" s="223" t="s">
        <v>1425</v>
      </c>
    </row>
    <row r="17" spans="1:2" s="219" customFormat="1" ht="31.5" x14ac:dyDescent="0.25">
      <c r="A17" s="224" t="s">
        <v>489</v>
      </c>
      <c r="B17" s="225" t="s">
        <v>488</v>
      </c>
    </row>
    <row r="18" spans="1:2" ht="16.5" thickBot="1" x14ac:dyDescent="0.3">
      <c r="A18" s="226" t="s">
        <v>491</v>
      </c>
      <c r="B18" s="227" t="s">
        <v>490</v>
      </c>
    </row>
    <row r="19" spans="1:2" ht="32.25" thickBot="1" x14ac:dyDescent="0.3">
      <c r="A19" s="217" t="s">
        <v>367</v>
      </c>
      <c r="B19" s="228" t="s">
        <v>366</v>
      </c>
    </row>
    <row r="20" spans="1:2" s="219" customFormat="1" ht="31.5" x14ac:dyDescent="0.25">
      <c r="A20" s="220" t="s">
        <v>369</v>
      </c>
      <c r="B20" s="221" t="s">
        <v>368</v>
      </c>
    </row>
    <row r="21" spans="1:2" ht="31.5" x14ac:dyDescent="0.25">
      <c r="A21" s="222" t="s">
        <v>370</v>
      </c>
      <c r="B21" s="223" t="s">
        <v>1052</v>
      </c>
    </row>
    <row r="22" spans="1:2" ht="31.5" x14ac:dyDescent="0.25">
      <c r="A22" s="222" t="s">
        <v>409</v>
      </c>
      <c r="B22" s="223" t="s">
        <v>1053</v>
      </c>
    </row>
    <row r="23" spans="1:2" ht="31.5" x14ac:dyDescent="0.25">
      <c r="A23" s="222" t="s">
        <v>431</v>
      </c>
      <c r="B23" s="223" t="s">
        <v>1054</v>
      </c>
    </row>
    <row r="24" spans="1:2" x14ac:dyDescent="0.25">
      <c r="A24" s="287" t="s">
        <v>411</v>
      </c>
      <c r="B24" s="288" t="s">
        <v>1056</v>
      </c>
    </row>
    <row r="25" spans="1:2" ht="47.25" x14ac:dyDescent="0.25">
      <c r="A25" s="287" t="s">
        <v>388</v>
      </c>
      <c r="B25" s="288" t="s">
        <v>1058</v>
      </c>
    </row>
    <row r="26" spans="1:2" ht="31.5" x14ac:dyDescent="0.25">
      <c r="A26" s="287" t="s">
        <v>416</v>
      </c>
      <c r="B26" s="288" t="s">
        <v>1059</v>
      </c>
    </row>
    <row r="27" spans="1:2" x14ac:dyDescent="0.25">
      <c r="A27" s="287" t="s">
        <v>1055</v>
      </c>
      <c r="B27" s="288" t="s">
        <v>1330</v>
      </c>
    </row>
    <row r="28" spans="1:2" x14ac:dyDescent="0.25">
      <c r="A28" s="287" t="s">
        <v>1060</v>
      </c>
      <c r="B28" s="288" t="s">
        <v>1061</v>
      </c>
    </row>
    <row r="29" spans="1:2" x14ac:dyDescent="0.25">
      <c r="A29" s="287" t="s">
        <v>1057</v>
      </c>
      <c r="B29" s="288" t="s">
        <v>415</v>
      </c>
    </row>
    <row r="30" spans="1:2" x14ac:dyDescent="0.25">
      <c r="A30" s="287" t="s">
        <v>1603</v>
      </c>
      <c r="B30" s="288" t="s">
        <v>1493</v>
      </c>
    </row>
    <row r="31" spans="1:2" x14ac:dyDescent="0.25">
      <c r="A31" s="287" t="s">
        <v>1429</v>
      </c>
      <c r="B31" s="288" t="s">
        <v>1606</v>
      </c>
    </row>
    <row r="32" spans="1:2" ht="31.5" x14ac:dyDescent="0.25">
      <c r="A32" s="287" t="s">
        <v>418</v>
      </c>
      <c r="B32" s="289" t="s">
        <v>1090</v>
      </c>
    </row>
    <row r="33" spans="1:2" ht="31.5" x14ac:dyDescent="0.25">
      <c r="A33" s="226" t="s">
        <v>420</v>
      </c>
      <c r="B33" s="229" t="s">
        <v>419</v>
      </c>
    </row>
    <row r="34" spans="1:2" ht="31.5" x14ac:dyDescent="0.25">
      <c r="A34" s="226" t="s">
        <v>386</v>
      </c>
      <c r="B34" s="230" t="s">
        <v>385</v>
      </c>
    </row>
    <row r="35" spans="1:2" ht="47.25" x14ac:dyDescent="0.25">
      <c r="A35" s="226" t="s">
        <v>441</v>
      </c>
      <c r="B35" s="229" t="s">
        <v>1160</v>
      </c>
    </row>
    <row r="36" spans="1:2" ht="31.5" x14ac:dyDescent="0.25">
      <c r="A36" s="226" t="s">
        <v>387</v>
      </c>
      <c r="B36" s="229" t="s">
        <v>1161</v>
      </c>
    </row>
    <row r="37" spans="1:2" x14ac:dyDescent="0.25">
      <c r="A37" s="226" t="s">
        <v>422</v>
      </c>
      <c r="B37" s="229" t="s">
        <v>1089</v>
      </c>
    </row>
    <row r="38" spans="1:2" x14ac:dyDescent="0.25">
      <c r="A38" s="226" t="s">
        <v>1659</v>
      </c>
      <c r="B38" s="229" t="s">
        <v>1660</v>
      </c>
    </row>
    <row r="39" spans="1:2" ht="31.5" x14ac:dyDescent="0.25">
      <c r="A39" s="232" t="s">
        <v>1764</v>
      </c>
      <c r="B39" s="230" t="s">
        <v>1762</v>
      </c>
    </row>
    <row r="40" spans="1:2" ht="47.25" x14ac:dyDescent="0.25">
      <c r="A40" s="232" t="s">
        <v>1763</v>
      </c>
      <c r="B40" s="233" t="s">
        <v>1767</v>
      </c>
    </row>
    <row r="41" spans="1:2" x14ac:dyDescent="0.25">
      <c r="A41" s="232" t="s">
        <v>1765</v>
      </c>
      <c r="B41" s="233" t="s">
        <v>1766</v>
      </c>
    </row>
    <row r="42" spans="1:2" ht="16.5" thickBot="1" x14ac:dyDescent="0.3">
      <c r="A42" s="548"/>
      <c r="B42" s="885"/>
    </row>
    <row r="43" spans="1:2" ht="32.25" thickBot="1" x14ac:dyDescent="0.3">
      <c r="A43" s="217" t="s">
        <v>376</v>
      </c>
      <c r="B43" s="228" t="s">
        <v>375</v>
      </c>
    </row>
    <row r="44" spans="1:2" ht="31.5" x14ac:dyDescent="0.25">
      <c r="A44" s="231" t="s">
        <v>446</v>
      </c>
      <c r="B44" s="221" t="s">
        <v>445</v>
      </c>
    </row>
    <row r="45" spans="1:2" ht="31.5" x14ac:dyDescent="0.25">
      <c r="A45" s="232" t="s">
        <v>448</v>
      </c>
      <c r="B45" s="233" t="s">
        <v>447</v>
      </c>
    </row>
    <row r="46" spans="1:2" ht="31.5" x14ac:dyDescent="0.25">
      <c r="A46" s="232" t="s">
        <v>451</v>
      </c>
      <c r="B46" s="233" t="s">
        <v>450</v>
      </c>
    </row>
    <row r="47" spans="1:2" ht="31.5" x14ac:dyDescent="0.25">
      <c r="A47" s="232" t="s">
        <v>466</v>
      </c>
      <c r="B47" s="233" t="s">
        <v>465</v>
      </c>
    </row>
    <row r="48" spans="1:2" x14ac:dyDescent="0.25">
      <c r="A48" s="299" t="s">
        <v>1167</v>
      </c>
      <c r="B48" s="300" t="s">
        <v>1068</v>
      </c>
    </row>
    <row r="49" spans="1:2" x14ac:dyDescent="0.25">
      <c r="A49" s="299" t="s">
        <v>1323</v>
      </c>
      <c r="B49" s="300" t="s">
        <v>1699</v>
      </c>
    </row>
    <row r="50" spans="1:2" x14ac:dyDescent="0.25">
      <c r="A50" s="299" t="s">
        <v>1324</v>
      </c>
      <c r="B50" s="300" t="s">
        <v>1325</v>
      </c>
    </row>
    <row r="51" spans="1:2" ht="31.5" x14ac:dyDescent="0.25">
      <c r="A51" s="226" t="s">
        <v>378</v>
      </c>
      <c r="B51" s="234" t="s">
        <v>377</v>
      </c>
    </row>
    <row r="52" spans="1:2" ht="31.5" x14ac:dyDescent="0.25">
      <c r="A52" s="226" t="s">
        <v>379</v>
      </c>
      <c r="B52" s="235" t="s">
        <v>1342</v>
      </c>
    </row>
    <row r="53" spans="1:2" ht="31.5" x14ac:dyDescent="0.25">
      <c r="A53" s="226" t="s">
        <v>1341</v>
      </c>
      <c r="B53" s="235" t="s">
        <v>1343</v>
      </c>
    </row>
    <row r="54" spans="1:2" ht="32.25" thickBot="1" x14ac:dyDescent="0.3">
      <c r="A54" s="226" t="s">
        <v>1036</v>
      </c>
      <c r="B54" s="235" t="s">
        <v>1037</v>
      </c>
    </row>
    <row r="55" spans="1:2" ht="16.5" thickBot="1" x14ac:dyDescent="0.3">
      <c r="A55" s="217" t="s">
        <v>508</v>
      </c>
      <c r="B55" s="228" t="s">
        <v>507</v>
      </c>
    </row>
    <row r="56" spans="1:2" ht="48" thickBot="1" x14ac:dyDescent="0.3">
      <c r="A56" s="236" t="s">
        <v>509</v>
      </c>
      <c r="B56" s="237" t="s">
        <v>1683</v>
      </c>
    </row>
    <row r="57" spans="1:2" ht="48" thickBot="1" x14ac:dyDescent="0.3">
      <c r="A57" s="238" t="s">
        <v>525</v>
      </c>
      <c r="B57" s="239" t="s">
        <v>524</v>
      </c>
    </row>
    <row r="58" spans="1:2" ht="47.25" x14ac:dyDescent="0.25">
      <c r="A58" s="240" t="s">
        <v>527</v>
      </c>
      <c r="B58" s="241" t="s">
        <v>526</v>
      </c>
    </row>
    <row r="59" spans="1:2" ht="47.25" x14ac:dyDescent="0.25">
      <c r="A59" s="242" t="s">
        <v>551</v>
      </c>
      <c r="B59" s="243" t="s">
        <v>1321</v>
      </c>
    </row>
    <row r="60" spans="1:2" ht="31.5" x14ac:dyDescent="0.25">
      <c r="A60" s="242" t="s">
        <v>528</v>
      </c>
      <c r="B60" s="243" t="s">
        <v>1084</v>
      </c>
    </row>
    <row r="61" spans="1:2" ht="47.25" x14ac:dyDescent="0.25">
      <c r="A61" s="244" t="s">
        <v>554</v>
      </c>
      <c r="B61" s="245" t="s">
        <v>553</v>
      </c>
    </row>
    <row r="62" spans="1:2" ht="33" customHeight="1" x14ac:dyDescent="0.25">
      <c r="A62" s="242" t="s">
        <v>555</v>
      </c>
      <c r="B62" s="246" t="s">
        <v>1785</v>
      </c>
    </row>
    <row r="63" spans="1:2" ht="47.25" x14ac:dyDescent="0.25">
      <c r="A63" s="242" t="s">
        <v>595</v>
      </c>
      <c r="B63" s="246" t="s">
        <v>1086</v>
      </c>
    </row>
    <row r="64" spans="1:2" ht="47.25" x14ac:dyDescent="0.25">
      <c r="A64" s="244" t="s">
        <v>558</v>
      </c>
      <c r="B64" s="245" t="s">
        <v>557</v>
      </c>
    </row>
    <row r="65" spans="1:2" ht="31.5" x14ac:dyDescent="0.25">
      <c r="A65" s="244" t="s">
        <v>559</v>
      </c>
      <c r="B65" s="246" t="s">
        <v>1085</v>
      </c>
    </row>
    <row r="66" spans="1:2" x14ac:dyDescent="0.25">
      <c r="A66" s="244" t="s">
        <v>1375</v>
      </c>
      <c r="B66" s="246" t="s">
        <v>1376</v>
      </c>
    </row>
    <row r="67" spans="1:2" ht="47.25" x14ac:dyDescent="0.25">
      <c r="A67" s="244" t="s">
        <v>561</v>
      </c>
      <c r="B67" s="245" t="s">
        <v>560</v>
      </c>
    </row>
    <row r="68" spans="1:2" ht="31.5" x14ac:dyDescent="0.25">
      <c r="A68" s="242" t="s">
        <v>563</v>
      </c>
      <c r="B68" s="243" t="s">
        <v>562</v>
      </c>
    </row>
    <row r="69" spans="1:2" ht="31.5" x14ac:dyDescent="0.25">
      <c r="A69" s="242" t="s">
        <v>565</v>
      </c>
      <c r="B69" s="243" t="s">
        <v>564</v>
      </c>
    </row>
    <row r="70" spans="1:2" ht="31.5" x14ac:dyDescent="0.25">
      <c r="A70" s="173" t="s">
        <v>567</v>
      </c>
      <c r="B70" s="436" t="s">
        <v>566</v>
      </c>
    </row>
    <row r="71" spans="1:2" ht="31.5" x14ac:dyDescent="0.25">
      <c r="A71" s="173" t="s">
        <v>1381</v>
      </c>
      <c r="B71" s="436" t="s">
        <v>1380</v>
      </c>
    </row>
    <row r="72" spans="1:2" ht="47.25" x14ac:dyDescent="0.25">
      <c r="A72" s="173" t="s">
        <v>1701</v>
      </c>
      <c r="B72" s="436" t="s">
        <v>1702</v>
      </c>
    </row>
    <row r="73" spans="1:2" ht="32.25" thickBot="1" x14ac:dyDescent="0.3">
      <c r="A73" s="881" t="s">
        <v>529</v>
      </c>
      <c r="B73" s="882" t="s">
        <v>1759</v>
      </c>
    </row>
    <row r="74" spans="1:2" ht="16.5" thickBot="1" x14ac:dyDescent="0.3">
      <c r="A74" s="883" t="s">
        <v>530</v>
      </c>
      <c r="B74" s="884" t="s">
        <v>1760</v>
      </c>
    </row>
    <row r="75" spans="1:2" ht="32.25" thickBot="1" x14ac:dyDescent="0.3">
      <c r="A75" s="514" t="s">
        <v>540</v>
      </c>
      <c r="B75" s="515" t="s">
        <v>1373</v>
      </c>
    </row>
    <row r="76" spans="1:2" ht="31.5" x14ac:dyDescent="0.25">
      <c r="A76" s="516" t="s">
        <v>542</v>
      </c>
      <c r="B76" s="517" t="s">
        <v>541</v>
      </c>
    </row>
    <row r="77" spans="1:2" x14ac:dyDescent="0.25">
      <c r="A77" s="518" t="s">
        <v>544</v>
      </c>
      <c r="B77" s="519" t="s">
        <v>543</v>
      </c>
    </row>
    <row r="78" spans="1:2" ht="31.5" x14ac:dyDescent="0.25">
      <c r="A78" s="520" t="s">
        <v>547</v>
      </c>
      <c r="B78" s="521" t="s">
        <v>546</v>
      </c>
    </row>
    <row r="79" spans="1:2" ht="31.5" x14ac:dyDescent="0.25">
      <c r="A79" s="522" t="s">
        <v>549</v>
      </c>
      <c r="B79" s="523" t="s">
        <v>548</v>
      </c>
    </row>
    <row r="80" spans="1:2" ht="16.5" thickBot="1" x14ac:dyDescent="0.3">
      <c r="A80" s="522" t="s">
        <v>1368</v>
      </c>
      <c r="B80" s="524" t="s">
        <v>1369</v>
      </c>
    </row>
    <row r="81" spans="1:2" ht="48" thickBot="1" x14ac:dyDescent="0.3">
      <c r="A81" s="247" t="s">
        <v>598</v>
      </c>
      <c r="B81" s="248" t="s">
        <v>597</v>
      </c>
    </row>
    <row r="82" spans="1:2" ht="47.25" x14ac:dyDescent="0.25">
      <c r="A82" s="240" t="s">
        <v>600</v>
      </c>
      <c r="B82" s="249" t="s">
        <v>599</v>
      </c>
    </row>
    <row r="83" spans="1:2" ht="63" x14ac:dyDescent="0.25">
      <c r="A83" s="242" t="s">
        <v>602</v>
      </c>
      <c r="B83" s="250" t="s">
        <v>601</v>
      </c>
    </row>
    <row r="84" spans="1:2" ht="31.5" x14ac:dyDescent="0.25">
      <c r="A84" s="244" t="s">
        <v>604</v>
      </c>
      <c r="B84" s="251" t="s">
        <v>603</v>
      </c>
    </row>
    <row r="85" spans="1:2" ht="47.25" x14ac:dyDescent="0.25">
      <c r="A85" s="242" t="s">
        <v>606</v>
      </c>
      <c r="B85" s="250" t="s">
        <v>605</v>
      </c>
    </row>
    <row r="86" spans="1:2" ht="47.25" x14ac:dyDescent="0.25">
      <c r="A86" s="244" t="s">
        <v>608</v>
      </c>
      <c r="B86" s="251" t="s">
        <v>607</v>
      </c>
    </row>
    <row r="87" spans="1:2" ht="31.5" x14ac:dyDescent="0.25">
      <c r="A87" s="242" t="s">
        <v>610</v>
      </c>
      <c r="B87" s="250" t="s">
        <v>609</v>
      </c>
    </row>
    <row r="88" spans="1:2" ht="31.5" x14ac:dyDescent="0.25">
      <c r="A88" s="244" t="s">
        <v>612</v>
      </c>
      <c r="B88" s="251" t="s">
        <v>611</v>
      </c>
    </row>
    <row r="89" spans="1:2" ht="32.25" thickBot="1" x14ac:dyDescent="0.3">
      <c r="A89" s="252" t="s">
        <v>614</v>
      </c>
      <c r="B89" s="253" t="s">
        <v>613</v>
      </c>
    </row>
    <row r="90" spans="1:2" ht="48" thickBot="1" x14ac:dyDescent="0.3">
      <c r="A90" s="217" t="s">
        <v>337</v>
      </c>
      <c r="B90" s="239" t="s">
        <v>336</v>
      </c>
    </row>
    <row r="91" spans="1:2" ht="31.5" x14ac:dyDescent="0.25">
      <c r="A91" s="220" t="s">
        <v>347</v>
      </c>
      <c r="B91" s="241" t="s">
        <v>346</v>
      </c>
    </row>
    <row r="92" spans="1:2" ht="47.25" x14ac:dyDescent="0.25">
      <c r="A92" s="222" t="s">
        <v>349</v>
      </c>
      <c r="B92" s="246" t="s">
        <v>348</v>
      </c>
    </row>
    <row r="93" spans="1:2" ht="31.5" x14ac:dyDescent="0.25">
      <c r="A93" s="222" t="s">
        <v>351</v>
      </c>
      <c r="B93" s="246" t="s">
        <v>350</v>
      </c>
    </row>
    <row r="94" spans="1:2" ht="31.5" x14ac:dyDescent="0.25">
      <c r="A94" s="222" t="s">
        <v>353</v>
      </c>
      <c r="B94" s="251" t="s">
        <v>352</v>
      </c>
    </row>
    <row r="95" spans="1:2" ht="31.5" x14ac:dyDescent="0.25">
      <c r="A95" s="222" t="s">
        <v>355</v>
      </c>
      <c r="B95" s="243" t="s">
        <v>354</v>
      </c>
    </row>
    <row r="96" spans="1:2" ht="31.5" x14ac:dyDescent="0.25">
      <c r="A96" s="222" t="s">
        <v>338</v>
      </c>
      <c r="B96" s="251" t="s">
        <v>1444</v>
      </c>
    </row>
    <row r="97" spans="1:2" ht="31.5" x14ac:dyDescent="0.25">
      <c r="A97" s="222" t="s">
        <v>340</v>
      </c>
      <c r="B97" s="243" t="s">
        <v>339</v>
      </c>
    </row>
    <row r="98" spans="1:2" x14ac:dyDescent="0.25">
      <c r="A98" s="222" t="s">
        <v>342</v>
      </c>
      <c r="B98" s="243" t="s">
        <v>341</v>
      </c>
    </row>
    <row r="99" spans="1:2" ht="47.25" x14ac:dyDescent="0.25">
      <c r="A99" s="222" t="s">
        <v>345</v>
      </c>
      <c r="B99" s="243" t="s">
        <v>344</v>
      </c>
    </row>
    <row r="100" spans="1:2" ht="31.5" x14ac:dyDescent="0.25">
      <c r="A100" s="222" t="s">
        <v>1451</v>
      </c>
      <c r="B100" s="251" t="s">
        <v>1453</v>
      </c>
    </row>
    <row r="101" spans="1:2" ht="31.5" x14ac:dyDescent="0.25">
      <c r="A101" s="222" t="s">
        <v>1452</v>
      </c>
      <c r="B101" s="243" t="s">
        <v>1454</v>
      </c>
    </row>
    <row r="102" spans="1:2" s="254" customFormat="1" ht="48" thickBot="1" x14ac:dyDescent="0.3">
      <c r="A102" s="255" t="s">
        <v>318</v>
      </c>
      <c r="B102" s="256" t="s">
        <v>1436</v>
      </c>
    </row>
    <row r="103" spans="1:2" s="254" customFormat="1" hidden="1" x14ac:dyDescent="0.25">
      <c r="A103" s="231" t="s">
        <v>484</v>
      </c>
      <c r="B103" s="257"/>
    </row>
    <row r="104" spans="1:2" s="254" customFormat="1" ht="48" thickBot="1" x14ac:dyDescent="0.3">
      <c r="A104" s="222" t="s">
        <v>481</v>
      </c>
      <c r="B104" s="588" t="s">
        <v>1437</v>
      </c>
    </row>
    <row r="105" spans="1:2" ht="63.75" thickBot="1" x14ac:dyDescent="0.3">
      <c r="A105" s="217" t="s">
        <v>322</v>
      </c>
      <c r="B105" s="218" t="s">
        <v>1520</v>
      </c>
    </row>
    <row r="106" spans="1:2" ht="31.5" x14ac:dyDescent="0.25">
      <c r="A106" s="660" t="s">
        <v>323</v>
      </c>
      <c r="B106" s="714" t="s">
        <v>1692</v>
      </c>
    </row>
    <row r="107" spans="1:2" ht="47.25" x14ac:dyDescent="0.25">
      <c r="A107" s="232" t="s">
        <v>1518</v>
      </c>
      <c r="B107" s="212" t="s">
        <v>1693</v>
      </c>
    </row>
    <row r="108" spans="1:2" s="254" customFormat="1" ht="32.25" thickBot="1" x14ac:dyDescent="0.3">
      <c r="A108" s="255" t="s">
        <v>326</v>
      </c>
      <c r="B108" s="266" t="s">
        <v>325</v>
      </c>
    </row>
    <row r="109" spans="1:2" s="254" customFormat="1" x14ac:dyDescent="0.25">
      <c r="A109" s="259" t="s">
        <v>360</v>
      </c>
      <c r="B109" s="260" t="s">
        <v>1165</v>
      </c>
    </row>
    <row r="110" spans="1:2" ht="32.25" thickBot="1" x14ac:dyDescent="0.3">
      <c r="A110" s="236" t="s">
        <v>328</v>
      </c>
      <c r="B110" s="258" t="s">
        <v>327</v>
      </c>
    </row>
    <row r="111" spans="1:2" s="254" customFormat="1" ht="63.75" thickBot="1" x14ac:dyDescent="0.3">
      <c r="A111" s="217" t="s">
        <v>330</v>
      </c>
      <c r="B111" s="218" t="s">
        <v>1700</v>
      </c>
    </row>
    <row r="112" spans="1:2" s="254" customFormat="1" ht="47.25" x14ac:dyDescent="0.25">
      <c r="A112" s="259" t="s">
        <v>1687</v>
      </c>
      <c r="B112" s="260" t="s">
        <v>1684</v>
      </c>
    </row>
    <row r="113" spans="1:2" ht="32.25" thickBot="1" x14ac:dyDescent="0.3">
      <c r="A113" s="236" t="s">
        <v>1686</v>
      </c>
      <c r="B113" s="258" t="s">
        <v>1685</v>
      </c>
    </row>
    <row r="114" spans="1:2" s="254" customFormat="1" ht="32.25" thickBot="1" x14ac:dyDescent="0.3">
      <c r="A114" s="217" t="s">
        <v>426</v>
      </c>
      <c r="B114" s="218" t="s">
        <v>425</v>
      </c>
    </row>
    <row r="115" spans="1:2" x14ac:dyDescent="0.25">
      <c r="A115" s="236" t="s">
        <v>428</v>
      </c>
      <c r="B115" s="258" t="s">
        <v>427</v>
      </c>
    </row>
    <row r="116" spans="1:2" ht="16.5" thickBot="1" x14ac:dyDescent="0.3">
      <c r="A116" s="236" t="s">
        <v>1781</v>
      </c>
      <c r="B116" s="258" t="s">
        <v>1782</v>
      </c>
    </row>
    <row r="117" spans="1:2" ht="32.25" thickBot="1" x14ac:dyDescent="0.3">
      <c r="A117" s="217" t="s">
        <v>533</v>
      </c>
      <c r="B117" s="248" t="s">
        <v>532</v>
      </c>
    </row>
    <row r="118" spans="1:2" ht="47.25" x14ac:dyDescent="0.25">
      <c r="A118" s="231" t="s">
        <v>535</v>
      </c>
      <c r="B118" s="261" t="s">
        <v>534</v>
      </c>
    </row>
    <row r="119" spans="1:2" ht="47.25" x14ac:dyDescent="0.25">
      <c r="A119" s="222" t="s">
        <v>537</v>
      </c>
      <c r="B119" s="246" t="s">
        <v>536</v>
      </c>
    </row>
    <row r="120" spans="1:2" ht="31.5" x14ac:dyDescent="0.25">
      <c r="A120" s="222" t="s">
        <v>539</v>
      </c>
      <c r="B120" s="246" t="s">
        <v>538</v>
      </c>
    </row>
    <row r="121" spans="1:2" ht="32.25" thickBot="1" x14ac:dyDescent="0.3">
      <c r="A121" s="236" t="s">
        <v>1194</v>
      </c>
      <c r="B121" s="246" t="s">
        <v>1195</v>
      </c>
    </row>
    <row r="122" spans="1:2" ht="32.25" thickBot="1" x14ac:dyDescent="0.3">
      <c r="A122" s="507" t="s">
        <v>622</v>
      </c>
      <c r="B122" s="508" t="s">
        <v>621</v>
      </c>
    </row>
    <row r="123" spans="1:2" ht="47.25" x14ac:dyDescent="0.25">
      <c r="A123" s="509" t="s">
        <v>625</v>
      </c>
      <c r="B123" s="510" t="s">
        <v>624</v>
      </c>
    </row>
    <row r="124" spans="1:2" ht="31.5" x14ac:dyDescent="0.25">
      <c r="A124" s="511" t="s">
        <v>628</v>
      </c>
      <c r="B124" s="512" t="s">
        <v>627</v>
      </c>
    </row>
    <row r="125" spans="1:2" ht="31.5" x14ac:dyDescent="0.25">
      <c r="A125" s="509" t="s">
        <v>631</v>
      </c>
      <c r="B125" s="510" t="s">
        <v>630</v>
      </c>
    </row>
    <row r="126" spans="1:2" ht="31.5" x14ac:dyDescent="0.25">
      <c r="A126" s="240" t="s">
        <v>633</v>
      </c>
      <c r="B126" s="263" t="s">
        <v>632</v>
      </c>
    </row>
    <row r="127" spans="1:2" x14ac:dyDescent="0.25">
      <c r="A127" s="240" t="s">
        <v>636</v>
      </c>
      <c r="B127" s="263" t="s">
        <v>635</v>
      </c>
    </row>
    <row r="128" spans="1:2" x14ac:dyDescent="0.25">
      <c r="A128" s="240" t="s">
        <v>637</v>
      </c>
      <c r="B128" s="262" t="s">
        <v>1063</v>
      </c>
    </row>
    <row r="129" spans="1:2" x14ac:dyDescent="0.25">
      <c r="A129" s="175" t="s">
        <v>1196</v>
      </c>
      <c r="B129" s="262" t="s">
        <v>1197</v>
      </c>
    </row>
    <row r="130" spans="1:2" ht="31.5" x14ac:dyDescent="0.25">
      <c r="A130" s="343" t="s">
        <v>640</v>
      </c>
      <c r="B130" s="384" t="s">
        <v>639</v>
      </c>
    </row>
    <row r="131" spans="1:2" ht="31.5" x14ac:dyDescent="0.25">
      <c r="A131" s="240" t="s">
        <v>642</v>
      </c>
      <c r="B131" s="241" t="s">
        <v>641</v>
      </c>
    </row>
    <row r="132" spans="1:2" ht="31.5" x14ac:dyDescent="0.25">
      <c r="A132" s="242" t="s">
        <v>644</v>
      </c>
      <c r="B132" s="243" t="s">
        <v>643</v>
      </c>
    </row>
    <row r="133" spans="1:2" ht="31.5" x14ac:dyDescent="0.25">
      <c r="A133" s="244" t="s">
        <v>645</v>
      </c>
      <c r="B133" s="245" t="s">
        <v>1442</v>
      </c>
    </row>
    <row r="134" spans="1:2" ht="31.5" x14ac:dyDescent="0.25">
      <c r="A134" s="242" t="s">
        <v>647</v>
      </c>
      <c r="B134" s="250" t="s">
        <v>646</v>
      </c>
    </row>
    <row r="135" spans="1:2" ht="31.5" x14ac:dyDescent="0.25">
      <c r="A135" s="242" t="s">
        <v>649</v>
      </c>
      <c r="B135" s="250" t="s">
        <v>648</v>
      </c>
    </row>
    <row r="136" spans="1:2" x14ac:dyDescent="0.25">
      <c r="A136" s="173" t="s">
        <v>650</v>
      </c>
      <c r="B136" s="298" t="s">
        <v>1523</v>
      </c>
    </row>
    <row r="137" spans="1:2" ht="31.5" x14ac:dyDescent="0.25">
      <c r="A137" s="173" t="s">
        <v>1583</v>
      </c>
      <c r="B137" s="263" t="s">
        <v>1613</v>
      </c>
    </row>
    <row r="138" spans="1:2" ht="63" x14ac:dyDescent="0.25">
      <c r="A138" s="240" t="s">
        <v>1391</v>
      </c>
      <c r="B138" s="241" t="s">
        <v>1450</v>
      </c>
    </row>
    <row r="139" spans="1:2" ht="31.5" x14ac:dyDescent="0.25">
      <c r="A139" s="242" t="s">
        <v>1392</v>
      </c>
      <c r="B139" s="243" t="s">
        <v>1390</v>
      </c>
    </row>
    <row r="140" spans="1:2" ht="31.5" x14ac:dyDescent="0.25">
      <c r="A140" s="240" t="s">
        <v>1393</v>
      </c>
      <c r="B140" s="241" t="s">
        <v>1395</v>
      </c>
    </row>
    <row r="141" spans="1:2" x14ac:dyDescent="0.25">
      <c r="A141" s="242" t="s">
        <v>1394</v>
      </c>
      <c r="B141" s="243" t="s">
        <v>1432</v>
      </c>
    </row>
    <row r="142" spans="1:2" ht="32.25" thickBot="1" x14ac:dyDescent="0.3">
      <c r="A142" s="513" t="s">
        <v>652</v>
      </c>
      <c r="B142" s="525" t="s">
        <v>651</v>
      </c>
    </row>
    <row r="143" spans="1:2" ht="16.5" thickBot="1" x14ac:dyDescent="0.3">
      <c r="A143" s="526" t="s">
        <v>654</v>
      </c>
      <c r="B143" s="527" t="s">
        <v>653</v>
      </c>
    </row>
    <row r="144" spans="1:2" ht="31.5" x14ac:dyDescent="0.25">
      <c r="A144" s="295" t="s">
        <v>1026</v>
      </c>
      <c r="B144" s="296" t="s">
        <v>1039</v>
      </c>
    </row>
    <row r="145" spans="1:2" x14ac:dyDescent="0.25">
      <c r="A145" s="173" t="s">
        <v>1027</v>
      </c>
      <c r="B145" s="298" t="s">
        <v>1087</v>
      </c>
    </row>
    <row r="146" spans="1:2" ht="31.5" x14ac:dyDescent="0.25">
      <c r="A146" s="173" t="s">
        <v>1067</v>
      </c>
      <c r="B146" s="262" t="s">
        <v>1088</v>
      </c>
    </row>
    <row r="147" spans="1:2" ht="32.25" thickBot="1" x14ac:dyDescent="0.3">
      <c r="A147" s="264" t="s">
        <v>1038</v>
      </c>
      <c r="B147" s="297" t="s">
        <v>1062</v>
      </c>
    </row>
    <row r="148" spans="1:2" ht="31.5" x14ac:dyDescent="0.25">
      <c r="A148" s="178" t="s">
        <v>1040</v>
      </c>
      <c r="B148" s="282" t="s">
        <v>1041</v>
      </c>
    </row>
    <row r="149" spans="1:2" ht="48" thickBot="1" x14ac:dyDescent="0.3">
      <c r="A149" s="177" t="s">
        <v>1042</v>
      </c>
      <c r="B149" s="283" t="s">
        <v>1043</v>
      </c>
    </row>
    <row r="150" spans="1:2" ht="32.25" thickBot="1" x14ac:dyDescent="0.3">
      <c r="A150" s="281" t="s">
        <v>1044</v>
      </c>
      <c r="B150" s="284" t="s">
        <v>474</v>
      </c>
    </row>
    <row r="151" spans="1:2" x14ac:dyDescent="0.25">
      <c r="A151" s="285" t="s">
        <v>1045</v>
      </c>
      <c r="B151" s="339" t="s">
        <v>1129</v>
      </c>
    </row>
    <row r="152" spans="1:2" x14ac:dyDescent="0.25">
      <c r="A152" s="173" t="s">
        <v>1130</v>
      </c>
      <c r="B152" s="18" t="s">
        <v>1131</v>
      </c>
    </row>
    <row r="153" spans="1:2" ht="16.5" thickBot="1" x14ac:dyDescent="0.3">
      <c r="A153" s="177" t="s">
        <v>1132</v>
      </c>
      <c r="B153" s="340" t="s">
        <v>1133</v>
      </c>
    </row>
    <row r="154" spans="1:2" ht="32.25" thickBot="1" x14ac:dyDescent="0.3">
      <c r="A154" s="238" t="s">
        <v>1134</v>
      </c>
      <c r="B154" s="341" t="s">
        <v>1135</v>
      </c>
    </row>
    <row r="155" spans="1:2" x14ac:dyDescent="0.25">
      <c r="A155" s="285" t="s">
        <v>1152</v>
      </c>
      <c r="B155" s="339" t="s">
        <v>1611</v>
      </c>
    </row>
    <row r="156" spans="1:2" x14ac:dyDescent="0.25">
      <c r="A156" s="173" t="s">
        <v>1153</v>
      </c>
      <c r="B156" s="875" t="s">
        <v>1709</v>
      </c>
    </row>
    <row r="157" spans="1:2" ht="31.5" x14ac:dyDescent="0.25">
      <c r="A157" s="222" t="s">
        <v>1154</v>
      </c>
      <c r="B157" s="395" t="s">
        <v>1312</v>
      </c>
    </row>
    <row r="158" spans="1:2" x14ac:dyDescent="0.25">
      <c r="A158" s="222" t="s">
        <v>1314</v>
      </c>
      <c r="B158" s="395" t="s">
        <v>1315</v>
      </c>
    </row>
    <row r="159" spans="1:2" ht="48" thickBot="1" x14ac:dyDescent="0.3">
      <c r="A159" s="264" t="s">
        <v>1136</v>
      </c>
      <c r="B159" s="394" t="s">
        <v>1320</v>
      </c>
    </row>
    <row r="160" spans="1:2" ht="16.5" thickBot="1" x14ac:dyDescent="0.3">
      <c r="A160" s="285" t="s">
        <v>1137</v>
      </c>
      <c r="B160" s="342" t="s">
        <v>1138</v>
      </c>
    </row>
    <row r="161" spans="1:2" ht="47.25" x14ac:dyDescent="0.25">
      <c r="A161" s="381" t="s">
        <v>1188</v>
      </c>
      <c r="B161" s="382" t="s">
        <v>1190</v>
      </c>
    </row>
    <row r="162" spans="1:2" ht="31.5" x14ac:dyDescent="0.25">
      <c r="A162" s="242" t="s">
        <v>1189</v>
      </c>
      <c r="B162" s="385" t="s">
        <v>1191</v>
      </c>
    </row>
    <row r="163" spans="1:2" ht="16.5" thickBot="1" x14ac:dyDescent="0.3">
      <c r="A163" s="386" t="s">
        <v>1192</v>
      </c>
      <c r="B163" s="387" t="s">
        <v>1193</v>
      </c>
    </row>
    <row r="164" spans="1:2" ht="31.5" x14ac:dyDescent="0.25">
      <c r="A164" s="381" t="s">
        <v>1335</v>
      </c>
      <c r="B164" s="382" t="s">
        <v>1338</v>
      </c>
    </row>
    <row r="165" spans="1:2" ht="29.25" customHeight="1" x14ac:dyDescent="0.25">
      <c r="A165" s="242" t="s">
        <v>1336</v>
      </c>
      <c r="B165" s="385" t="s">
        <v>1339</v>
      </c>
    </row>
    <row r="166" spans="1:2" x14ac:dyDescent="0.25">
      <c r="A166" s="242" t="s">
        <v>1337</v>
      </c>
      <c r="B166" s="431" t="s">
        <v>1382</v>
      </c>
    </row>
    <row r="167" spans="1:2" ht="31.5" x14ac:dyDescent="0.25">
      <c r="A167" s="505" t="s">
        <v>1411</v>
      </c>
      <c r="B167" s="506" t="s">
        <v>1373</v>
      </c>
    </row>
    <row r="168" spans="1:2" ht="31.5" x14ac:dyDescent="0.25">
      <c r="A168" s="503" t="s">
        <v>1412</v>
      </c>
      <c r="B168" s="504" t="s">
        <v>1415</v>
      </c>
    </row>
    <row r="169" spans="1:2" ht="37.5" customHeight="1" x14ac:dyDescent="0.25">
      <c r="A169" s="503" t="s">
        <v>1413</v>
      </c>
      <c r="B169" s="504" t="s">
        <v>1423</v>
      </c>
    </row>
    <row r="170" spans="1:2" ht="54.95" customHeight="1" x14ac:dyDescent="0.25">
      <c r="A170" s="503" t="s">
        <v>1577</v>
      </c>
      <c r="B170" s="504" t="s">
        <v>1578</v>
      </c>
    </row>
    <row r="171" spans="1:2" x14ac:dyDescent="0.25">
      <c r="A171" s="503" t="s">
        <v>1414</v>
      </c>
      <c r="B171" s="504" t="s">
        <v>1433</v>
      </c>
    </row>
    <row r="172" spans="1:2" ht="31.5" x14ac:dyDescent="0.25">
      <c r="A172" s="505" t="s">
        <v>1416</v>
      </c>
      <c r="B172" s="506" t="s">
        <v>1443</v>
      </c>
    </row>
    <row r="173" spans="1:2" ht="31.5" x14ac:dyDescent="0.25">
      <c r="A173" s="503" t="s">
        <v>1418</v>
      </c>
      <c r="B173" s="504" t="s">
        <v>1417</v>
      </c>
    </row>
    <row r="174" spans="1:2" ht="31.5" x14ac:dyDescent="0.25">
      <c r="A174" s="505" t="s">
        <v>1460</v>
      </c>
      <c r="B174" s="506" t="s">
        <v>1609</v>
      </c>
    </row>
    <row r="175" spans="1:2" ht="31.5" x14ac:dyDescent="0.25">
      <c r="A175" s="503" t="s">
        <v>1461</v>
      </c>
      <c r="B175" s="504" t="s">
        <v>1610</v>
      </c>
    </row>
    <row r="176" spans="1:2" ht="31.5" x14ac:dyDescent="0.25">
      <c r="A176" s="505" t="s">
        <v>1675</v>
      </c>
      <c r="B176" s="506" t="s">
        <v>1678</v>
      </c>
    </row>
    <row r="177" spans="1:2" x14ac:dyDescent="0.25">
      <c r="A177" s="503" t="s">
        <v>1676</v>
      </c>
      <c r="B177" s="504" t="s">
        <v>1679</v>
      </c>
    </row>
    <row r="178" spans="1:2" ht="31.5" x14ac:dyDescent="0.25">
      <c r="A178" s="503" t="s">
        <v>1677</v>
      </c>
      <c r="B178" s="504" t="s">
        <v>1680</v>
      </c>
    </row>
    <row r="179" spans="1:2" ht="31.5" x14ac:dyDescent="0.25">
      <c r="A179" s="505" t="s">
        <v>1694</v>
      </c>
      <c r="B179" s="506" t="s">
        <v>1696</v>
      </c>
    </row>
    <row r="180" spans="1:2" ht="47.25" x14ac:dyDescent="0.25">
      <c r="A180" s="503" t="s">
        <v>1695</v>
      </c>
      <c r="B180" s="504" t="s">
        <v>1697</v>
      </c>
    </row>
    <row r="181" spans="1:2" x14ac:dyDescent="0.25">
      <c r="A181" s="265" t="s">
        <v>311</v>
      </c>
      <c r="B181" s="94" t="s">
        <v>310</v>
      </c>
    </row>
    <row r="182" spans="1:2" x14ac:dyDescent="0.25">
      <c r="A182" s="265" t="s">
        <v>1530</v>
      </c>
      <c r="B182" s="94" t="s">
        <v>310</v>
      </c>
    </row>
    <row r="183" spans="1:2" x14ac:dyDescent="0.25">
      <c r="A183" s="833" t="s">
        <v>478</v>
      </c>
      <c r="B183" s="94" t="s">
        <v>477</v>
      </c>
    </row>
    <row r="184" spans="1:2" x14ac:dyDescent="0.25">
      <c r="A184" s="834"/>
      <c r="B184" s="83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7"/>
  <sheetViews>
    <sheetView topLeftCell="A274" workbookViewId="0">
      <selection activeCell="B283" sqref="B283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937</v>
      </c>
      <c r="B1" s="206" t="s">
        <v>938</v>
      </c>
    </row>
    <row r="2" spans="1:2" ht="31.5" x14ac:dyDescent="0.25">
      <c r="A2" s="207" t="s">
        <v>939</v>
      </c>
      <c r="B2" s="91" t="s">
        <v>1344</v>
      </c>
    </row>
    <row r="3" spans="1:2" ht="31.5" x14ac:dyDescent="0.25">
      <c r="A3" s="207" t="s">
        <v>940</v>
      </c>
      <c r="B3" s="91" t="s">
        <v>941</v>
      </c>
    </row>
    <row r="4" spans="1:2" ht="15.75" x14ac:dyDescent="0.25">
      <c r="A4" s="208">
        <v>10010</v>
      </c>
      <c r="B4" s="91" t="s">
        <v>556</v>
      </c>
    </row>
    <row r="5" spans="1:2" ht="15.75" x14ac:dyDescent="0.25">
      <c r="A5" s="208">
        <v>10020</v>
      </c>
      <c r="B5" s="91" t="s">
        <v>942</v>
      </c>
    </row>
    <row r="6" spans="1:2" ht="15.75" x14ac:dyDescent="0.25">
      <c r="A6" s="208">
        <v>10030</v>
      </c>
      <c r="B6" s="91" t="s">
        <v>1047</v>
      </c>
    </row>
    <row r="7" spans="1:2" ht="15.75" x14ac:dyDescent="0.25">
      <c r="A7" s="208">
        <v>10040</v>
      </c>
      <c r="B7" s="912" t="s">
        <v>1786</v>
      </c>
    </row>
    <row r="8" spans="1:2" ht="15.75" x14ac:dyDescent="0.25">
      <c r="A8" s="208">
        <v>10051</v>
      </c>
      <c r="B8" s="91" t="s">
        <v>1434</v>
      </c>
    </row>
    <row r="9" spans="1:2" ht="50.25" customHeight="1" x14ac:dyDescent="0.25">
      <c r="A9" s="208">
        <v>10052</v>
      </c>
      <c r="B9" s="91" t="s">
        <v>1435</v>
      </c>
    </row>
    <row r="10" spans="1:2" ht="15.75" x14ac:dyDescent="0.25">
      <c r="A10" s="208">
        <v>10060</v>
      </c>
      <c r="B10" s="91" t="s">
        <v>1420</v>
      </c>
    </row>
    <row r="11" spans="1:2" ht="15.75" x14ac:dyDescent="0.25">
      <c r="A11" s="208">
        <v>10070</v>
      </c>
      <c r="B11" s="269" t="s">
        <v>1345</v>
      </c>
    </row>
    <row r="12" spans="1:2" ht="15.75" x14ac:dyDescent="0.25">
      <c r="A12" s="208">
        <v>10080</v>
      </c>
      <c r="B12" s="91" t="s">
        <v>1198</v>
      </c>
    </row>
    <row r="13" spans="1:2" ht="31.5" x14ac:dyDescent="0.25">
      <c r="A13" s="208">
        <v>10090</v>
      </c>
      <c r="B13" s="91" t="s">
        <v>943</v>
      </c>
    </row>
    <row r="14" spans="1:2" ht="15.75" x14ac:dyDescent="0.25">
      <c r="A14" s="208">
        <v>10100</v>
      </c>
      <c r="B14" s="210" t="s">
        <v>1050</v>
      </c>
    </row>
    <row r="15" spans="1:2" ht="15.75" x14ac:dyDescent="0.25">
      <c r="A15" s="208">
        <v>10110</v>
      </c>
      <c r="B15" s="91" t="s">
        <v>1051</v>
      </c>
    </row>
    <row r="16" spans="1:2" ht="15.75" x14ac:dyDescent="0.25">
      <c r="A16" s="208">
        <v>10200</v>
      </c>
      <c r="B16" s="210" t="s">
        <v>545</v>
      </c>
    </row>
    <row r="17" spans="1:2" ht="31.5" x14ac:dyDescent="0.25">
      <c r="A17" s="208">
        <v>10210</v>
      </c>
      <c r="B17" s="91" t="s">
        <v>944</v>
      </c>
    </row>
    <row r="18" spans="1:2" ht="15.75" x14ac:dyDescent="0.25">
      <c r="A18" s="208">
        <v>10220</v>
      </c>
      <c r="B18" s="91" t="s">
        <v>945</v>
      </c>
    </row>
    <row r="19" spans="1:2" ht="15.75" x14ac:dyDescent="0.25">
      <c r="A19" s="208">
        <v>10230</v>
      </c>
      <c r="B19" s="269" t="s">
        <v>1521</v>
      </c>
    </row>
    <row r="20" spans="1:2" ht="15.75" x14ac:dyDescent="0.25">
      <c r="A20" s="208">
        <v>10240</v>
      </c>
      <c r="B20" s="91" t="s">
        <v>946</v>
      </c>
    </row>
    <row r="21" spans="1:2" ht="15.75" x14ac:dyDescent="0.25">
      <c r="A21" s="208">
        <v>10300</v>
      </c>
      <c r="B21" s="91" t="s">
        <v>1046</v>
      </c>
    </row>
    <row r="22" spans="1:2" ht="15.75" x14ac:dyDescent="0.25">
      <c r="A22" s="208">
        <v>10360</v>
      </c>
      <c r="B22" s="91" t="s">
        <v>947</v>
      </c>
    </row>
    <row r="23" spans="1:2" ht="15.75" x14ac:dyDescent="0.25">
      <c r="A23" s="208">
        <v>10370</v>
      </c>
      <c r="B23" s="91" t="s">
        <v>364</v>
      </c>
    </row>
    <row r="24" spans="1:2" ht="31.5" x14ac:dyDescent="0.25">
      <c r="A24" s="208">
        <v>10371</v>
      </c>
      <c r="B24" s="91" t="s">
        <v>1783</v>
      </c>
    </row>
    <row r="25" spans="1:2" ht="15.75" x14ac:dyDescent="0.25">
      <c r="A25" s="208">
        <v>10400</v>
      </c>
      <c r="B25" s="91" t="s">
        <v>531</v>
      </c>
    </row>
    <row r="26" spans="1:2" ht="15.75" x14ac:dyDescent="0.25">
      <c r="A26" s="208">
        <v>10410</v>
      </c>
      <c r="B26" s="360" t="s">
        <v>1419</v>
      </c>
    </row>
    <row r="27" spans="1:2" ht="15.75" x14ac:dyDescent="0.25">
      <c r="A27" s="208">
        <v>10420</v>
      </c>
      <c r="B27" s="361" t="s">
        <v>1185</v>
      </c>
    </row>
    <row r="28" spans="1:2" ht="31.5" x14ac:dyDescent="0.25">
      <c r="A28" s="208">
        <v>10430</v>
      </c>
      <c r="B28" s="91" t="s">
        <v>1340</v>
      </c>
    </row>
    <row r="29" spans="1:2" ht="15.75" x14ac:dyDescent="0.25">
      <c r="A29" s="208">
        <v>10440</v>
      </c>
      <c r="B29" s="91" t="s">
        <v>1383</v>
      </c>
    </row>
    <row r="30" spans="1:2" ht="31.5" x14ac:dyDescent="0.25">
      <c r="A30" s="208">
        <v>10470</v>
      </c>
      <c r="B30" s="91" t="s">
        <v>413</v>
      </c>
    </row>
    <row r="31" spans="1:2" ht="15.75" x14ac:dyDescent="0.25">
      <c r="A31" s="208">
        <v>10500</v>
      </c>
      <c r="B31" s="91" t="s">
        <v>948</v>
      </c>
    </row>
    <row r="32" spans="1:2" ht="15.75" x14ac:dyDescent="0.25">
      <c r="A32" s="208">
        <v>10510</v>
      </c>
      <c r="B32" s="91" t="s">
        <v>363</v>
      </c>
    </row>
    <row r="33" spans="1:2" ht="15.75" x14ac:dyDescent="0.25">
      <c r="A33" s="208">
        <v>10520</v>
      </c>
      <c r="B33" s="91"/>
    </row>
    <row r="34" spans="1:2" ht="15.75" x14ac:dyDescent="0.25">
      <c r="A34" s="208">
        <v>10530</v>
      </c>
      <c r="B34" s="91" t="s">
        <v>1199</v>
      </c>
    </row>
    <row r="35" spans="1:2" ht="15.75" x14ac:dyDescent="0.25">
      <c r="A35" s="208">
        <v>10600</v>
      </c>
      <c r="B35" s="91" t="s">
        <v>1124</v>
      </c>
    </row>
    <row r="36" spans="1:2" ht="15.75" x14ac:dyDescent="0.25">
      <c r="A36" s="208">
        <v>10650</v>
      </c>
      <c r="B36" s="91" t="s">
        <v>1579</v>
      </c>
    </row>
    <row r="37" spans="1:2" ht="15.75" x14ac:dyDescent="0.25">
      <c r="A37" s="208">
        <v>10700</v>
      </c>
      <c r="B37" s="91" t="s">
        <v>1162</v>
      </c>
    </row>
    <row r="38" spans="1:2" ht="15.75" x14ac:dyDescent="0.25">
      <c r="A38" s="208">
        <v>10701</v>
      </c>
      <c r="B38" s="91" t="s">
        <v>1163</v>
      </c>
    </row>
    <row r="39" spans="1:2" ht="31.5" x14ac:dyDescent="0.25">
      <c r="A39" s="208">
        <v>10702</v>
      </c>
      <c r="B39" s="91" t="s">
        <v>1164</v>
      </c>
    </row>
    <row r="40" spans="1:2" ht="15.75" x14ac:dyDescent="0.25">
      <c r="A40" s="208">
        <v>10703</v>
      </c>
      <c r="B40" s="91" t="s">
        <v>1170</v>
      </c>
    </row>
    <row r="41" spans="1:2" ht="15.75" x14ac:dyDescent="0.25">
      <c r="A41" s="208">
        <v>10704</v>
      </c>
      <c r="B41" s="91" t="s">
        <v>1200</v>
      </c>
    </row>
    <row r="42" spans="1:2" ht="17.649999999999999" customHeight="1" x14ac:dyDescent="0.25">
      <c r="A42" s="208">
        <v>10710</v>
      </c>
      <c r="B42" s="91" t="s">
        <v>949</v>
      </c>
    </row>
    <row r="43" spans="1:2" ht="15.75" x14ac:dyDescent="0.25">
      <c r="A43" s="208">
        <v>10800</v>
      </c>
      <c r="B43" s="91" t="s">
        <v>485</v>
      </c>
    </row>
    <row r="44" spans="1:2" ht="15.75" x14ac:dyDescent="0.25">
      <c r="A44" s="208">
        <v>10880</v>
      </c>
      <c r="B44" s="91" t="s">
        <v>552</v>
      </c>
    </row>
    <row r="45" spans="1:2" ht="15.75" x14ac:dyDescent="0.25">
      <c r="A45" s="208">
        <v>10900</v>
      </c>
      <c r="B45" s="91" t="s">
        <v>492</v>
      </c>
    </row>
    <row r="46" spans="1:2" ht="15.75" x14ac:dyDescent="0.25">
      <c r="A46" s="208">
        <v>11000</v>
      </c>
      <c r="B46" s="91" t="s">
        <v>389</v>
      </c>
    </row>
    <row r="47" spans="1:2" ht="31.5" x14ac:dyDescent="0.25">
      <c r="A47" s="208">
        <v>11280</v>
      </c>
      <c r="B47" s="91" t="s">
        <v>1439</v>
      </c>
    </row>
    <row r="48" spans="1:2" ht="31.5" x14ac:dyDescent="0.25">
      <c r="A48" s="208">
        <v>11430</v>
      </c>
      <c r="B48" s="91" t="s">
        <v>406</v>
      </c>
    </row>
    <row r="49" spans="1:2" ht="31.5" x14ac:dyDescent="0.25">
      <c r="A49" s="208">
        <v>11690</v>
      </c>
      <c r="B49" s="91" t="s">
        <v>1698</v>
      </c>
    </row>
    <row r="50" spans="1:2" ht="15.75" x14ac:dyDescent="0.25">
      <c r="A50" s="208">
        <v>12010</v>
      </c>
      <c r="B50" s="91" t="s">
        <v>313</v>
      </c>
    </row>
    <row r="51" spans="1:2" ht="15.75" x14ac:dyDescent="0.25">
      <c r="A51" s="208">
        <v>12020</v>
      </c>
      <c r="B51" s="91" t="s">
        <v>312</v>
      </c>
    </row>
    <row r="52" spans="1:2" ht="15.75" x14ac:dyDescent="0.25">
      <c r="A52" s="208">
        <v>12030</v>
      </c>
      <c r="B52" s="91" t="s">
        <v>569</v>
      </c>
    </row>
    <row r="53" spans="1:2" ht="15.75" x14ac:dyDescent="0.25">
      <c r="A53" s="208">
        <v>12040</v>
      </c>
      <c r="B53" s="91" t="s">
        <v>1346</v>
      </c>
    </row>
    <row r="54" spans="1:2" ht="15.75" x14ac:dyDescent="0.25">
      <c r="A54" s="208">
        <v>12080</v>
      </c>
      <c r="B54" s="91" t="s">
        <v>331</v>
      </c>
    </row>
    <row r="55" spans="1:2" ht="15.75" x14ac:dyDescent="0.25">
      <c r="A55" s="208">
        <v>12090</v>
      </c>
      <c r="B55" s="91" t="s">
        <v>361</v>
      </c>
    </row>
    <row r="56" spans="1:2" ht="15.75" x14ac:dyDescent="0.25">
      <c r="A56" s="208">
        <v>12100</v>
      </c>
      <c r="B56" s="91" t="s">
        <v>332</v>
      </c>
    </row>
    <row r="57" spans="1:2" ht="15.75" x14ac:dyDescent="0.25">
      <c r="A57" s="208">
        <v>12130</v>
      </c>
      <c r="B57" s="331" t="s">
        <v>358</v>
      </c>
    </row>
    <row r="58" spans="1:2" ht="15.75" x14ac:dyDescent="0.25">
      <c r="A58" s="208">
        <v>12200</v>
      </c>
      <c r="B58" s="91" t="s">
        <v>324</v>
      </c>
    </row>
    <row r="59" spans="1:2" ht="15.75" x14ac:dyDescent="0.25">
      <c r="A59" s="208">
        <v>12210</v>
      </c>
      <c r="B59" s="91" t="s">
        <v>329</v>
      </c>
    </row>
    <row r="60" spans="1:2" ht="15.75" x14ac:dyDescent="0.25">
      <c r="A60" s="208">
        <v>12220</v>
      </c>
      <c r="B60" s="91" t="s">
        <v>321</v>
      </c>
    </row>
    <row r="61" spans="1:2" ht="15.75" x14ac:dyDescent="0.25">
      <c r="A61" s="208">
        <v>12240</v>
      </c>
      <c r="B61" s="91" t="s">
        <v>1119</v>
      </c>
    </row>
    <row r="62" spans="1:2" ht="31.5" x14ac:dyDescent="0.25">
      <c r="A62" s="208">
        <v>12241</v>
      </c>
      <c r="B62" s="331" t="s">
        <v>1118</v>
      </c>
    </row>
    <row r="63" spans="1:2" ht="15.75" x14ac:dyDescent="0.25">
      <c r="A63" s="208">
        <v>12250</v>
      </c>
      <c r="B63" s="331" t="s">
        <v>429</v>
      </c>
    </row>
    <row r="64" spans="1:2" ht="15.75" x14ac:dyDescent="0.25">
      <c r="A64" s="208">
        <v>12260</v>
      </c>
      <c r="B64" s="209" t="s">
        <v>950</v>
      </c>
    </row>
    <row r="65" spans="1:2" ht="15.75" x14ac:dyDescent="0.25">
      <c r="A65" s="208">
        <v>12270</v>
      </c>
      <c r="B65" s="269" t="s">
        <v>1139</v>
      </c>
    </row>
    <row r="66" spans="1:2" ht="15.75" x14ac:dyDescent="0.25">
      <c r="A66" s="208">
        <v>12300</v>
      </c>
      <c r="B66" s="269" t="s">
        <v>1519</v>
      </c>
    </row>
    <row r="67" spans="1:2" ht="15.75" x14ac:dyDescent="0.25">
      <c r="A67" s="208">
        <v>12310</v>
      </c>
      <c r="B67" s="209" t="s">
        <v>841</v>
      </c>
    </row>
    <row r="68" spans="1:2" ht="15.75" x14ac:dyDescent="0.25">
      <c r="A68" s="208">
        <v>12320</v>
      </c>
      <c r="B68" s="209" t="s">
        <v>842</v>
      </c>
    </row>
    <row r="69" spans="1:2" ht="31.5" x14ac:dyDescent="0.25">
      <c r="A69" s="208">
        <v>12440</v>
      </c>
      <c r="B69" s="91" t="s">
        <v>1311</v>
      </c>
    </row>
    <row r="70" spans="1:2" ht="15.75" x14ac:dyDescent="0.25">
      <c r="A70" s="208">
        <v>12600</v>
      </c>
      <c r="B70" s="331" t="s">
        <v>1347</v>
      </c>
    </row>
    <row r="71" spans="1:2" ht="15.75" x14ac:dyDescent="0.25">
      <c r="A71" s="208">
        <v>12700</v>
      </c>
      <c r="B71" s="91" t="s">
        <v>1601</v>
      </c>
    </row>
    <row r="72" spans="1:2" ht="15.75" x14ac:dyDescent="0.25">
      <c r="A72" s="208">
        <v>12710</v>
      </c>
      <c r="B72" s="91" t="s">
        <v>1348</v>
      </c>
    </row>
    <row r="73" spans="1:2" ht="15.75" x14ac:dyDescent="0.25">
      <c r="A73" s="208">
        <v>12750</v>
      </c>
      <c r="B73" s="91" t="s">
        <v>522</v>
      </c>
    </row>
    <row r="74" spans="1:2" ht="15.75" x14ac:dyDescent="0.25">
      <c r="A74" s="208">
        <v>12800</v>
      </c>
      <c r="B74" s="91" t="s">
        <v>482</v>
      </c>
    </row>
    <row r="75" spans="1:2" ht="31.5" x14ac:dyDescent="0.25">
      <c r="A75" s="208">
        <v>12880</v>
      </c>
      <c r="B75" s="213" t="s">
        <v>1308</v>
      </c>
    </row>
    <row r="76" spans="1:2" ht="15.75" x14ac:dyDescent="0.25">
      <c r="A76" s="208">
        <v>12900</v>
      </c>
      <c r="B76" s="91" t="s">
        <v>317</v>
      </c>
    </row>
    <row r="77" spans="1:2" ht="15.75" x14ac:dyDescent="0.25">
      <c r="A77" s="208">
        <v>12950</v>
      </c>
      <c r="B77" s="91" t="s">
        <v>1357</v>
      </c>
    </row>
    <row r="78" spans="1:2" ht="15.75" x14ac:dyDescent="0.25">
      <c r="A78" s="208">
        <v>13010</v>
      </c>
      <c r="B78" s="91" t="s">
        <v>371</v>
      </c>
    </row>
    <row r="79" spans="1:2" ht="15.75" x14ac:dyDescent="0.25">
      <c r="A79" s="208">
        <v>13050</v>
      </c>
      <c r="B79" s="209" t="s">
        <v>951</v>
      </c>
    </row>
    <row r="80" spans="1:2" ht="15.75" x14ac:dyDescent="0.25">
      <c r="A80" s="208">
        <v>13110</v>
      </c>
      <c r="B80" s="91" t="s">
        <v>381</v>
      </c>
    </row>
    <row r="81" spans="1:2" ht="15.75" x14ac:dyDescent="0.25">
      <c r="A81" s="208">
        <v>13140</v>
      </c>
      <c r="B81" s="91" t="s">
        <v>1445</v>
      </c>
    </row>
    <row r="82" spans="1:2" ht="15.75" x14ac:dyDescent="0.25">
      <c r="A82" s="208">
        <v>13210</v>
      </c>
      <c r="B82" s="91" t="s">
        <v>382</v>
      </c>
    </row>
    <row r="83" spans="1:2" ht="15.75" x14ac:dyDescent="0.25">
      <c r="A83" s="208">
        <v>13310</v>
      </c>
      <c r="B83" s="91" t="s">
        <v>410</v>
      </c>
    </row>
    <row r="84" spans="1:2" ht="15.75" x14ac:dyDescent="0.25">
      <c r="A84" s="208">
        <v>13320</v>
      </c>
      <c r="B84" s="91" t="s">
        <v>412</v>
      </c>
    </row>
    <row r="85" spans="1:2" ht="15.75" x14ac:dyDescent="0.25">
      <c r="A85" s="208">
        <v>13330</v>
      </c>
      <c r="B85" s="269" t="s">
        <v>952</v>
      </c>
    </row>
    <row r="86" spans="1:2" ht="15.75" x14ac:dyDescent="0.25">
      <c r="A86" s="208">
        <v>13340</v>
      </c>
      <c r="B86" s="209"/>
    </row>
    <row r="87" spans="1:2" ht="15.75" x14ac:dyDescent="0.25">
      <c r="A87" s="208">
        <v>13380</v>
      </c>
      <c r="B87" s="91" t="s">
        <v>953</v>
      </c>
    </row>
    <row r="88" spans="1:2" ht="31.5" x14ac:dyDescent="0.25">
      <c r="A88" s="208">
        <v>13390</v>
      </c>
      <c r="B88" s="209" t="s">
        <v>954</v>
      </c>
    </row>
    <row r="89" spans="1:2" ht="15.75" x14ac:dyDescent="0.25">
      <c r="A89" s="208">
        <v>13400</v>
      </c>
      <c r="B89" s="209"/>
    </row>
    <row r="90" spans="1:2" ht="15.75" x14ac:dyDescent="0.25">
      <c r="A90" s="208">
        <v>13510</v>
      </c>
      <c r="B90" s="209" t="s">
        <v>955</v>
      </c>
    </row>
    <row r="91" spans="1:2" ht="15.75" x14ac:dyDescent="0.25">
      <c r="A91" s="208">
        <v>13710</v>
      </c>
      <c r="B91" s="331" t="s">
        <v>430</v>
      </c>
    </row>
    <row r="92" spans="1:2" ht="15.75" x14ac:dyDescent="0.25">
      <c r="A92" s="208">
        <v>13750</v>
      </c>
      <c r="B92" s="209" t="s">
        <v>432</v>
      </c>
    </row>
    <row r="93" spans="1:2" ht="15.75" x14ac:dyDescent="0.25">
      <c r="A93" s="208">
        <v>13810</v>
      </c>
      <c r="B93" s="91" t="s">
        <v>421</v>
      </c>
    </row>
    <row r="94" spans="1:2" ht="31.5" x14ac:dyDescent="0.25">
      <c r="A94" s="208">
        <v>13820</v>
      </c>
      <c r="B94" s="91" t="s">
        <v>506</v>
      </c>
    </row>
    <row r="95" spans="1:2" ht="31.5" x14ac:dyDescent="0.25">
      <c r="A95" s="208">
        <v>13900</v>
      </c>
      <c r="B95" s="91" t="s">
        <v>1310</v>
      </c>
    </row>
    <row r="96" spans="1:2" ht="30.75" customHeight="1" x14ac:dyDescent="0.25">
      <c r="A96" s="208">
        <v>13930</v>
      </c>
      <c r="B96" s="91" t="s">
        <v>1370</v>
      </c>
    </row>
    <row r="97" spans="1:2" ht="15.75" x14ac:dyDescent="0.25">
      <c r="A97" s="208">
        <v>14010</v>
      </c>
      <c r="B97" s="91" t="s">
        <v>440</v>
      </c>
    </row>
    <row r="98" spans="1:2" ht="15.75" x14ac:dyDescent="0.25">
      <c r="A98" s="208">
        <v>14020</v>
      </c>
      <c r="B98" s="91" t="s">
        <v>1064</v>
      </c>
    </row>
    <row r="99" spans="1:2" ht="15.75" x14ac:dyDescent="0.25">
      <c r="A99" s="208">
        <v>14100</v>
      </c>
      <c r="B99" s="91" t="s">
        <v>956</v>
      </c>
    </row>
    <row r="100" spans="1:2" ht="15.75" x14ac:dyDescent="0.25">
      <c r="A100" s="208">
        <v>14510</v>
      </c>
      <c r="B100" s="91" t="s">
        <v>502</v>
      </c>
    </row>
    <row r="101" spans="1:2" ht="15.75" x14ac:dyDescent="0.25">
      <c r="A101" s="208">
        <v>14530</v>
      </c>
      <c r="B101" s="91" t="s">
        <v>503</v>
      </c>
    </row>
    <row r="102" spans="1:2" ht="15.75" x14ac:dyDescent="0.25">
      <c r="A102" s="208">
        <v>14540</v>
      </c>
      <c r="B102" s="91" t="s">
        <v>1758</v>
      </c>
    </row>
    <row r="103" spans="1:2" ht="15.75" x14ac:dyDescent="0.25">
      <c r="A103" s="208">
        <v>14550</v>
      </c>
      <c r="B103" s="209"/>
    </row>
    <row r="104" spans="1:2" ht="15.75" x14ac:dyDescent="0.25">
      <c r="A104" s="208">
        <v>14560</v>
      </c>
      <c r="B104" s="91" t="s">
        <v>401</v>
      </c>
    </row>
    <row r="105" spans="1:2" ht="15.75" x14ac:dyDescent="0.25">
      <c r="A105" s="208">
        <v>14570</v>
      </c>
      <c r="B105" s="209" t="s">
        <v>957</v>
      </c>
    </row>
    <row r="106" spans="1:2" ht="15.75" x14ac:dyDescent="0.25">
      <c r="A106" s="208">
        <v>14580</v>
      </c>
      <c r="B106" s="209"/>
    </row>
    <row r="107" spans="1:2" ht="15.75" x14ac:dyDescent="0.25">
      <c r="A107" s="208">
        <v>14880</v>
      </c>
      <c r="B107" s="331" t="s">
        <v>1066</v>
      </c>
    </row>
    <row r="108" spans="1:2" ht="15.75" x14ac:dyDescent="0.25">
      <c r="A108" s="208">
        <v>15010</v>
      </c>
      <c r="B108" s="331" t="s">
        <v>513</v>
      </c>
    </row>
    <row r="109" spans="1:2" ht="15.75" x14ac:dyDescent="0.25">
      <c r="A109" s="208">
        <v>15030</v>
      </c>
      <c r="B109" s="209" t="s">
        <v>958</v>
      </c>
    </row>
    <row r="110" spans="1:2" ht="15.75" x14ac:dyDescent="0.25">
      <c r="A110" s="208">
        <v>15110</v>
      </c>
      <c r="B110" s="91" t="s">
        <v>518</v>
      </c>
    </row>
    <row r="111" spans="1:2" ht="15.75" x14ac:dyDescent="0.25">
      <c r="A111" s="208">
        <v>15130</v>
      </c>
      <c r="B111" s="91" t="s">
        <v>959</v>
      </c>
    </row>
    <row r="112" spans="1:2" ht="15.75" x14ac:dyDescent="0.25">
      <c r="A112" s="208">
        <v>15210</v>
      </c>
      <c r="B112" s="91" t="s">
        <v>521</v>
      </c>
    </row>
    <row r="113" spans="1:2" ht="15.75" x14ac:dyDescent="0.25">
      <c r="A113" s="208">
        <v>15220</v>
      </c>
      <c r="B113" s="91" t="s">
        <v>497</v>
      </c>
    </row>
    <row r="114" spans="1:2" ht="15.75" x14ac:dyDescent="0.25">
      <c r="A114" s="208">
        <v>15250</v>
      </c>
      <c r="B114" s="209"/>
    </row>
    <row r="115" spans="1:2" ht="15.75" x14ac:dyDescent="0.25">
      <c r="A115" s="208">
        <v>15260</v>
      </c>
      <c r="B115" s="269" t="s">
        <v>1201</v>
      </c>
    </row>
    <row r="116" spans="1:2" ht="15.75" x14ac:dyDescent="0.25">
      <c r="A116" s="208">
        <v>15350</v>
      </c>
      <c r="B116" s="269" t="s">
        <v>1227</v>
      </c>
    </row>
    <row r="117" spans="1:2" ht="15.75" x14ac:dyDescent="0.25">
      <c r="A117" s="208">
        <v>15800</v>
      </c>
      <c r="B117" s="269" t="s">
        <v>1299</v>
      </c>
    </row>
    <row r="118" spans="1:2" ht="31.5" x14ac:dyDescent="0.25">
      <c r="A118" s="208">
        <v>15880</v>
      </c>
      <c r="B118" s="269" t="s">
        <v>1322</v>
      </c>
    </row>
    <row r="119" spans="1:2" ht="15.75" x14ac:dyDescent="0.25">
      <c r="A119" s="208">
        <v>15890</v>
      </c>
      <c r="B119" s="269" t="s">
        <v>1682</v>
      </c>
    </row>
    <row r="120" spans="1:2" ht="15.75" x14ac:dyDescent="0.25">
      <c r="A120" s="208">
        <v>15900</v>
      </c>
      <c r="B120" s="269" t="s">
        <v>1658</v>
      </c>
    </row>
    <row r="121" spans="1:2" ht="15.75" x14ac:dyDescent="0.25">
      <c r="A121" s="208">
        <v>16010</v>
      </c>
      <c r="B121" s="91" t="s">
        <v>449</v>
      </c>
    </row>
    <row r="122" spans="1:2" ht="15.75" x14ac:dyDescent="0.25">
      <c r="A122" s="207">
        <v>16050</v>
      </c>
      <c r="B122" s="388" t="s">
        <v>1202</v>
      </c>
    </row>
    <row r="123" spans="1:2" ht="15.75" x14ac:dyDescent="0.25">
      <c r="A123" s="208">
        <v>16110</v>
      </c>
      <c r="B123" s="209"/>
    </row>
    <row r="124" spans="1:2" ht="15.75" x14ac:dyDescent="0.25">
      <c r="A124" s="208">
        <v>16150</v>
      </c>
      <c r="B124" s="91" t="s">
        <v>1608</v>
      </c>
    </row>
    <row r="125" spans="1:2" ht="15.75" x14ac:dyDescent="0.25">
      <c r="A125" s="208">
        <v>16151</v>
      </c>
      <c r="B125" s="91" t="s">
        <v>1203</v>
      </c>
    </row>
    <row r="126" spans="1:2" ht="31.5" x14ac:dyDescent="0.25">
      <c r="A126" s="208">
        <v>16160</v>
      </c>
      <c r="B126" s="91" t="s">
        <v>1350</v>
      </c>
    </row>
    <row r="127" spans="1:2" ht="15.75" x14ac:dyDescent="0.25">
      <c r="A127" s="208">
        <v>16210</v>
      </c>
      <c r="B127" s="91" t="s">
        <v>467</v>
      </c>
    </row>
    <row r="128" spans="1:2" ht="15.75" x14ac:dyDescent="0.25">
      <c r="A128" s="208">
        <v>16220</v>
      </c>
      <c r="B128" s="91" t="s">
        <v>468</v>
      </c>
    </row>
    <row r="129" spans="1:2" ht="21" customHeight="1" x14ac:dyDescent="0.25">
      <c r="A129" s="208">
        <v>16250</v>
      </c>
      <c r="B129" s="91" t="s">
        <v>510</v>
      </c>
    </row>
    <row r="130" spans="1:2" ht="21" customHeight="1" x14ac:dyDescent="0.25">
      <c r="A130" s="208">
        <v>16900</v>
      </c>
      <c r="B130" s="91" t="s">
        <v>1438</v>
      </c>
    </row>
    <row r="131" spans="1:2" ht="21" customHeight="1" x14ac:dyDescent="0.25">
      <c r="A131" s="208">
        <v>16950</v>
      </c>
      <c r="B131" s="91" t="s">
        <v>1602</v>
      </c>
    </row>
    <row r="132" spans="1:2" ht="21" customHeight="1" x14ac:dyDescent="0.25">
      <c r="A132" s="208">
        <v>17260</v>
      </c>
      <c r="B132" s="91" t="s">
        <v>1595</v>
      </c>
    </row>
    <row r="133" spans="1:2" ht="21" customHeight="1" x14ac:dyDescent="0.25">
      <c r="A133" s="208">
        <v>17440</v>
      </c>
      <c r="B133" s="91" t="s">
        <v>1615</v>
      </c>
    </row>
    <row r="134" spans="1:2" ht="21" customHeight="1" x14ac:dyDescent="0.25">
      <c r="A134" s="208">
        <v>21236</v>
      </c>
      <c r="B134" s="91" t="s">
        <v>1204</v>
      </c>
    </row>
    <row r="135" spans="1:2" ht="30.75" customHeight="1" x14ac:dyDescent="0.25">
      <c r="A135" s="208">
        <v>22446</v>
      </c>
      <c r="B135" s="91" t="s">
        <v>1422</v>
      </c>
    </row>
    <row r="136" spans="1:2" ht="48" customHeight="1" x14ac:dyDescent="0.25">
      <c r="A136" s="208">
        <v>22886</v>
      </c>
      <c r="B136" s="91" t="s">
        <v>1581</v>
      </c>
    </row>
    <row r="137" spans="1:2" ht="35.25" customHeight="1" x14ac:dyDescent="0.25">
      <c r="A137" s="208">
        <v>23906</v>
      </c>
      <c r="B137" s="91" t="s">
        <v>1421</v>
      </c>
    </row>
    <row r="138" spans="1:2" ht="35.25" customHeight="1" x14ac:dyDescent="0.25">
      <c r="A138" s="208">
        <v>23936</v>
      </c>
      <c r="B138" s="91" t="s">
        <v>1449</v>
      </c>
    </row>
    <row r="139" spans="1:2" ht="35.25" customHeight="1" x14ac:dyDescent="0.25">
      <c r="A139" s="208">
        <v>25356</v>
      </c>
      <c r="B139" s="91" t="s">
        <v>1205</v>
      </c>
    </row>
    <row r="140" spans="1:2" ht="24" customHeight="1" x14ac:dyDescent="0.25">
      <c r="A140" s="208">
        <v>25626</v>
      </c>
      <c r="B140" s="91" t="s">
        <v>1206</v>
      </c>
    </row>
    <row r="141" spans="1:2" ht="35.25" customHeight="1" x14ac:dyDescent="0.25">
      <c r="A141" s="208">
        <v>26426</v>
      </c>
      <c r="B141" s="91" t="s">
        <v>1379</v>
      </c>
    </row>
    <row r="142" spans="1:2" ht="46.5" customHeight="1" x14ac:dyDescent="0.25">
      <c r="A142" s="208">
        <v>26936</v>
      </c>
      <c r="B142" s="91" t="s">
        <v>1455</v>
      </c>
    </row>
    <row r="143" spans="1:2" ht="28.5" customHeight="1" x14ac:dyDescent="0.25">
      <c r="A143" s="208">
        <v>27266</v>
      </c>
      <c r="B143" s="91" t="s">
        <v>1584</v>
      </c>
    </row>
    <row r="144" spans="1:2" ht="28.5" customHeight="1" x14ac:dyDescent="0.25">
      <c r="A144" s="208">
        <v>27356</v>
      </c>
      <c r="B144" s="91" t="s">
        <v>1703</v>
      </c>
    </row>
    <row r="145" spans="1:2" ht="18.95" customHeight="1" x14ac:dyDescent="0.25">
      <c r="A145" s="208">
        <v>29016</v>
      </c>
      <c r="B145" s="211" t="s">
        <v>315</v>
      </c>
    </row>
    <row r="146" spans="1:2" ht="31.5" x14ac:dyDescent="0.25">
      <c r="A146" s="208">
        <v>29026</v>
      </c>
      <c r="B146" s="91" t="s">
        <v>362</v>
      </c>
    </row>
    <row r="147" spans="1:2" ht="31.5" x14ac:dyDescent="0.25">
      <c r="A147" s="208">
        <v>29036</v>
      </c>
      <c r="B147" s="91" t="s">
        <v>960</v>
      </c>
    </row>
    <row r="148" spans="1:2" ht="15.75" x14ac:dyDescent="0.25">
      <c r="A148" s="208">
        <v>29046</v>
      </c>
      <c r="B148" s="432" t="s">
        <v>1147</v>
      </c>
    </row>
    <row r="149" spans="1:2" ht="15.75" x14ac:dyDescent="0.25">
      <c r="A149" s="208">
        <v>29056</v>
      </c>
      <c r="B149" s="383" t="s">
        <v>961</v>
      </c>
    </row>
    <row r="150" spans="1:2" ht="15.75" x14ac:dyDescent="0.25">
      <c r="A150" s="208">
        <v>29066</v>
      </c>
      <c r="B150" s="383" t="s">
        <v>1148</v>
      </c>
    </row>
    <row r="151" spans="1:2" ht="15.75" x14ac:dyDescent="0.25">
      <c r="A151" s="208">
        <v>29076</v>
      </c>
      <c r="B151" s="18" t="s">
        <v>962</v>
      </c>
    </row>
    <row r="152" spans="1:2" ht="23.25" customHeight="1" x14ac:dyDescent="0.25">
      <c r="A152" s="208">
        <v>29086</v>
      </c>
      <c r="B152" s="685" t="s">
        <v>963</v>
      </c>
    </row>
    <row r="153" spans="1:2" ht="15.75" x14ac:dyDescent="0.25">
      <c r="A153" s="208">
        <v>29096</v>
      </c>
      <c r="B153" s="685" t="s">
        <v>964</v>
      </c>
    </row>
    <row r="154" spans="1:2" ht="15.75" x14ac:dyDescent="0.25">
      <c r="A154" s="208">
        <v>29106</v>
      </c>
      <c r="B154" s="355" t="s">
        <v>965</v>
      </c>
    </row>
    <row r="155" spans="1:2" ht="31.5" x14ac:dyDescent="0.25">
      <c r="A155" s="208">
        <v>29116</v>
      </c>
      <c r="B155" s="91" t="s">
        <v>966</v>
      </c>
    </row>
    <row r="156" spans="1:2" ht="31.5" x14ac:dyDescent="0.25">
      <c r="A156" s="208">
        <v>29126</v>
      </c>
      <c r="B156" s="18" t="s">
        <v>967</v>
      </c>
    </row>
    <row r="157" spans="1:2" ht="31.5" x14ac:dyDescent="0.25">
      <c r="A157" s="208">
        <v>29136</v>
      </c>
      <c r="B157" s="18" t="s">
        <v>1351</v>
      </c>
    </row>
    <row r="158" spans="1:2" ht="15.75" x14ac:dyDescent="0.25">
      <c r="A158" s="208">
        <v>29146</v>
      </c>
      <c r="B158" s="18" t="s">
        <v>968</v>
      </c>
    </row>
    <row r="159" spans="1:2" ht="15.75" x14ac:dyDescent="0.25">
      <c r="A159" s="208">
        <v>29156</v>
      </c>
      <c r="B159" s="89" t="s">
        <v>969</v>
      </c>
    </row>
    <row r="160" spans="1:2" ht="15.75" x14ac:dyDescent="0.25">
      <c r="A160" s="208">
        <v>29166</v>
      </c>
      <c r="B160" s="685" t="s">
        <v>970</v>
      </c>
    </row>
    <row r="161" spans="1:2" ht="15.75" x14ac:dyDescent="0.25">
      <c r="A161" s="208">
        <v>29176</v>
      </c>
      <c r="B161" s="685" t="s">
        <v>1207</v>
      </c>
    </row>
    <row r="162" spans="1:2" ht="31.5" x14ac:dyDescent="0.25">
      <c r="A162" s="208">
        <v>29186</v>
      </c>
      <c r="B162" s="18" t="s">
        <v>971</v>
      </c>
    </row>
    <row r="163" spans="1:2" ht="15.75" x14ac:dyDescent="0.25">
      <c r="A163" s="208">
        <v>29196</v>
      </c>
      <c r="B163" s="18" t="s">
        <v>972</v>
      </c>
    </row>
    <row r="164" spans="1:2" ht="15.75" x14ac:dyDescent="0.25">
      <c r="A164" s="208">
        <v>29206</v>
      </c>
      <c r="B164" s="18" t="s">
        <v>1705</v>
      </c>
    </row>
    <row r="165" spans="1:2" ht="19.5" customHeight="1" x14ac:dyDescent="0.25">
      <c r="A165" s="208">
        <v>29216</v>
      </c>
      <c r="B165" s="685" t="s">
        <v>497</v>
      </c>
    </row>
    <row r="166" spans="1:2" ht="15.75" x14ac:dyDescent="0.25">
      <c r="A166" s="208">
        <v>29226</v>
      </c>
      <c r="B166" s="685" t="s">
        <v>440</v>
      </c>
    </row>
    <row r="167" spans="1:2" ht="15.75" x14ac:dyDescent="0.25">
      <c r="A167" s="208">
        <v>29236</v>
      </c>
      <c r="B167" s="685" t="s">
        <v>973</v>
      </c>
    </row>
    <row r="168" spans="1:2" ht="15.75" x14ac:dyDescent="0.25">
      <c r="A168" s="208">
        <v>29246</v>
      </c>
      <c r="B168" s="685" t="s">
        <v>974</v>
      </c>
    </row>
    <row r="169" spans="1:2" ht="15.75" x14ac:dyDescent="0.25">
      <c r="A169" s="208">
        <v>29256</v>
      </c>
      <c r="B169" s="685" t="s">
        <v>1149</v>
      </c>
    </row>
    <row r="170" spans="1:2" ht="15.75" x14ac:dyDescent="0.25">
      <c r="A170" s="208">
        <v>29266</v>
      </c>
      <c r="B170" s="685" t="s">
        <v>1150</v>
      </c>
    </row>
    <row r="171" spans="1:2" ht="31.5" x14ac:dyDescent="0.25">
      <c r="A171" s="208">
        <v>29276</v>
      </c>
      <c r="B171" s="685" t="s">
        <v>975</v>
      </c>
    </row>
    <row r="172" spans="1:2" ht="15.75" x14ac:dyDescent="0.25">
      <c r="A172" s="208">
        <v>29286</v>
      </c>
      <c r="B172" s="212" t="s">
        <v>976</v>
      </c>
    </row>
    <row r="173" spans="1:2" ht="30" customHeight="1" x14ac:dyDescent="0.25">
      <c r="A173" s="208">
        <v>29296</v>
      </c>
      <c r="B173" s="212" t="s">
        <v>977</v>
      </c>
    </row>
    <row r="174" spans="1:2" ht="15.75" x14ac:dyDescent="0.25">
      <c r="A174" s="208">
        <v>29306</v>
      </c>
      <c r="B174" s="355" t="s">
        <v>978</v>
      </c>
    </row>
    <row r="175" spans="1:2" ht="15.75" x14ac:dyDescent="0.25">
      <c r="A175" s="208">
        <v>29316</v>
      </c>
      <c r="B175" s="685" t="s">
        <v>979</v>
      </c>
    </row>
    <row r="176" spans="1:2" ht="15.75" x14ac:dyDescent="0.25">
      <c r="A176" s="208">
        <v>29326</v>
      </c>
      <c r="B176" s="18" t="s">
        <v>980</v>
      </c>
    </row>
    <row r="177" spans="1:2" ht="15.75" x14ac:dyDescent="0.25">
      <c r="A177" s="208">
        <v>29336</v>
      </c>
      <c r="B177" s="383" t="s">
        <v>981</v>
      </c>
    </row>
    <row r="178" spans="1:2" ht="15.75" x14ac:dyDescent="0.25">
      <c r="A178" s="208">
        <v>29346</v>
      </c>
      <c r="B178" s="685" t="s">
        <v>982</v>
      </c>
    </row>
    <row r="179" spans="1:2" ht="15.75" x14ac:dyDescent="0.25">
      <c r="A179" s="208">
        <v>29356</v>
      </c>
      <c r="B179" s="355" t="s">
        <v>1708</v>
      </c>
    </row>
    <row r="180" spans="1:2" ht="15.75" x14ac:dyDescent="0.25">
      <c r="A180" s="208">
        <v>29366</v>
      </c>
      <c r="B180" s="18" t="s">
        <v>983</v>
      </c>
    </row>
    <row r="181" spans="1:2" ht="15.75" x14ac:dyDescent="0.25">
      <c r="A181" s="208">
        <v>29376</v>
      </c>
      <c r="B181" s="91" t="s">
        <v>1352</v>
      </c>
    </row>
    <row r="182" spans="1:2" ht="15.75" x14ac:dyDescent="0.25">
      <c r="A182" s="208">
        <v>29386</v>
      </c>
      <c r="B182" s="432" t="s">
        <v>1208</v>
      </c>
    </row>
    <row r="183" spans="1:2" ht="31.5" x14ac:dyDescent="0.25">
      <c r="A183" s="208">
        <v>29396</v>
      </c>
      <c r="B183" s="91" t="s">
        <v>984</v>
      </c>
    </row>
    <row r="184" spans="1:2" ht="31.5" x14ac:dyDescent="0.25">
      <c r="A184" s="208">
        <v>29406</v>
      </c>
      <c r="B184" s="212" t="s">
        <v>985</v>
      </c>
    </row>
    <row r="185" spans="1:2" ht="44.25" customHeight="1" x14ac:dyDescent="0.25">
      <c r="A185" s="208">
        <v>29416</v>
      </c>
      <c r="B185" s="91" t="s">
        <v>986</v>
      </c>
    </row>
    <row r="186" spans="1:2" ht="15.75" x14ac:dyDescent="0.25">
      <c r="A186" s="208">
        <v>29426</v>
      </c>
      <c r="B186" s="383" t="s">
        <v>987</v>
      </c>
    </row>
    <row r="187" spans="1:2" ht="15.75" x14ac:dyDescent="0.25">
      <c r="A187" s="208">
        <v>29436</v>
      </c>
      <c r="B187" s="91" t="s">
        <v>988</v>
      </c>
    </row>
    <row r="188" spans="1:2" ht="31.5" x14ac:dyDescent="0.25">
      <c r="A188" s="208">
        <v>29446</v>
      </c>
      <c r="B188" s="91" t="s">
        <v>989</v>
      </c>
    </row>
    <row r="189" spans="1:2" ht="15.75" x14ac:dyDescent="0.25">
      <c r="A189" s="208">
        <v>29456</v>
      </c>
      <c r="B189" s="211" t="s">
        <v>1306</v>
      </c>
    </row>
    <row r="190" spans="1:2" ht="15.75" x14ac:dyDescent="0.25">
      <c r="A190" s="208">
        <v>29466</v>
      </c>
      <c r="B190" s="211" t="s">
        <v>990</v>
      </c>
    </row>
    <row r="191" spans="1:2" ht="15.75" x14ac:dyDescent="0.25">
      <c r="A191" s="208">
        <v>29476</v>
      </c>
      <c r="B191" s="383" t="s">
        <v>1151</v>
      </c>
    </row>
    <row r="192" spans="1:2" ht="15.75" x14ac:dyDescent="0.25">
      <c r="A192" s="208">
        <v>29486</v>
      </c>
      <c r="B192" s="432" t="s">
        <v>991</v>
      </c>
    </row>
    <row r="193" spans="1:2" ht="15.75" x14ac:dyDescent="0.25">
      <c r="A193" s="208">
        <v>29496</v>
      </c>
      <c r="B193" s="355" t="s">
        <v>992</v>
      </c>
    </row>
    <row r="194" spans="1:2" ht="15.75" x14ac:dyDescent="0.25">
      <c r="A194" s="208">
        <v>29506</v>
      </c>
      <c r="B194" s="212" t="s">
        <v>993</v>
      </c>
    </row>
    <row r="195" spans="1:2" ht="15.75" x14ac:dyDescent="0.25">
      <c r="A195" s="208">
        <v>29516</v>
      </c>
      <c r="B195" s="212" t="s">
        <v>1123</v>
      </c>
    </row>
    <row r="196" spans="1:2" ht="15.75" x14ac:dyDescent="0.25">
      <c r="A196" s="208">
        <v>29526</v>
      </c>
      <c r="B196" s="212" t="s">
        <v>1319</v>
      </c>
    </row>
    <row r="197" spans="1:2" ht="15.75" x14ac:dyDescent="0.25">
      <c r="A197" s="208">
        <v>29536</v>
      </c>
      <c r="B197" s="212" t="s">
        <v>1456</v>
      </c>
    </row>
    <row r="198" spans="1:2" ht="31.5" x14ac:dyDescent="0.25">
      <c r="A198" s="208">
        <v>29556</v>
      </c>
      <c r="B198" s="212" t="s">
        <v>1209</v>
      </c>
    </row>
    <row r="199" spans="1:2" ht="15.75" x14ac:dyDescent="0.25">
      <c r="A199" s="208">
        <v>29566</v>
      </c>
      <c r="B199" s="212" t="s">
        <v>1122</v>
      </c>
    </row>
    <row r="200" spans="1:2" ht="31.5" x14ac:dyDescent="0.25">
      <c r="A200" s="208">
        <v>29576</v>
      </c>
      <c r="B200" s="91" t="s">
        <v>1210</v>
      </c>
    </row>
    <row r="201" spans="1:2" ht="31.5" x14ac:dyDescent="0.25">
      <c r="A201" s="208">
        <v>29586</v>
      </c>
      <c r="B201" s="212" t="s">
        <v>1211</v>
      </c>
    </row>
    <row r="202" spans="1:2" ht="15.75" x14ac:dyDescent="0.25">
      <c r="A202" s="208">
        <v>29596</v>
      </c>
      <c r="B202" s="355" t="s">
        <v>1212</v>
      </c>
    </row>
    <row r="203" spans="1:2" ht="15.75" x14ac:dyDescent="0.25">
      <c r="A203" s="208">
        <v>29606</v>
      </c>
      <c r="B203" s="91" t="s">
        <v>1213</v>
      </c>
    </row>
    <row r="204" spans="1:2" ht="15.75" x14ac:dyDescent="0.25">
      <c r="A204" s="208">
        <v>29616</v>
      </c>
      <c r="B204" s="355" t="s">
        <v>1214</v>
      </c>
    </row>
    <row r="205" spans="1:2" ht="15.75" x14ac:dyDescent="0.25">
      <c r="A205" s="208">
        <v>29626</v>
      </c>
      <c r="B205" s="91" t="s">
        <v>1215</v>
      </c>
    </row>
    <row r="206" spans="1:2" ht="15.75" x14ac:dyDescent="0.25">
      <c r="A206" s="208">
        <v>29636</v>
      </c>
      <c r="B206" s="355" t="s">
        <v>1216</v>
      </c>
    </row>
    <row r="207" spans="1:2" ht="15.75" x14ac:dyDescent="0.25">
      <c r="A207" s="208">
        <v>29646</v>
      </c>
      <c r="B207" s="212" t="s">
        <v>1217</v>
      </c>
    </row>
    <row r="208" spans="1:2" ht="15.75" x14ac:dyDescent="0.25">
      <c r="A208" s="208">
        <v>29656</v>
      </c>
      <c r="B208" s="211" t="s">
        <v>1706</v>
      </c>
    </row>
    <row r="209" spans="1:2" ht="15.75" x14ac:dyDescent="0.25">
      <c r="A209" s="208">
        <v>29666</v>
      </c>
      <c r="B209" s="211" t="s">
        <v>1218</v>
      </c>
    </row>
    <row r="210" spans="1:2" ht="31.5" x14ac:dyDescent="0.25">
      <c r="A210" s="208">
        <v>29676</v>
      </c>
      <c r="B210" s="91" t="s">
        <v>1219</v>
      </c>
    </row>
    <row r="211" spans="1:2" ht="15.75" x14ac:dyDescent="0.25">
      <c r="A211" s="208">
        <v>29686</v>
      </c>
      <c r="B211" s="91" t="s">
        <v>1605</v>
      </c>
    </row>
    <row r="212" spans="1:2" ht="15.75" x14ac:dyDescent="0.25">
      <c r="A212" s="208">
        <v>29696</v>
      </c>
      <c r="B212" s="91" t="s">
        <v>1220</v>
      </c>
    </row>
    <row r="213" spans="1:2" ht="15.75" x14ac:dyDescent="0.25">
      <c r="A213" s="208">
        <v>29706</v>
      </c>
      <c r="B213" s="91" t="s">
        <v>1221</v>
      </c>
    </row>
    <row r="214" spans="1:2" ht="15.75" x14ac:dyDescent="0.25">
      <c r="A214" s="208">
        <v>29716</v>
      </c>
      <c r="B214" s="91" t="s">
        <v>1222</v>
      </c>
    </row>
    <row r="215" spans="1:2" ht="31.5" x14ac:dyDescent="0.25">
      <c r="A215" s="208">
        <v>29726</v>
      </c>
      <c r="B215" s="212" t="s">
        <v>1223</v>
      </c>
    </row>
    <row r="216" spans="1:2" ht="15.75" x14ac:dyDescent="0.25">
      <c r="A216" s="208">
        <v>29736</v>
      </c>
      <c r="B216" s="212"/>
    </row>
    <row r="217" spans="1:2" ht="15.75" x14ac:dyDescent="0.25">
      <c r="A217" s="208">
        <v>29746</v>
      </c>
      <c r="B217" s="212"/>
    </row>
    <row r="218" spans="1:2" ht="15.75" x14ac:dyDescent="0.25">
      <c r="A218" s="208">
        <v>29756</v>
      </c>
      <c r="B218" s="211" t="s">
        <v>1327</v>
      </c>
    </row>
    <row r="219" spans="1:2" ht="15.75" x14ac:dyDescent="0.25">
      <c r="A219" s="208">
        <v>29766</v>
      </c>
      <c r="B219" s="432" t="s">
        <v>1366</v>
      </c>
    </row>
    <row r="220" spans="1:2" ht="15.75" x14ac:dyDescent="0.25">
      <c r="A220" s="208">
        <v>29776</v>
      </c>
      <c r="B220" s="212" t="s">
        <v>1367</v>
      </c>
    </row>
    <row r="221" spans="1:2" ht="15.75" x14ac:dyDescent="0.25">
      <c r="A221" s="208">
        <v>29786</v>
      </c>
      <c r="B221" s="212" t="s">
        <v>1494</v>
      </c>
    </row>
    <row r="222" spans="1:2" ht="15.75" x14ac:dyDescent="0.25">
      <c r="A222" s="208">
        <v>29806</v>
      </c>
      <c r="B222" s="212" t="s">
        <v>1594</v>
      </c>
    </row>
    <row r="223" spans="1:2" ht="31.5" x14ac:dyDescent="0.25">
      <c r="A223" s="208">
        <v>29856</v>
      </c>
      <c r="B223" s="212" t="s">
        <v>1586</v>
      </c>
    </row>
    <row r="224" spans="1:2" ht="15.75" x14ac:dyDescent="0.25">
      <c r="A224" s="208">
        <v>29866</v>
      </c>
      <c r="B224" s="212" t="s">
        <v>1779</v>
      </c>
    </row>
    <row r="225" spans="1:2" ht="15.75" x14ac:dyDescent="0.25">
      <c r="A225" s="208">
        <v>50130</v>
      </c>
      <c r="B225" s="209" t="s">
        <v>843</v>
      </c>
    </row>
    <row r="226" spans="1:2" ht="31.5" x14ac:dyDescent="0.25">
      <c r="A226" s="208">
        <v>50136</v>
      </c>
      <c r="B226" s="269" t="s">
        <v>1377</v>
      </c>
    </row>
    <row r="227" spans="1:2" ht="47.25" x14ac:dyDescent="0.25">
      <c r="A227" s="208">
        <v>50650</v>
      </c>
      <c r="B227" s="209" t="s">
        <v>391</v>
      </c>
    </row>
    <row r="228" spans="1:2" ht="31.5" x14ac:dyDescent="0.25">
      <c r="A228" s="208">
        <v>50840</v>
      </c>
      <c r="B228" s="331" t="s">
        <v>469</v>
      </c>
    </row>
    <row r="229" spans="1:2" ht="31.5" x14ac:dyDescent="0.25">
      <c r="A229" s="208">
        <v>50970</v>
      </c>
      <c r="B229" s="269" t="s">
        <v>1431</v>
      </c>
    </row>
    <row r="230" spans="1:2" ht="15.75" x14ac:dyDescent="0.25">
      <c r="A230" s="208">
        <v>51180</v>
      </c>
      <c r="B230" s="91" t="s">
        <v>479</v>
      </c>
    </row>
    <row r="231" spans="1:2" ht="31.5" x14ac:dyDescent="0.25">
      <c r="A231" s="208">
        <v>51190</v>
      </c>
      <c r="B231" s="209" t="s">
        <v>994</v>
      </c>
    </row>
    <row r="232" spans="1:2" ht="31.5" x14ac:dyDescent="0.25">
      <c r="A232" s="208">
        <v>51200</v>
      </c>
      <c r="B232" s="91" t="s">
        <v>316</v>
      </c>
    </row>
    <row r="233" spans="1:2" ht="15.75" x14ac:dyDescent="0.25">
      <c r="A233" s="208">
        <v>51370</v>
      </c>
      <c r="B233" s="91" t="s">
        <v>453</v>
      </c>
    </row>
    <row r="234" spans="1:2" ht="31.5" x14ac:dyDescent="0.25">
      <c r="A234" s="208">
        <v>51390</v>
      </c>
      <c r="B234" s="91" t="s">
        <v>1661</v>
      </c>
    </row>
    <row r="235" spans="1:2" ht="15.75" x14ac:dyDescent="0.25">
      <c r="A235" s="208">
        <v>51440</v>
      </c>
      <c r="B235" s="209" t="s">
        <v>995</v>
      </c>
    </row>
    <row r="236" spans="1:2" ht="31.5" x14ac:dyDescent="0.25">
      <c r="A236" s="208">
        <v>52200</v>
      </c>
      <c r="B236" s="91" t="s">
        <v>454</v>
      </c>
    </row>
    <row r="237" spans="1:2" ht="31.5" x14ac:dyDescent="0.25">
      <c r="A237" s="208">
        <v>52400</v>
      </c>
      <c r="B237" s="91" t="s">
        <v>455</v>
      </c>
    </row>
    <row r="238" spans="1:2" ht="15.75" x14ac:dyDescent="0.25">
      <c r="A238" s="208">
        <v>52500</v>
      </c>
      <c r="B238" s="91" t="s">
        <v>456</v>
      </c>
    </row>
    <row r="239" spans="1:2" ht="31.5" x14ac:dyDescent="0.25">
      <c r="A239" s="208">
        <v>52600</v>
      </c>
      <c r="B239" s="331" t="s">
        <v>435</v>
      </c>
    </row>
    <row r="240" spans="1:2" ht="47.25" x14ac:dyDescent="0.25">
      <c r="A240" s="208">
        <v>52700</v>
      </c>
      <c r="B240" s="331" t="s">
        <v>470</v>
      </c>
    </row>
    <row r="241" spans="1:2" ht="15.75" x14ac:dyDescent="0.25">
      <c r="A241" s="208">
        <v>52930</v>
      </c>
      <c r="B241" s="209" t="s">
        <v>1326</v>
      </c>
    </row>
    <row r="242" spans="1:2" ht="31.5" x14ac:dyDescent="0.25">
      <c r="A242" s="208">
        <v>53031</v>
      </c>
      <c r="B242" s="209" t="s">
        <v>1513</v>
      </c>
    </row>
    <row r="243" spans="1:2" ht="15.75" x14ac:dyDescent="0.25">
      <c r="A243" s="208">
        <v>53116</v>
      </c>
      <c r="B243" s="359" t="s">
        <v>1331</v>
      </c>
    </row>
    <row r="244" spans="1:2" ht="47.25" x14ac:dyDescent="0.25">
      <c r="A244" s="208">
        <v>53800</v>
      </c>
      <c r="B244" s="269" t="s">
        <v>996</v>
      </c>
    </row>
    <row r="245" spans="1:2" ht="31.5" x14ac:dyDescent="0.25">
      <c r="A245" s="208" t="s">
        <v>1531</v>
      </c>
      <c r="B245" s="269" t="s">
        <v>1532</v>
      </c>
    </row>
    <row r="246" spans="1:2" ht="31.5" x14ac:dyDescent="0.25">
      <c r="A246" s="208">
        <v>53810</v>
      </c>
      <c r="B246" s="91" t="s">
        <v>457</v>
      </c>
    </row>
    <row r="247" spans="1:2" ht="31.5" x14ac:dyDescent="0.25">
      <c r="A247" s="208">
        <v>53850</v>
      </c>
      <c r="B247" s="91" t="s">
        <v>458</v>
      </c>
    </row>
    <row r="248" spans="1:2" ht="15.75" x14ac:dyDescent="0.25">
      <c r="A248" s="208">
        <v>53910</v>
      </c>
      <c r="B248" s="91" t="s">
        <v>1662</v>
      </c>
    </row>
    <row r="249" spans="1:2" ht="47.25" x14ac:dyDescent="0.25">
      <c r="A249" s="208">
        <v>54246</v>
      </c>
      <c r="B249" s="359" t="s">
        <v>1587</v>
      </c>
    </row>
    <row r="250" spans="1:2" ht="31.5" x14ac:dyDescent="0.25">
      <c r="A250" s="208">
        <v>54620</v>
      </c>
      <c r="B250" s="91" t="s">
        <v>1663</v>
      </c>
    </row>
    <row r="251" spans="1:2" ht="15.75" x14ac:dyDescent="0.25">
      <c r="A251" s="208">
        <v>54690</v>
      </c>
      <c r="B251" s="91" t="s">
        <v>1512</v>
      </c>
    </row>
    <row r="252" spans="1:2" ht="15.75" x14ac:dyDescent="0.25">
      <c r="A252" s="208">
        <v>55133</v>
      </c>
      <c r="B252" s="91" t="s">
        <v>1428</v>
      </c>
    </row>
    <row r="253" spans="1:2" ht="31.5" x14ac:dyDescent="0.25">
      <c r="A253" s="208">
        <v>55191</v>
      </c>
      <c r="B253" s="91" t="s">
        <v>1571</v>
      </c>
    </row>
    <row r="254" spans="1:2" ht="15.75" x14ac:dyDescent="0.25">
      <c r="A254" s="208">
        <v>55196</v>
      </c>
      <c r="B254" s="91" t="s">
        <v>1428</v>
      </c>
    </row>
    <row r="255" spans="1:2" ht="15.75" x14ac:dyDescent="0.25">
      <c r="A255" s="208">
        <v>55556</v>
      </c>
      <c r="B255" s="91" t="s">
        <v>1664</v>
      </c>
    </row>
    <row r="256" spans="1:2" ht="15.75" x14ac:dyDescent="0.25">
      <c r="A256" s="208">
        <v>55730</v>
      </c>
      <c r="B256" s="91" t="s">
        <v>1607</v>
      </c>
    </row>
    <row r="257" spans="1:2" ht="15.75" x14ac:dyDescent="0.25">
      <c r="A257" s="208">
        <v>56936</v>
      </c>
      <c r="B257" s="91"/>
    </row>
    <row r="258" spans="1:2" ht="15.75" x14ac:dyDescent="0.25">
      <c r="A258" s="208">
        <v>59300</v>
      </c>
      <c r="B258" s="91" t="s">
        <v>333</v>
      </c>
    </row>
    <row r="259" spans="1:2" ht="31.5" x14ac:dyDescent="0.25">
      <c r="A259" s="208" t="s">
        <v>1529</v>
      </c>
      <c r="B259" s="91" t="s">
        <v>1665</v>
      </c>
    </row>
    <row r="260" spans="1:2" ht="31.5" x14ac:dyDescent="0.25">
      <c r="A260" s="208">
        <v>70370</v>
      </c>
      <c r="B260" s="91" t="s">
        <v>1783</v>
      </c>
    </row>
    <row r="261" spans="1:2" ht="15.75" x14ac:dyDescent="0.25">
      <c r="A261" s="208">
        <v>70416</v>
      </c>
      <c r="B261" s="269" t="s">
        <v>1707</v>
      </c>
    </row>
    <row r="262" spans="1:2" ht="31.5" x14ac:dyDescent="0.25">
      <c r="A262" s="208">
        <v>70430</v>
      </c>
      <c r="B262" s="331" t="s">
        <v>436</v>
      </c>
    </row>
    <row r="263" spans="1:2" ht="31.5" x14ac:dyDescent="0.25">
      <c r="A263" s="208">
        <v>70460</v>
      </c>
      <c r="B263" s="331" t="s">
        <v>437</v>
      </c>
    </row>
    <row r="264" spans="1:2" ht="31.5" x14ac:dyDescent="0.25">
      <c r="A264" s="208">
        <v>70470</v>
      </c>
      <c r="B264" s="209" t="s">
        <v>413</v>
      </c>
    </row>
    <row r="265" spans="1:2" ht="15.75" x14ac:dyDescent="0.25">
      <c r="A265" s="208">
        <v>70480</v>
      </c>
      <c r="B265" s="209" t="s">
        <v>997</v>
      </c>
    </row>
    <row r="266" spans="1:2" ht="15.75" x14ac:dyDescent="0.25">
      <c r="A266" s="208">
        <v>70500</v>
      </c>
      <c r="B266" s="331" t="s">
        <v>438</v>
      </c>
    </row>
    <row r="267" spans="1:2" ht="31.5" x14ac:dyDescent="0.25">
      <c r="A267" s="208">
        <v>70510</v>
      </c>
      <c r="B267" s="209" t="s">
        <v>373</v>
      </c>
    </row>
    <row r="268" spans="1:2" ht="15.75" x14ac:dyDescent="0.25">
      <c r="A268" s="208">
        <v>70520</v>
      </c>
      <c r="B268" s="331" t="s">
        <v>383</v>
      </c>
    </row>
    <row r="269" spans="1:2" ht="31.5" x14ac:dyDescent="0.25">
      <c r="A269" s="208">
        <v>70530</v>
      </c>
      <c r="B269" s="331" t="s">
        <v>384</v>
      </c>
    </row>
    <row r="270" spans="1:2" ht="15.75" x14ac:dyDescent="0.25">
      <c r="A270" s="208">
        <v>70550</v>
      </c>
      <c r="B270" s="331" t="s">
        <v>417</v>
      </c>
    </row>
    <row r="271" spans="1:2" ht="31.5" x14ac:dyDescent="0.25">
      <c r="A271" s="208">
        <v>70560</v>
      </c>
      <c r="B271" s="209" t="s">
        <v>998</v>
      </c>
    </row>
    <row r="272" spans="1:2" ht="31.5" x14ac:dyDescent="0.25">
      <c r="A272" s="208">
        <v>70570</v>
      </c>
      <c r="B272" s="209" t="s">
        <v>999</v>
      </c>
    </row>
    <row r="273" spans="1:2" ht="15.75" x14ac:dyDescent="0.25">
      <c r="A273" s="208">
        <v>70620</v>
      </c>
      <c r="B273" s="269" t="s">
        <v>1761</v>
      </c>
    </row>
    <row r="274" spans="1:2" ht="15.75" x14ac:dyDescent="0.25">
      <c r="A274" s="208">
        <v>70626</v>
      </c>
      <c r="B274" s="269" t="s">
        <v>1761</v>
      </c>
    </row>
    <row r="275" spans="1:2" ht="31.5" x14ac:dyDescent="0.25">
      <c r="A275" s="208">
        <v>70650</v>
      </c>
      <c r="B275" s="91" t="s">
        <v>504</v>
      </c>
    </row>
    <row r="276" spans="1:2" ht="31.5" x14ac:dyDescent="0.25">
      <c r="A276" s="208">
        <v>70660</v>
      </c>
      <c r="B276" s="209" t="s">
        <v>1000</v>
      </c>
    </row>
    <row r="277" spans="1:2" ht="15.75" x14ac:dyDescent="0.25">
      <c r="A277" s="208">
        <v>70670</v>
      </c>
      <c r="B277" s="209" t="s">
        <v>1001</v>
      </c>
    </row>
    <row r="278" spans="1:2" ht="31.5" x14ac:dyDescent="0.25">
      <c r="A278" s="208">
        <v>70740</v>
      </c>
      <c r="B278" s="91" t="s">
        <v>459</v>
      </c>
    </row>
    <row r="279" spans="1:2" ht="31.5" x14ac:dyDescent="0.25">
      <c r="A279" s="208">
        <v>70750</v>
      </c>
      <c r="B279" s="91" t="s">
        <v>460</v>
      </c>
    </row>
    <row r="280" spans="1:2" ht="31.5" x14ac:dyDescent="0.25">
      <c r="A280" s="208">
        <v>70760</v>
      </c>
      <c r="B280" s="91" t="s">
        <v>1787</v>
      </c>
    </row>
    <row r="281" spans="1:2" ht="15.75" x14ac:dyDescent="0.25">
      <c r="A281" s="208">
        <v>70780</v>
      </c>
      <c r="B281" s="91" t="s">
        <v>1788</v>
      </c>
    </row>
    <row r="282" spans="1:2" ht="31.5" x14ac:dyDescent="0.25">
      <c r="A282" s="208">
        <v>70830</v>
      </c>
      <c r="B282" s="209" t="s">
        <v>471</v>
      </c>
    </row>
    <row r="283" spans="1:2" ht="31.5" x14ac:dyDescent="0.25">
      <c r="A283" s="208">
        <v>70840</v>
      </c>
      <c r="B283" s="91" t="s">
        <v>461</v>
      </c>
    </row>
    <row r="284" spans="1:2" ht="47.25" x14ac:dyDescent="0.25">
      <c r="A284" s="208">
        <v>70850</v>
      </c>
      <c r="B284" s="91" t="s">
        <v>452</v>
      </c>
    </row>
    <row r="285" spans="1:2" ht="15.75" x14ac:dyDescent="0.25">
      <c r="A285" s="208">
        <v>70860</v>
      </c>
      <c r="B285" s="91" t="s">
        <v>462</v>
      </c>
    </row>
    <row r="286" spans="1:2" ht="31.5" x14ac:dyDescent="0.25">
      <c r="A286" s="208">
        <v>70870</v>
      </c>
      <c r="B286" s="269" t="s">
        <v>472</v>
      </c>
    </row>
    <row r="287" spans="1:2" ht="15.75" x14ac:dyDescent="0.25">
      <c r="A287" s="208">
        <v>70890</v>
      </c>
      <c r="B287" s="91" t="s">
        <v>463</v>
      </c>
    </row>
    <row r="288" spans="1:2" ht="15.75" x14ac:dyDescent="0.25">
      <c r="A288" s="208">
        <v>70920</v>
      </c>
      <c r="B288" s="209" t="s">
        <v>957</v>
      </c>
    </row>
    <row r="289" spans="1:2" ht="31.5" x14ac:dyDescent="0.25">
      <c r="A289" s="208">
        <v>70930</v>
      </c>
      <c r="B289" s="209" t="s">
        <v>1002</v>
      </c>
    </row>
    <row r="290" spans="1:2" ht="31.5" x14ac:dyDescent="0.25">
      <c r="A290" s="208">
        <v>70970</v>
      </c>
      <c r="B290" s="209" t="s">
        <v>439</v>
      </c>
    </row>
    <row r="291" spans="1:2" ht="15.75" x14ac:dyDescent="0.25">
      <c r="A291" s="208">
        <v>70990</v>
      </c>
      <c r="B291" s="209" t="s">
        <v>1003</v>
      </c>
    </row>
    <row r="292" spans="1:2" ht="31.5" x14ac:dyDescent="0.25">
      <c r="A292" s="208">
        <v>71000</v>
      </c>
      <c r="B292" s="269" t="s">
        <v>392</v>
      </c>
    </row>
    <row r="293" spans="1:2" ht="15.75" x14ac:dyDescent="0.25">
      <c r="A293" s="208">
        <v>71010</v>
      </c>
      <c r="B293" s="209" t="s">
        <v>1004</v>
      </c>
    </row>
    <row r="294" spans="1:2" ht="31.5" x14ac:dyDescent="0.25">
      <c r="A294" s="208">
        <v>71060</v>
      </c>
      <c r="B294" s="269" t="s">
        <v>393</v>
      </c>
    </row>
    <row r="295" spans="1:2" ht="31.5" x14ac:dyDescent="0.25">
      <c r="A295" s="208">
        <v>71160</v>
      </c>
      <c r="B295" s="209" t="s">
        <v>1005</v>
      </c>
    </row>
    <row r="296" spans="1:2" ht="31.5" x14ac:dyDescent="0.25">
      <c r="A296" s="208">
        <v>71170</v>
      </c>
      <c r="B296" s="209" t="s">
        <v>1006</v>
      </c>
    </row>
    <row r="297" spans="1:2" ht="31.5" x14ac:dyDescent="0.25">
      <c r="A297" s="208">
        <v>71180</v>
      </c>
      <c r="B297" s="209" t="s">
        <v>1007</v>
      </c>
    </row>
    <row r="298" spans="1:2" ht="31.5" x14ac:dyDescent="0.25">
      <c r="A298" s="208">
        <v>71190</v>
      </c>
      <c r="B298" s="209" t="s">
        <v>1666</v>
      </c>
    </row>
    <row r="299" spans="1:2" ht="31.5" x14ac:dyDescent="0.25">
      <c r="A299" s="208">
        <v>71230</v>
      </c>
      <c r="B299" s="269" t="s">
        <v>1667</v>
      </c>
    </row>
    <row r="300" spans="1:2" ht="31.5" x14ac:dyDescent="0.25">
      <c r="A300" s="208">
        <v>71236</v>
      </c>
      <c r="B300" s="269" t="s">
        <v>1224</v>
      </c>
    </row>
    <row r="301" spans="1:2" ht="31.5" x14ac:dyDescent="0.25">
      <c r="A301" s="208">
        <v>71280</v>
      </c>
      <c r="B301" s="269" t="s">
        <v>1374</v>
      </c>
    </row>
    <row r="302" spans="1:2" ht="31.5" x14ac:dyDescent="0.25">
      <c r="A302" s="208">
        <v>71430</v>
      </c>
      <c r="B302" s="209" t="s">
        <v>408</v>
      </c>
    </row>
    <row r="303" spans="1:2" ht="15.75" x14ac:dyDescent="0.25">
      <c r="A303" s="208">
        <v>71450</v>
      </c>
      <c r="B303" s="269" t="s">
        <v>1668</v>
      </c>
    </row>
    <row r="304" spans="1:2" ht="31.5" x14ac:dyDescent="0.25">
      <c r="A304" s="208">
        <v>71690</v>
      </c>
      <c r="B304" s="91" t="s">
        <v>1604</v>
      </c>
    </row>
    <row r="305" spans="1:2" ht="15.75" x14ac:dyDescent="0.25">
      <c r="A305" s="208">
        <v>71700</v>
      </c>
      <c r="B305" s="209" t="s">
        <v>1009</v>
      </c>
    </row>
    <row r="306" spans="1:2" ht="31.5" x14ac:dyDescent="0.25">
      <c r="A306" s="208">
        <v>71750</v>
      </c>
      <c r="B306" s="269" t="s">
        <v>96</v>
      </c>
    </row>
    <row r="307" spans="1:2" ht="15.75" x14ac:dyDescent="0.25">
      <c r="A307" s="208">
        <v>71756</v>
      </c>
      <c r="B307" s="269" t="s">
        <v>1225</v>
      </c>
    </row>
    <row r="308" spans="1:2" ht="31.5" x14ac:dyDescent="0.25">
      <c r="A308" s="208">
        <v>71860</v>
      </c>
      <c r="B308" s="91" t="s">
        <v>1010</v>
      </c>
    </row>
    <row r="309" spans="1:2" ht="15.75" x14ac:dyDescent="0.25">
      <c r="A309" s="208">
        <v>72010</v>
      </c>
      <c r="B309" s="91" t="s">
        <v>1011</v>
      </c>
    </row>
    <row r="310" spans="1:2" ht="31.5" x14ac:dyDescent="0.25">
      <c r="A310" s="208">
        <v>72040</v>
      </c>
      <c r="B310" s="209" t="s">
        <v>1012</v>
      </c>
    </row>
    <row r="311" spans="1:2" ht="15.75" x14ac:dyDescent="0.25">
      <c r="A311" s="208">
        <v>72150</v>
      </c>
      <c r="B311" s="91" t="s">
        <v>1013</v>
      </c>
    </row>
    <row r="312" spans="1:2" ht="31.5" x14ac:dyDescent="0.25">
      <c r="A312" s="208">
        <v>72170</v>
      </c>
      <c r="B312" s="91" t="s">
        <v>1014</v>
      </c>
    </row>
    <row r="313" spans="1:2" ht="15.75" x14ac:dyDescent="0.25">
      <c r="A313" s="208">
        <v>72280</v>
      </c>
      <c r="B313" s="209" t="s">
        <v>1015</v>
      </c>
    </row>
    <row r="314" spans="1:2" ht="15.75" x14ac:dyDescent="0.25">
      <c r="A314" s="208">
        <v>72290</v>
      </c>
      <c r="B314" s="209" t="s">
        <v>1016</v>
      </c>
    </row>
    <row r="315" spans="1:2" ht="15.75" x14ac:dyDescent="0.25">
      <c r="A315" s="207">
        <v>72440</v>
      </c>
      <c r="B315" s="389" t="s">
        <v>550</v>
      </c>
    </row>
    <row r="316" spans="1:2" ht="15.75" x14ac:dyDescent="0.25">
      <c r="A316" s="207" t="s">
        <v>1448</v>
      </c>
      <c r="B316" s="389" t="s">
        <v>550</v>
      </c>
    </row>
    <row r="317" spans="1:2" ht="31.5" x14ac:dyDescent="0.25">
      <c r="A317" s="208">
        <v>72470</v>
      </c>
      <c r="B317" s="91" t="s">
        <v>1017</v>
      </c>
    </row>
    <row r="318" spans="1:2" ht="31.5" x14ac:dyDescent="0.25">
      <c r="A318" s="208">
        <v>72550</v>
      </c>
      <c r="B318" s="91" t="s">
        <v>1670</v>
      </c>
    </row>
    <row r="319" spans="1:2" ht="31.5" x14ac:dyDescent="0.25">
      <c r="A319" s="208">
        <v>72560</v>
      </c>
      <c r="B319" s="91" t="s">
        <v>1669</v>
      </c>
    </row>
    <row r="320" spans="1:2" ht="31.5" x14ac:dyDescent="0.25">
      <c r="A320" s="208">
        <v>72610</v>
      </c>
      <c r="B320" s="209" t="s">
        <v>1018</v>
      </c>
    </row>
    <row r="321" spans="1:2" ht="47.25" x14ac:dyDescent="0.25">
      <c r="A321" s="208">
        <v>72886</v>
      </c>
      <c r="B321" s="269" t="s">
        <v>1582</v>
      </c>
    </row>
    <row r="322" spans="1:2" ht="15.75" x14ac:dyDescent="0.25">
      <c r="A322" s="208">
        <v>72940</v>
      </c>
      <c r="B322" s="209" t="s">
        <v>1019</v>
      </c>
    </row>
    <row r="323" spans="1:2" ht="15.75" x14ac:dyDescent="0.25">
      <c r="A323" s="208">
        <v>72970</v>
      </c>
      <c r="B323" s="91" t="s">
        <v>486</v>
      </c>
    </row>
    <row r="324" spans="1:2" ht="31.5" x14ac:dyDescent="0.25">
      <c r="A324" s="208">
        <v>73000</v>
      </c>
      <c r="B324" s="209" t="s">
        <v>1020</v>
      </c>
    </row>
    <row r="325" spans="1:2" ht="15.75" x14ac:dyDescent="0.25">
      <c r="A325" s="208">
        <v>73040</v>
      </c>
      <c r="B325" s="91" t="s">
        <v>464</v>
      </c>
    </row>
    <row r="326" spans="1:2" ht="31.5" x14ac:dyDescent="0.25">
      <c r="A326" s="208">
        <v>73110</v>
      </c>
      <c r="B326" s="331" t="s">
        <v>374</v>
      </c>
    </row>
    <row r="327" spans="1:2" ht="15.75" x14ac:dyDescent="0.25">
      <c r="A327" s="208">
        <v>73140</v>
      </c>
      <c r="B327" s="209" t="s">
        <v>1349</v>
      </c>
    </row>
    <row r="328" spans="1:2" ht="15.75" x14ac:dyDescent="0.25">
      <c r="A328" s="208">
        <v>73230</v>
      </c>
      <c r="B328" s="209" t="s">
        <v>1021</v>
      </c>
    </row>
    <row r="329" spans="1:2" ht="15.75" x14ac:dyDescent="0.25">
      <c r="A329" s="208">
        <v>73260</v>
      </c>
      <c r="B329" s="269" t="s">
        <v>1226</v>
      </c>
    </row>
    <row r="330" spans="1:2" ht="15.75" x14ac:dyDescent="0.25">
      <c r="A330" s="208">
        <v>73266</v>
      </c>
      <c r="B330" s="269" t="s">
        <v>1353</v>
      </c>
    </row>
    <row r="331" spans="1:2" ht="15.75" x14ac:dyDescent="0.25">
      <c r="A331" s="208">
        <v>73280</v>
      </c>
      <c r="B331" s="209" t="s">
        <v>324</v>
      </c>
    </row>
    <row r="332" spans="1:2" ht="31.5" x14ac:dyDescent="0.25">
      <c r="A332" s="208">
        <v>73900</v>
      </c>
      <c r="B332" s="269" t="s">
        <v>1671</v>
      </c>
    </row>
    <row r="333" spans="1:2" ht="31.5" x14ac:dyDescent="0.25">
      <c r="A333" s="208">
        <v>73930</v>
      </c>
      <c r="B333" s="269" t="s">
        <v>1371</v>
      </c>
    </row>
    <row r="334" spans="1:2" ht="37.5" customHeight="1" x14ac:dyDescent="0.25">
      <c r="A334" s="208">
        <v>73936</v>
      </c>
      <c r="B334" s="269" t="s">
        <v>1372</v>
      </c>
    </row>
    <row r="335" spans="1:2" ht="15.75" x14ac:dyDescent="0.25">
      <c r="A335" s="208"/>
      <c r="B335" s="269"/>
    </row>
    <row r="336" spans="1:2" ht="15.75" x14ac:dyDescent="0.25">
      <c r="A336" s="208">
        <v>74390</v>
      </c>
      <c r="B336" s="91" t="s">
        <v>394</v>
      </c>
    </row>
    <row r="337" spans="1:2" ht="15.75" x14ac:dyDescent="0.25">
      <c r="A337" s="208">
        <v>74420</v>
      </c>
      <c r="B337" s="499" t="s">
        <v>1681</v>
      </c>
    </row>
    <row r="338" spans="1:2" ht="31.5" x14ac:dyDescent="0.25">
      <c r="A338" s="208">
        <v>74450</v>
      </c>
      <c r="B338" s="91" t="s">
        <v>1672</v>
      </c>
    </row>
    <row r="339" spans="1:2" ht="15.75" x14ac:dyDescent="0.25">
      <c r="A339" s="208">
        <v>74540</v>
      </c>
      <c r="B339" s="91" t="s">
        <v>1758</v>
      </c>
    </row>
    <row r="340" spans="1:2" ht="15.75" x14ac:dyDescent="0.25">
      <c r="A340" s="208">
        <v>74770</v>
      </c>
      <c r="B340" s="91" t="s">
        <v>1022</v>
      </c>
    </row>
    <row r="341" spans="1:2" ht="31.5" x14ac:dyDescent="0.25">
      <c r="A341" s="208">
        <v>74790</v>
      </c>
      <c r="B341" s="91" t="s">
        <v>91</v>
      </c>
    </row>
    <row r="342" spans="1:2" ht="15.75" x14ac:dyDescent="0.25">
      <c r="A342" s="208">
        <v>74880</v>
      </c>
      <c r="B342" s="91" t="s">
        <v>1066</v>
      </c>
    </row>
    <row r="343" spans="1:2" ht="15.75" x14ac:dyDescent="0.25">
      <c r="A343" s="208">
        <v>75160</v>
      </c>
      <c r="B343" s="91" t="s">
        <v>1673</v>
      </c>
    </row>
    <row r="344" spans="1:2" ht="15.75" x14ac:dyDescent="0.25">
      <c r="A344" s="208">
        <v>75260</v>
      </c>
      <c r="B344" s="91" t="s">
        <v>1674</v>
      </c>
    </row>
    <row r="345" spans="1:2" ht="15.75" x14ac:dyDescent="0.25">
      <c r="A345" s="208">
        <v>75350</v>
      </c>
      <c r="B345" s="91" t="s">
        <v>1227</v>
      </c>
    </row>
    <row r="346" spans="1:2" ht="31.5" x14ac:dyDescent="0.25">
      <c r="A346" s="208">
        <v>75356</v>
      </c>
      <c r="B346" s="91" t="s">
        <v>1228</v>
      </c>
    </row>
    <row r="347" spans="1:2" ht="31.5" x14ac:dyDescent="0.25">
      <c r="A347" s="208">
        <v>75480</v>
      </c>
      <c r="B347" s="91" t="s">
        <v>1166</v>
      </c>
    </row>
    <row r="348" spans="1:2" ht="31.5" x14ac:dyDescent="0.25">
      <c r="A348" s="208">
        <v>75490</v>
      </c>
      <c r="B348" s="91" t="s">
        <v>1156</v>
      </c>
    </row>
    <row r="349" spans="1:2" ht="15.75" x14ac:dyDescent="0.25">
      <c r="A349" s="208">
        <v>75510</v>
      </c>
      <c r="B349" s="91" t="s">
        <v>1515</v>
      </c>
    </row>
    <row r="350" spans="1:2" ht="31.5" x14ac:dyDescent="0.25">
      <c r="A350" s="208">
        <v>75520</v>
      </c>
      <c r="B350" s="91" t="s">
        <v>1534</v>
      </c>
    </row>
    <row r="351" spans="1:2" ht="15.75" x14ac:dyDescent="0.25">
      <c r="A351" s="208">
        <v>75550</v>
      </c>
      <c r="B351" s="91" t="s">
        <v>1229</v>
      </c>
    </row>
    <row r="352" spans="1:2" ht="15.75" x14ac:dyDescent="0.25">
      <c r="A352" s="208">
        <v>75556</v>
      </c>
      <c r="B352" s="91" t="s">
        <v>1230</v>
      </c>
    </row>
    <row r="353" spans="1:2" ht="15.75" x14ac:dyDescent="0.25">
      <c r="A353" s="208">
        <v>75620</v>
      </c>
      <c r="B353" s="91" t="s">
        <v>1354</v>
      </c>
    </row>
    <row r="354" spans="1:2" ht="15.75" x14ac:dyDescent="0.25">
      <c r="A354" s="208">
        <v>75626</v>
      </c>
      <c r="B354" s="91" t="s">
        <v>1206</v>
      </c>
    </row>
    <row r="355" spans="1:2" ht="15.75" x14ac:dyDescent="0.25">
      <c r="A355" s="208">
        <v>75800</v>
      </c>
      <c r="B355" s="91" t="s">
        <v>1159</v>
      </c>
    </row>
    <row r="356" spans="1:2" ht="31.5" x14ac:dyDescent="0.25">
      <c r="A356" s="686">
        <v>75870</v>
      </c>
      <c r="B356" s="687" t="s">
        <v>1231</v>
      </c>
    </row>
    <row r="357" spans="1:2" ht="15.75" x14ac:dyDescent="0.25">
      <c r="A357" s="208">
        <v>75876</v>
      </c>
      <c r="B357" s="687" t="s">
        <v>1232</v>
      </c>
    </row>
    <row r="358" spans="1:2" ht="31.5" x14ac:dyDescent="0.25">
      <c r="A358" s="208">
        <v>75880</v>
      </c>
      <c r="B358" s="91" t="s">
        <v>1322</v>
      </c>
    </row>
    <row r="359" spans="1:2" ht="15.75" x14ac:dyDescent="0.25">
      <c r="A359" s="208">
        <v>75890</v>
      </c>
      <c r="B359" s="91" t="s">
        <v>1682</v>
      </c>
    </row>
    <row r="360" spans="1:2" ht="15.75" x14ac:dyDescent="0.25">
      <c r="A360" s="208">
        <v>75900</v>
      </c>
      <c r="B360" s="91" t="s">
        <v>1658</v>
      </c>
    </row>
    <row r="361" spans="1:2" ht="15.75" x14ac:dyDescent="0.25">
      <c r="A361" s="208">
        <v>76150</v>
      </c>
      <c r="B361" s="91" t="s">
        <v>1203</v>
      </c>
    </row>
    <row r="362" spans="1:2" ht="31.5" x14ac:dyDescent="0.25">
      <c r="A362" s="208">
        <v>76160</v>
      </c>
      <c r="B362" s="91" t="s">
        <v>1350</v>
      </c>
    </row>
    <row r="363" spans="1:2" ht="31.5" x14ac:dyDescent="0.25">
      <c r="A363" s="208">
        <v>76426</v>
      </c>
      <c r="B363" s="91" t="s">
        <v>1378</v>
      </c>
    </row>
    <row r="364" spans="1:2" ht="15.75" x14ac:dyDescent="0.25">
      <c r="A364" s="208">
        <v>76900</v>
      </c>
      <c r="B364" s="91" t="s">
        <v>1462</v>
      </c>
    </row>
    <row r="365" spans="1:2" ht="31.5" x14ac:dyDescent="0.25">
      <c r="A365" s="208">
        <v>76935</v>
      </c>
      <c r="B365" s="776" t="s">
        <v>1704</v>
      </c>
    </row>
    <row r="366" spans="1:2" ht="36.950000000000003" customHeight="1" x14ac:dyDescent="0.25">
      <c r="A366" s="208">
        <v>76936</v>
      </c>
      <c r="B366" s="776" t="s">
        <v>1580</v>
      </c>
    </row>
    <row r="367" spans="1:2" ht="36.950000000000003" customHeight="1" x14ac:dyDescent="0.25">
      <c r="A367" s="208">
        <v>76950</v>
      </c>
      <c r="B367" s="91" t="s">
        <v>1203</v>
      </c>
    </row>
    <row r="368" spans="1:2" ht="36.950000000000003" customHeight="1" x14ac:dyDescent="0.25">
      <c r="A368" s="208">
        <v>77260</v>
      </c>
      <c r="B368" s="91" t="s">
        <v>1595</v>
      </c>
    </row>
    <row r="369" spans="1:2" ht="36.950000000000003" customHeight="1" x14ac:dyDescent="0.25">
      <c r="A369" s="208">
        <v>77266</v>
      </c>
      <c r="B369" s="91" t="s">
        <v>1585</v>
      </c>
    </row>
    <row r="370" spans="1:2" ht="36.950000000000003" customHeight="1" x14ac:dyDescent="0.25">
      <c r="A370" s="208">
        <v>77356</v>
      </c>
      <c r="B370" s="91" t="s">
        <v>1703</v>
      </c>
    </row>
    <row r="371" spans="1:2" ht="36.950000000000003" customHeight="1" x14ac:dyDescent="0.25">
      <c r="A371" s="208">
        <v>77440</v>
      </c>
      <c r="B371" s="91" t="s">
        <v>1615</v>
      </c>
    </row>
    <row r="372" spans="1:2" ht="15.75" x14ac:dyDescent="0.25">
      <c r="A372" s="208">
        <v>80120</v>
      </c>
      <c r="B372" s="209" t="s">
        <v>1023</v>
      </c>
    </row>
    <row r="373" spans="1:2" ht="31.5" x14ac:dyDescent="0.25">
      <c r="A373" s="208">
        <v>80190</v>
      </c>
      <c r="B373" s="331" t="s">
        <v>334</v>
      </c>
    </row>
    <row r="374" spans="1:2" ht="31.5" x14ac:dyDescent="0.25">
      <c r="A374" s="208">
        <v>80200</v>
      </c>
      <c r="B374" s="331" t="s">
        <v>335</v>
      </c>
    </row>
    <row r="375" spans="1:2" ht="31.5" x14ac:dyDescent="0.25">
      <c r="A375" s="208">
        <v>90050</v>
      </c>
      <c r="B375" s="269" t="s">
        <v>1355</v>
      </c>
    </row>
    <row r="376" spans="1:2" ht="15.75" x14ac:dyDescent="0.25">
      <c r="A376" s="208" t="s">
        <v>1032</v>
      </c>
      <c r="B376" s="390" t="s">
        <v>1033</v>
      </c>
    </row>
    <row r="377" spans="1:2" ht="15.75" x14ac:dyDescent="0.25">
      <c r="A377" s="208" t="s">
        <v>1233</v>
      </c>
      <c r="B377" s="390" t="s">
        <v>1234</v>
      </c>
    </row>
    <row r="378" spans="1:2" ht="31.5" x14ac:dyDescent="0.25">
      <c r="A378" s="208" t="s">
        <v>1496</v>
      </c>
      <c r="B378" s="390" t="s">
        <v>1497</v>
      </c>
    </row>
    <row r="379" spans="1:2" ht="15.75" x14ac:dyDescent="0.25">
      <c r="A379" s="208" t="s">
        <v>1235</v>
      </c>
      <c r="B379" s="390" t="s">
        <v>1236</v>
      </c>
    </row>
    <row r="380" spans="1:2" ht="15.75" x14ac:dyDescent="0.25">
      <c r="A380" s="208" t="s">
        <v>1237</v>
      </c>
      <c r="B380" s="390" t="s">
        <v>1238</v>
      </c>
    </row>
    <row r="381" spans="1:2" ht="15.75" x14ac:dyDescent="0.25">
      <c r="A381" s="208" t="s">
        <v>1755</v>
      </c>
      <c r="B381" s="390" t="s">
        <v>1756</v>
      </c>
    </row>
    <row r="382" spans="1:2" ht="15.75" x14ac:dyDescent="0.25">
      <c r="A382" s="208" t="s">
        <v>1426</v>
      </c>
      <c r="B382" s="390" t="s">
        <v>1427</v>
      </c>
    </row>
    <row r="383" spans="1:2" ht="15.75" x14ac:dyDescent="0.25">
      <c r="A383" s="208" t="s">
        <v>1654</v>
      </c>
      <c r="B383" s="390" t="s">
        <v>1655</v>
      </c>
    </row>
    <row r="384" spans="1:2" ht="31.5" x14ac:dyDescent="0.25">
      <c r="A384" s="208" t="s">
        <v>1239</v>
      </c>
      <c r="B384" s="390" t="s">
        <v>1240</v>
      </c>
    </row>
    <row r="385" spans="1:2" ht="15.75" x14ac:dyDescent="0.25">
      <c r="A385" s="208" t="s">
        <v>1241</v>
      </c>
      <c r="B385" s="390" t="s">
        <v>1242</v>
      </c>
    </row>
    <row r="386" spans="1:2" ht="31.5" x14ac:dyDescent="0.25">
      <c r="A386" s="208" t="s">
        <v>1243</v>
      </c>
      <c r="B386" s="390" t="s">
        <v>1244</v>
      </c>
    </row>
    <row r="387" spans="1:2" ht="15.75" x14ac:dyDescent="0.25">
      <c r="A387" s="208" t="s">
        <v>1031</v>
      </c>
      <c r="B387" s="390" t="s">
        <v>1034</v>
      </c>
    </row>
    <row r="388" spans="1:2" ht="31.5" x14ac:dyDescent="0.25">
      <c r="A388" s="208" t="s">
        <v>1245</v>
      </c>
      <c r="B388" s="269" t="s">
        <v>334</v>
      </c>
    </row>
    <row r="389" spans="1:2" ht="31.5" x14ac:dyDescent="0.25">
      <c r="A389" s="208" t="s">
        <v>1246</v>
      </c>
      <c r="B389" s="269" t="s">
        <v>335</v>
      </c>
    </row>
    <row r="390" spans="1:2" ht="31.5" x14ac:dyDescent="0.25">
      <c r="A390" s="208" t="s">
        <v>1247</v>
      </c>
      <c r="B390" s="269" t="s">
        <v>436</v>
      </c>
    </row>
    <row r="391" spans="1:2" ht="15.75" x14ac:dyDescent="0.25">
      <c r="A391" s="208"/>
      <c r="B391" s="269"/>
    </row>
    <row r="392" spans="1:2" ht="31.5" x14ac:dyDescent="0.25">
      <c r="A392" s="208" t="s">
        <v>1248</v>
      </c>
      <c r="B392" s="269" t="s">
        <v>437</v>
      </c>
    </row>
    <row r="393" spans="1:2" ht="15.75" x14ac:dyDescent="0.25">
      <c r="A393" s="208" t="s">
        <v>1249</v>
      </c>
      <c r="B393" s="269" t="s">
        <v>438</v>
      </c>
    </row>
    <row r="394" spans="1:2" ht="31.5" x14ac:dyDescent="0.25">
      <c r="A394" s="208" t="s">
        <v>1250</v>
      </c>
      <c r="B394" s="269" t="s">
        <v>373</v>
      </c>
    </row>
    <row r="395" spans="1:2" ht="15.75" x14ac:dyDescent="0.25">
      <c r="A395" s="208" t="s">
        <v>1251</v>
      </c>
      <c r="B395" s="269" t="s">
        <v>383</v>
      </c>
    </row>
    <row r="396" spans="1:2" ht="31.5" x14ac:dyDescent="0.25">
      <c r="A396" s="208" t="s">
        <v>1252</v>
      </c>
      <c r="B396" s="269" t="s">
        <v>384</v>
      </c>
    </row>
    <row r="397" spans="1:2" ht="15.75" x14ac:dyDescent="0.25">
      <c r="A397" s="208" t="s">
        <v>1253</v>
      </c>
      <c r="B397" s="269" t="s">
        <v>417</v>
      </c>
    </row>
    <row r="398" spans="1:2" ht="31.5" x14ac:dyDescent="0.25">
      <c r="A398" s="208" t="s">
        <v>1254</v>
      </c>
      <c r="B398" s="269" t="s">
        <v>504</v>
      </c>
    </row>
    <row r="399" spans="1:2" ht="31.5" x14ac:dyDescent="0.25">
      <c r="A399" s="208" t="s">
        <v>1255</v>
      </c>
      <c r="B399" s="269" t="s">
        <v>459</v>
      </c>
    </row>
    <row r="400" spans="1:2" ht="31.5" x14ac:dyDescent="0.25">
      <c r="A400" s="208" t="s">
        <v>1256</v>
      </c>
      <c r="B400" s="269" t="s">
        <v>460</v>
      </c>
    </row>
    <row r="401" spans="1:2" ht="31.5" x14ac:dyDescent="0.25">
      <c r="A401" s="208" t="s">
        <v>1025</v>
      </c>
      <c r="B401" s="269" t="s">
        <v>471</v>
      </c>
    </row>
    <row r="402" spans="1:2" ht="31.5" x14ac:dyDescent="0.25">
      <c r="A402" s="208" t="s">
        <v>1257</v>
      </c>
      <c r="B402" s="269" t="s">
        <v>461</v>
      </c>
    </row>
    <row r="403" spans="1:2" ht="47.25" x14ac:dyDescent="0.25">
      <c r="A403" s="208" t="s">
        <v>1258</v>
      </c>
      <c r="B403" s="269" t="s">
        <v>452</v>
      </c>
    </row>
    <row r="404" spans="1:2" ht="17.649999999999999" customHeight="1" x14ac:dyDescent="0.25">
      <c r="A404" s="208" t="s">
        <v>1259</v>
      </c>
      <c r="B404" s="269" t="s">
        <v>462</v>
      </c>
    </row>
    <row r="405" spans="1:2" ht="17.649999999999999" customHeight="1" x14ac:dyDescent="0.25">
      <c r="A405" s="208" t="s">
        <v>1260</v>
      </c>
      <c r="B405" s="269" t="s">
        <v>472</v>
      </c>
    </row>
    <row r="406" spans="1:2" ht="17.649999999999999" customHeight="1" x14ac:dyDescent="0.25">
      <c r="A406" s="208" t="s">
        <v>1261</v>
      </c>
      <c r="B406" s="269" t="s">
        <v>463</v>
      </c>
    </row>
    <row r="407" spans="1:2" ht="32.25" customHeight="1" x14ac:dyDescent="0.25">
      <c r="A407" s="208" t="s">
        <v>1262</v>
      </c>
      <c r="B407" s="269" t="s">
        <v>1263</v>
      </c>
    </row>
    <row r="408" spans="1:2" ht="17.649999999999999" customHeight="1" x14ac:dyDescent="0.25">
      <c r="A408" s="208" t="s">
        <v>1264</v>
      </c>
      <c r="B408" s="269" t="s">
        <v>389</v>
      </c>
    </row>
    <row r="409" spans="1:2" ht="31.7" customHeight="1" x14ac:dyDescent="0.25">
      <c r="A409" s="208" t="s">
        <v>1265</v>
      </c>
      <c r="B409" s="269" t="s">
        <v>393</v>
      </c>
    </row>
    <row r="410" spans="1:2" ht="31.7" customHeight="1" x14ac:dyDescent="0.25">
      <c r="A410" s="208" t="s">
        <v>1266</v>
      </c>
      <c r="B410" s="269" t="s">
        <v>408</v>
      </c>
    </row>
    <row r="411" spans="1:2" ht="17.649999999999999" customHeight="1" x14ac:dyDescent="0.25">
      <c r="A411" s="208" t="s">
        <v>1267</v>
      </c>
      <c r="B411" s="269" t="s">
        <v>1008</v>
      </c>
    </row>
    <row r="412" spans="1:2" ht="17.649999999999999" customHeight="1" x14ac:dyDescent="0.25">
      <c r="A412" s="208" t="s">
        <v>1268</v>
      </c>
      <c r="B412" s="269" t="s">
        <v>514</v>
      </c>
    </row>
    <row r="413" spans="1:2" ht="17.649999999999999" customHeight="1" x14ac:dyDescent="0.25">
      <c r="A413" s="208" t="s">
        <v>1269</v>
      </c>
      <c r="B413" s="269" t="s">
        <v>1270</v>
      </c>
    </row>
    <row r="414" spans="1:2" ht="17.649999999999999" customHeight="1" x14ac:dyDescent="0.25">
      <c r="A414" s="208" t="s">
        <v>1271</v>
      </c>
      <c r="B414" s="269" t="s">
        <v>1272</v>
      </c>
    </row>
    <row r="415" spans="1:2" ht="17.649999999999999" customHeight="1" x14ac:dyDescent="0.25">
      <c r="A415" s="208" t="s">
        <v>1273</v>
      </c>
      <c r="B415" s="269" t="s">
        <v>1274</v>
      </c>
    </row>
    <row r="416" spans="1:2" ht="36.950000000000003" customHeight="1" x14ac:dyDescent="0.25">
      <c r="A416" s="208" t="s">
        <v>1275</v>
      </c>
      <c r="B416" s="269" t="s">
        <v>1048</v>
      </c>
    </row>
    <row r="417" spans="1:2" ht="36.950000000000003" customHeight="1" x14ac:dyDescent="0.25">
      <c r="A417" s="208" t="s">
        <v>1276</v>
      </c>
      <c r="B417" s="269" t="s">
        <v>1049</v>
      </c>
    </row>
    <row r="418" spans="1:2" ht="49.15" customHeight="1" x14ac:dyDescent="0.25">
      <c r="A418" s="208" t="s">
        <v>1277</v>
      </c>
      <c r="B418" s="269" t="s">
        <v>1356</v>
      </c>
    </row>
    <row r="419" spans="1:2" ht="15.75" x14ac:dyDescent="0.25">
      <c r="A419" s="208" t="s">
        <v>1516</v>
      </c>
      <c r="B419" s="269" t="s">
        <v>1517</v>
      </c>
    </row>
    <row r="420" spans="1:2" ht="15.75" x14ac:dyDescent="0.25">
      <c r="A420" s="208" t="s">
        <v>1278</v>
      </c>
      <c r="B420" s="269" t="s">
        <v>464</v>
      </c>
    </row>
    <row r="421" spans="1:2" ht="31.5" x14ac:dyDescent="0.25">
      <c r="A421" s="208" t="s">
        <v>1514</v>
      </c>
      <c r="B421" s="269" t="s">
        <v>1533</v>
      </c>
    </row>
    <row r="422" spans="1:2" ht="31.5" x14ac:dyDescent="0.25">
      <c r="A422" s="208" t="s">
        <v>1279</v>
      </c>
      <c r="B422" s="269" t="s">
        <v>374</v>
      </c>
    </row>
    <row r="423" spans="1:2" ht="15.75" x14ac:dyDescent="0.25">
      <c r="A423" s="208" t="s">
        <v>1280</v>
      </c>
      <c r="B423" s="269" t="s">
        <v>1281</v>
      </c>
    </row>
    <row r="424" spans="1:2" ht="15.75" x14ac:dyDescent="0.25">
      <c r="A424" s="208" t="s">
        <v>1535</v>
      </c>
      <c r="B424" s="269" t="s">
        <v>1536</v>
      </c>
    </row>
    <row r="425" spans="1:2" ht="15.75" x14ac:dyDescent="0.25">
      <c r="A425" s="208" t="s">
        <v>1282</v>
      </c>
      <c r="B425" s="269" t="s">
        <v>394</v>
      </c>
    </row>
    <row r="426" spans="1:2" ht="15.75" x14ac:dyDescent="0.25">
      <c r="A426" s="208" t="s">
        <v>1283</v>
      </c>
      <c r="B426" s="269" t="s">
        <v>121</v>
      </c>
    </row>
    <row r="427" spans="1:2" ht="31.5" x14ac:dyDescent="0.25">
      <c r="A427" s="208" t="s">
        <v>1284</v>
      </c>
      <c r="B427" s="269" t="s">
        <v>122</v>
      </c>
    </row>
    <row r="428" spans="1:2" ht="31.5" x14ac:dyDescent="0.25">
      <c r="A428" s="208" t="s">
        <v>1146</v>
      </c>
      <c r="B428" s="269" t="s">
        <v>1155</v>
      </c>
    </row>
    <row r="429" spans="1:2" ht="15.75" x14ac:dyDescent="0.25">
      <c r="A429" s="208" t="s">
        <v>1285</v>
      </c>
      <c r="B429" s="269" t="s">
        <v>118</v>
      </c>
    </row>
    <row r="430" spans="1:2" ht="15.75" x14ac:dyDescent="0.25">
      <c r="A430" s="208" t="s">
        <v>1286</v>
      </c>
      <c r="B430" s="269" t="s">
        <v>1238</v>
      </c>
    </row>
    <row r="431" spans="1:2" ht="15.75" x14ac:dyDescent="0.25">
      <c r="A431" s="208" t="s">
        <v>1287</v>
      </c>
      <c r="B431" s="269" t="s">
        <v>1183</v>
      </c>
    </row>
    <row r="432" spans="1:2" ht="15.75" x14ac:dyDescent="0.25">
      <c r="A432" s="208" t="s">
        <v>1288</v>
      </c>
      <c r="B432" s="269" t="s">
        <v>1227</v>
      </c>
    </row>
    <row r="433" spans="1:2" ht="15.75" x14ac:dyDescent="0.25">
      <c r="A433" s="208" t="s">
        <v>1289</v>
      </c>
      <c r="B433" s="269" t="s">
        <v>1290</v>
      </c>
    </row>
    <row r="434" spans="1:2" ht="31.5" x14ac:dyDescent="0.25">
      <c r="A434" s="208" t="s">
        <v>1291</v>
      </c>
      <c r="B434" s="91" t="s">
        <v>1166</v>
      </c>
    </row>
    <row r="435" spans="1:2" ht="31.5" x14ac:dyDescent="0.25">
      <c r="A435" s="208" t="s">
        <v>1292</v>
      </c>
      <c r="B435" s="269" t="s">
        <v>1156</v>
      </c>
    </row>
    <row r="436" spans="1:2" ht="15.75" x14ac:dyDescent="0.25">
      <c r="A436" s="208" t="s">
        <v>1293</v>
      </c>
      <c r="B436" s="269" t="s">
        <v>1230</v>
      </c>
    </row>
    <row r="437" spans="1:2" ht="15.75" x14ac:dyDescent="0.25">
      <c r="A437" s="208" t="s">
        <v>1294</v>
      </c>
      <c r="B437" s="269" t="s">
        <v>1230</v>
      </c>
    </row>
    <row r="438" spans="1:2" ht="15.75" x14ac:dyDescent="0.25">
      <c r="A438" s="208" t="s">
        <v>1295</v>
      </c>
      <c r="B438" s="269" t="s">
        <v>1296</v>
      </c>
    </row>
    <row r="439" spans="1:2" ht="15.75" x14ac:dyDescent="0.25">
      <c r="A439" s="208" t="s">
        <v>1297</v>
      </c>
      <c r="B439" s="269" t="s">
        <v>1206</v>
      </c>
    </row>
    <row r="440" spans="1:2" ht="15.75" x14ac:dyDescent="0.25">
      <c r="A440" s="208" t="s">
        <v>1298</v>
      </c>
      <c r="B440" s="269" t="s">
        <v>1299</v>
      </c>
    </row>
    <row r="441" spans="1:2" ht="31.5" x14ac:dyDescent="0.25">
      <c r="A441" s="208" t="s">
        <v>414</v>
      </c>
      <c r="B441" s="91" t="s">
        <v>413</v>
      </c>
    </row>
    <row r="442" spans="1:2" ht="31.5" x14ac:dyDescent="0.25">
      <c r="A442" s="208" t="s">
        <v>505</v>
      </c>
      <c r="B442" s="91" t="s">
        <v>504</v>
      </c>
    </row>
    <row r="443" spans="1:2" ht="15.75" x14ac:dyDescent="0.25">
      <c r="A443" s="208" t="s">
        <v>434</v>
      </c>
      <c r="B443" s="91" t="s">
        <v>433</v>
      </c>
    </row>
    <row r="444" spans="1:2" ht="15.75" x14ac:dyDescent="0.25">
      <c r="A444" s="208" t="s">
        <v>390</v>
      </c>
      <c r="B444" s="91" t="s">
        <v>389</v>
      </c>
    </row>
    <row r="445" spans="1:2" ht="15.75" x14ac:dyDescent="0.25">
      <c r="A445" s="208" t="s">
        <v>1300</v>
      </c>
      <c r="B445" s="91" t="s">
        <v>969</v>
      </c>
    </row>
    <row r="446" spans="1:2" ht="31.5" x14ac:dyDescent="0.25">
      <c r="A446" s="207" t="s">
        <v>407</v>
      </c>
      <c r="B446" s="91" t="s">
        <v>406</v>
      </c>
    </row>
    <row r="447" spans="1:2" ht="15.75" x14ac:dyDescent="0.25">
      <c r="A447" s="207" t="s">
        <v>515</v>
      </c>
      <c r="B447" s="91" t="s">
        <v>514</v>
      </c>
    </row>
    <row r="448" spans="1:2" ht="15.75" x14ac:dyDescent="0.25">
      <c r="A448" s="207" t="s">
        <v>443</v>
      </c>
      <c r="B448" s="91" t="s">
        <v>442</v>
      </c>
    </row>
    <row r="449" spans="1:2" ht="15.75" x14ac:dyDescent="0.25">
      <c r="A449" s="207" t="s">
        <v>1301</v>
      </c>
      <c r="B449" s="91" t="s">
        <v>963</v>
      </c>
    </row>
    <row r="450" spans="1:2" ht="31.5" x14ac:dyDescent="0.25">
      <c r="A450" s="208" t="s">
        <v>357</v>
      </c>
      <c r="B450" s="213" t="s">
        <v>356</v>
      </c>
    </row>
    <row r="451" spans="1:2" ht="15.75" x14ac:dyDescent="0.25">
      <c r="A451" s="208" t="s">
        <v>1157</v>
      </c>
      <c r="B451" s="213" t="s">
        <v>1349</v>
      </c>
    </row>
    <row r="452" spans="1:2" ht="15.75" x14ac:dyDescent="0.25">
      <c r="A452" s="208" t="s">
        <v>424</v>
      </c>
      <c r="B452" s="91" t="s">
        <v>423</v>
      </c>
    </row>
    <row r="453" spans="1:2" ht="15.75" x14ac:dyDescent="0.25">
      <c r="A453" s="208" t="s">
        <v>1065</v>
      </c>
      <c r="B453" s="91" t="s">
        <v>1066</v>
      </c>
    </row>
    <row r="454" spans="1:2" ht="15.75" x14ac:dyDescent="0.25">
      <c r="A454" s="208" t="s">
        <v>1302</v>
      </c>
      <c r="B454" s="91" t="s">
        <v>1184</v>
      </c>
    </row>
    <row r="455" spans="1:2" ht="15.75" x14ac:dyDescent="0.25">
      <c r="A455" s="208" t="s">
        <v>1303</v>
      </c>
      <c r="B455" s="91" t="s">
        <v>1304</v>
      </c>
    </row>
    <row r="456" spans="1:2" ht="15.75" x14ac:dyDescent="0.25">
      <c r="A456" s="208" t="s">
        <v>1305</v>
      </c>
      <c r="B456" s="269" t="s">
        <v>1206</v>
      </c>
    </row>
    <row r="457" spans="1:2" ht="15.75" x14ac:dyDescent="0.25">
      <c r="A457" s="208" t="s">
        <v>1158</v>
      </c>
      <c r="B457" s="91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1127</v>
      </c>
    </row>
    <row r="1821" spans="1:2" x14ac:dyDescent="0.2">
      <c r="A1821" s="189">
        <v>110</v>
      </c>
      <c r="B1821" s="190" t="s">
        <v>845</v>
      </c>
    </row>
    <row r="1822" spans="1:2" x14ac:dyDescent="0.2">
      <c r="A1822" s="189">
        <v>111</v>
      </c>
      <c r="B1822" s="190" t="s">
        <v>846</v>
      </c>
    </row>
    <row r="1823" spans="1:2" x14ac:dyDescent="0.2">
      <c r="A1823" s="189">
        <v>112</v>
      </c>
      <c r="B1823" s="190" t="s">
        <v>847</v>
      </c>
    </row>
    <row r="1824" spans="1:2" x14ac:dyDescent="0.2">
      <c r="A1824" s="189">
        <v>120</v>
      </c>
      <c r="B1824" s="190" t="s">
        <v>848</v>
      </c>
    </row>
    <row r="1825" spans="1:2" x14ac:dyDescent="0.2">
      <c r="A1825" s="189">
        <v>121</v>
      </c>
      <c r="B1825" s="190" t="s">
        <v>846</v>
      </c>
    </row>
    <row r="1826" spans="1:2" x14ac:dyDescent="0.2">
      <c r="A1826" s="189">
        <v>122</v>
      </c>
      <c r="B1826" s="190" t="s">
        <v>847</v>
      </c>
    </row>
    <row r="1827" spans="1:2" x14ac:dyDescent="0.2">
      <c r="A1827" s="189">
        <v>130</v>
      </c>
      <c r="B1827" s="190" t="s">
        <v>849</v>
      </c>
    </row>
    <row r="1828" spans="1:2" x14ac:dyDescent="0.2">
      <c r="A1828" s="189">
        <v>131</v>
      </c>
      <c r="B1828" s="190" t="s">
        <v>850</v>
      </c>
    </row>
    <row r="1829" spans="1:2" x14ac:dyDescent="0.2">
      <c r="A1829" s="189">
        <v>132</v>
      </c>
      <c r="B1829" s="190" t="s">
        <v>851</v>
      </c>
    </row>
    <row r="1830" spans="1:2" x14ac:dyDescent="0.2">
      <c r="A1830" s="189">
        <v>133</v>
      </c>
      <c r="B1830" s="190" t="s">
        <v>852</v>
      </c>
    </row>
    <row r="1831" spans="1:2" x14ac:dyDescent="0.2">
      <c r="A1831" s="189">
        <v>134</v>
      </c>
      <c r="B1831" s="190" t="s">
        <v>853</v>
      </c>
    </row>
    <row r="1832" spans="1:2" x14ac:dyDescent="0.2">
      <c r="A1832" s="189">
        <v>140</v>
      </c>
      <c r="B1832" s="190" t="s">
        <v>854</v>
      </c>
    </row>
    <row r="1833" spans="1:2" x14ac:dyDescent="0.2">
      <c r="A1833" s="189">
        <v>141</v>
      </c>
      <c r="B1833" s="190" t="s">
        <v>846</v>
      </c>
    </row>
    <row r="1834" spans="1:2" ht="25.5" x14ac:dyDescent="0.2">
      <c r="A1834" s="189">
        <v>142</v>
      </c>
      <c r="B1834" s="190" t="s">
        <v>855</v>
      </c>
    </row>
    <row r="1835" spans="1:2" ht="25.5" x14ac:dyDescent="0.2">
      <c r="A1835" s="189">
        <v>200</v>
      </c>
      <c r="B1835" s="190" t="s">
        <v>1126</v>
      </c>
    </row>
    <row r="1836" spans="1:2" x14ac:dyDescent="0.2">
      <c r="A1836" s="189">
        <v>210</v>
      </c>
      <c r="B1836" s="190" t="s">
        <v>856</v>
      </c>
    </row>
    <row r="1837" spans="1:2" ht="25.5" x14ac:dyDescent="0.2">
      <c r="A1837" s="189">
        <v>211</v>
      </c>
      <c r="B1837" s="190" t="s">
        <v>857</v>
      </c>
    </row>
    <row r="1838" spans="1:2" ht="25.5" x14ac:dyDescent="0.2">
      <c r="A1838" s="189">
        <v>212</v>
      </c>
      <c r="B1838" s="190" t="s">
        <v>858</v>
      </c>
    </row>
    <row r="1839" spans="1:2" ht="25.5" x14ac:dyDescent="0.2">
      <c r="A1839" s="189">
        <v>213</v>
      </c>
      <c r="B1839" s="190" t="s">
        <v>859</v>
      </c>
    </row>
    <row r="1840" spans="1:2" ht="25.5" x14ac:dyDescent="0.2">
      <c r="A1840" s="189">
        <v>214</v>
      </c>
      <c r="B1840" s="190" t="s">
        <v>860</v>
      </c>
    </row>
    <row r="1841" spans="1:2" ht="25.5" x14ac:dyDescent="0.2">
      <c r="A1841" s="189">
        <v>215</v>
      </c>
      <c r="B1841" s="190" t="s">
        <v>861</v>
      </c>
    </row>
    <row r="1842" spans="1:2" ht="25.5" x14ac:dyDescent="0.2">
      <c r="A1842" s="189">
        <v>216</v>
      </c>
      <c r="B1842" s="190" t="s">
        <v>862</v>
      </c>
    </row>
    <row r="1843" spans="1:2" ht="25.5" x14ac:dyDescent="0.2">
      <c r="A1843" s="189">
        <v>217</v>
      </c>
      <c r="B1843" s="190" t="s">
        <v>863</v>
      </c>
    </row>
    <row r="1844" spans="1:2" ht="25.5" x14ac:dyDescent="0.2">
      <c r="A1844" s="189">
        <v>218</v>
      </c>
      <c r="B1844" s="190" t="s">
        <v>864</v>
      </c>
    </row>
    <row r="1845" spans="1:2" x14ac:dyDescent="0.2">
      <c r="A1845" s="189">
        <v>219</v>
      </c>
      <c r="B1845" s="190" t="s">
        <v>865</v>
      </c>
    </row>
    <row r="1846" spans="1:2" ht="25.5" x14ac:dyDescent="0.2">
      <c r="A1846" s="189">
        <v>220</v>
      </c>
      <c r="B1846" s="190" t="s">
        <v>866</v>
      </c>
    </row>
    <row r="1847" spans="1:2" x14ac:dyDescent="0.2">
      <c r="A1847" s="189">
        <v>221</v>
      </c>
      <c r="B1847" s="190" t="s">
        <v>867</v>
      </c>
    </row>
    <row r="1848" spans="1:2" x14ac:dyDescent="0.2">
      <c r="A1848" s="189">
        <v>222</v>
      </c>
      <c r="B1848" s="190" t="s">
        <v>868</v>
      </c>
    </row>
    <row r="1849" spans="1:2" x14ac:dyDescent="0.2">
      <c r="A1849" s="189">
        <v>223</v>
      </c>
      <c r="B1849" s="190" t="s">
        <v>836</v>
      </c>
    </row>
    <row r="1850" spans="1:2" x14ac:dyDescent="0.2">
      <c r="A1850" s="189">
        <v>224</v>
      </c>
      <c r="B1850" s="190" t="s">
        <v>837</v>
      </c>
    </row>
    <row r="1851" spans="1:2" x14ac:dyDescent="0.2">
      <c r="A1851" s="189">
        <v>225</v>
      </c>
      <c r="B1851" s="190" t="s">
        <v>838</v>
      </c>
    </row>
    <row r="1852" spans="1:2" x14ac:dyDescent="0.2">
      <c r="A1852" s="189">
        <v>226</v>
      </c>
      <c r="B1852" s="190" t="s">
        <v>839</v>
      </c>
    </row>
    <row r="1853" spans="1:2" x14ac:dyDescent="0.2">
      <c r="A1853" s="189">
        <v>230</v>
      </c>
      <c r="B1853" s="190" t="s">
        <v>869</v>
      </c>
    </row>
    <row r="1854" spans="1:2" x14ac:dyDescent="0.2">
      <c r="A1854" s="189">
        <v>240</v>
      </c>
      <c r="B1854" s="190" t="s">
        <v>870</v>
      </c>
    </row>
    <row r="1855" spans="1:2" x14ac:dyDescent="0.2">
      <c r="A1855" s="189">
        <v>241</v>
      </c>
      <c r="B1855" s="190" t="s">
        <v>871</v>
      </c>
    </row>
    <row r="1856" spans="1:2" x14ac:dyDescent="0.2">
      <c r="A1856" s="189">
        <v>242</v>
      </c>
      <c r="B1856" s="190" t="s">
        <v>872</v>
      </c>
    </row>
    <row r="1857" spans="1:2" x14ac:dyDescent="0.2">
      <c r="A1857" s="189">
        <v>243</v>
      </c>
      <c r="B1857" s="190" t="s">
        <v>873</v>
      </c>
    </row>
    <row r="1858" spans="1:2" x14ac:dyDescent="0.2">
      <c r="A1858" s="189">
        <v>244</v>
      </c>
      <c r="B1858" s="190" t="s">
        <v>1125</v>
      </c>
    </row>
    <row r="1859" spans="1:2" x14ac:dyDescent="0.2">
      <c r="A1859" s="189">
        <v>300</v>
      </c>
      <c r="B1859" s="190" t="s">
        <v>343</v>
      </c>
    </row>
    <row r="1860" spans="1:2" x14ac:dyDescent="0.2">
      <c r="A1860" s="189">
        <v>310</v>
      </c>
      <c r="B1860" s="190" t="s">
        <v>874</v>
      </c>
    </row>
    <row r="1861" spans="1:2" x14ac:dyDescent="0.2">
      <c r="A1861" s="189">
        <v>311</v>
      </c>
      <c r="B1861" s="190" t="s">
        <v>875</v>
      </c>
    </row>
    <row r="1862" spans="1:2" x14ac:dyDescent="0.2">
      <c r="A1862" s="189">
        <v>312</v>
      </c>
      <c r="B1862" s="190" t="s">
        <v>876</v>
      </c>
    </row>
    <row r="1863" spans="1:2" x14ac:dyDescent="0.2">
      <c r="A1863" s="189">
        <v>313</v>
      </c>
      <c r="B1863" s="190" t="s">
        <v>877</v>
      </c>
    </row>
    <row r="1864" spans="1:2" x14ac:dyDescent="0.2">
      <c r="A1864" s="189">
        <v>314</v>
      </c>
      <c r="B1864" s="190" t="s">
        <v>878</v>
      </c>
    </row>
    <row r="1865" spans="1:2" x14ac:dyDescent="0.2">
      <c r="A1865" s="189">
        <v>320</v>
      </c>
      <c r="B1865" s="190" t="s">
        <v>879</v>
      </c>
    </row>
    <row r="1866" spans="1:2" x14ac:dyDescent="0.2">
      <c r="A1866" s="189">
        <v>321</v>
      </c>
      <c r="B1866" s="190" t="s">
        <v>880</v>
      </c>
    </row>
    <row r="1867" spans="1:2" x14ac:dyDescent="0.2">
      <c r="A1867" s="189">
        <v>322</v>
      </c>
      <c r="B1867" s="190" t="s">
        <v>881</v>
      </c>
    </row>
    <row r="1868" spans="1:2" x14ac:dyDescent="0.2">
      <c r="A1868" s="189">
        <v>323</v>
      </c>
      <c r="B1868" s="190" t="s">
        <v>882</v>
      </c>
    </row>
    <row r="1869" spans="1:2" x14ac:dyDescent="0.2">
      <c r="A1869" s="189">
        <v>330</v>
      </c>
      <c r="B1869" s="190" t="s">
        <v>883</v>
      </c>
    </row>
    <row r="1870" spans="1:2" x14ac:dyDescent="0.2">
      <c r="A1870" s="189">
        <v>340</v>
      </c>
      <c r="B1870" s="190" t="s">
        <v>884</v>
      </c>
    </row>
    <row r="1871" spans="1:2" x14ac:dyDescent="0.2">
      <c r="A1871" s="189">
        <v>350</v>
      </c>
      <c r="B1871" s="190" t="s">
        <v>885</v>
      </c>
    </row>
    <row r="1872" spans="1:2" x14ac:dyDescent="0.2">
      <c r="A1872" s="189">
        <v>360</v>
      </c>
      <c r="B1872" s="190" t="s">
        <v>886</v>
      </c>
    </row>
    <row r="1873" spans="1:2" ht="12.75" customHeight="1" x14ac:dyDescent="0.2">
      <c r="A1873" s="189">
        <v>400</v>
      </c>
      <c r="B1873" s="190" t="s">
        <v>1128</v>
      </c>
    </row>
    <row r="1874" spans="1:2" x14ac:dyDescent="0.2">
      <c r="A1874" s="189">
        <v>410</v>
      </c>
      <c r="B1874" s="190" t="s">
        <v>887</v>
      </c>
    </row>
    <row r="1875" spans="1:2" x14ac:dyDescent="0.2">
      <c r="A1875" s="189">
        <v>411</v>
      </c>
      <c r="B1875" s="190" t="s">
        <v>888</v>
      </c>
    </row>
    <row r="1876" spans="1:2" x14ac:dyDescent="0.2">
      <c r="A1876" s="189">
        <v>412</v>
      </c>
      <c r="B1876" s="190" t="s">
        <v>889</v>
      </c>
    </row>
    <row r="1877" spans="1:2" x14ac:dyDescent="0.2">
      <c r="A1877" s="189">
        <v>413</v>
      </c>
      <c r="B1877" s="190" t="s">
        <v>890</v>
      </c>
    </row>
    <row r="1878" spans="1:2" x14ac:dyDescent="0.2">
      <c r="A1878" s="189">
        <v>414</v>
      </c>
      <c r="B1878" s="190" t="s">
        <v>891</v>
      </c>
    </row>
    <row r="1879" spans="1:2" x14ac:dyDescent="0.2">
      <c r="A1879" s="189">
        <v>415</v>
      </c>
      <c r="B1879" s="190" t="s">
        <v>892</v>
      </c>
    </row>
    <row r="1880" spans="1:2" x14ac:dyDescent="0.2">
      <c r="A1880" s="189">
        <v>420</v>
      </c>
      <c r="B1880" s="190" t="s">
        <v>893</v>
      </c>
    </row>
    <row r="1881" spans="1:2" ht="25.5" x14ac:dyDescent="0.2">
      <c r="A1881" s="189">
        <v>421</v>
      </c>
      <c r="B1881" s="190" t="s">
        <v>894</v>
      </c>
    </row>
    <row r="1882" spans="1:2" ht="25.5" x14ac:dyDescent="0.2">
      <c r="A1882" s="189">
        <v>422</v>
      </c>
      <c r="B1882" s="190" t="s">
        <v>895</v>
      </c>
    </row>
    <row r="1883" spans="1:2" x14ac:dyDescent="0.2">
      <c r="A1883" s="189">
        <v>430</v>
      </c>
      <c r="B1883" s="190" t="s">
        <v>896</v>
      </c>
    </row>
    <row r="1884" spans="1:2" x14ac:dyDescent="0.2">
      <c r="A1884" s="189">
        <v>440</v>
      </c>
      <c r="B1884" s="190" t="s">
        <v>897</v>
      </c>
    </row>
    <row r="1885" spans="1:2" x14ac:dyDescent="0.2">
      <c r="A1885" s="189">
        <v>500</v>
      </c>
      <c r="B1885" s="190" t="s">
        <v>480</v>
      </c>
    </row>
    <row r="1886" spans="1:2" x14ac:dyDescent="0.2">
      <c r="A1886" s="189">
        <v>510</v>
      </c>
      <c r="B1886" s="190" t="s">
        <v>844</v>
      </c>
    </row>
    <row r="1887" spans="1:2" x14ac:dyDescent="0.2">
      <c r="A1887" s="189">
        <v>511</v>
      </c>
      <c r="B1887" s="190" t="s">
        <v>898</v>
      </c>
    </row>
    <row r="1888" spans="1:2" x14ac:dyDescent="0.2">
      <c r="A1888" s="189">
        <v>512</v>
      </c>
      <c r="B1888" s="190" t="s">
        <v>899</v>
      </c>
    </row>
    <row r="1889" spans="1:2" ht="25.5" x14ac:dyDescent="0.2">
      <c r="A1889" s="189">
        <v>513</v>
      </c>
      <c r="B1889" s="190" t="s">
        <v>900</v>
      </c>
    </row>
    <row r="1890" spans="1:2" x14ac:dyDescent="0.2">
      <c r="A1890" s="189">
        <v>514</v>
      </c>
      <c r="B1890" s="190" t="s">
        <v>901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840</v>
      </c>
    </row>
    <row r="1893" spans="1:2" ht="25.5" x14ac:dyDescent="0.2">
      <c r="A1893" s="189">
        <v>521</v>
      </c>
      <c r="B1893" s="190" t="s">
        <v>902</v>
      </c>
    </row>
    <row r="1894" spans="1:2" x14ac:dyDescent="0.2">
      <c r="A1894" s="189">
        <v>522</v>
      </c>
      <c r="B1894" s="190" t="s">
        <v>903</v>
      </c>
    </row>
    <row r="1895" spans="1:2" x14ac:dyDescent="0.2">
      <c r="A1895" s="189">
        <v>530</v>
      </c>
      <c r="B1895" s="190" t="s">
        <v>904</v>
      </c>
    </row>
    <row r="1896" spans="1:2" x14ac:dyDescent="0.2">
      <c r="A1896" s="189">
        <v>540</v>
      </c>
      <c r="B1896" s="190" t="s">
        <v>905</v>
      </c>
    </row>
    <row r="1897" spans="1:2" x14ac:dyDescent="0.2">
      <c r="A1897" s="189">
        <v>560</v>
      </c>
      <c r="B1897" s="190" t="s">
        <v>906</v>
      </c>
    </row>
    <row r="1898" spans="1:2" x14ac:dyDescent="0.2">
      <c r="A1898" s="189">
        <v>570</v>
      </c>
      <c r="B1898" s="190" t="s">
        <v>907</v>
      </c>
    </row>
    <row r="1899" spans="1:2" x14ac:dyDescent="0.2">
      <c r="A1899" s="189">
        <v>580</v>
      </c>
      <c r="B1899" s="190" t="s">
        <v>908</v>
      </c>
    </row>
    <row r="1900" spans="1:2" x14ac:dyDescent="0.2">
      <c r="A1900" s="189">
        <v>600</v>
      </c>
      <c r="B1900" s="190" t="s">
        <v>372</v>
      </c>
    </row>
    <row r="1901" spans="1:2" x14ac:dyDescent="0.2">
      <c r="A1901" s="189">
        <v>610</v>
      </c>
      <c r="B1901" s="190" t="s">
        <v>909</v>
      </c>
    </row>
    <row r="1902" spans="1:2" x14ac:dyDescent="0.2">
      <c r="A1902" s="189">
        <v>611</v>
      </c>
      <c r="B1902" s="190" t="s">
        <v>380</v>
      </c>
    </row>
    <row r="1903" spans="1:2" x14ac:dyDescent="0.2">
      <c r="A1903" s="189">
        <v>612</v>
      </c>
      <c r="B1903" s="190" t="s">
        <v>910</v>
      </c>
    </row>
    <row r="1904" spans="1:2" x14ac:dyDescent="0.2">
      <c r="A1904" s="189">
        <v>620</v>
      </c>
      <c r="B1904" s="190" t="s">
        <v>911</v>
      </c>
    </row>
    <row r="1905" spans="1:2" x14ac:dyDescent="0.2">
      <c r="A1905" s="189">
        <v>621</v>
      </c>
      <c r="B1905" s="190" t="s">
        <v>912</v>
      </c>
    </row>
    <row r="1906" spans="1:2" x14ac:dyDescent="0.2">
      <c r="A1906" s="189">
        <v>622</v>
      </c>
      <c r="B1906" s="190" t="s">
        <v>913</v>
      </c>
    </row>
    <row r="1907" spans="1:2" x14ac:dyDescent="0.2">
      <c r="A1907" s="189">
        <v>630</v>
      </c>
      <c r="B1907" s="190" t="s">
        <v>914</v>
      </c>
    </row>
    <row r="1908" spans="1:2" x14ac:dyDescent="0.2">
      <c r="A1908" s="189">
        <v>700</v>
      </c>
      <c r="B1908" s="190" t="s">
        <v>483</v>
      </c>
    </row>
    <row r="1909" spans="1:2" x14ac:dyDescent="0.2">
      <c r="A1909" s="189">
        <v>710</v>
      </c>
      <c r="B1909" s="190" t="s">
        <v>483</v>
      </c>
    </row>
    <row r="1910" spans="1:2" x14ac:dyDescent="0.2">
      <c r="A1910" s="189">
        <v>800</v>
      </c>
      <c r="B1910" s="190" t="s">
        <v>314</v>
      </c>
    </row>
    <row r="1911" spans="1:2" x14ac:dyDescent="0.2">
      <c r="A1911" s="189">
        <v>810</v>
      </c>
      <c r="B1911" s="190" t="s">
        <v>915</v>
      </c>
    </row>
    <row r="1912" spans="1:2" x14ac:dyDescent="0.2">
      <c r="A1912" s="189">
        <v>820</v>
      </c>
      <c r="B1912" s="190" t="s">
        <v>916</v>
      </c>
    </row>
    <row r="1913" spans="1:2" x14ac:dyDescent="0.2">
      <c r="A1913" s="189">
        <v>821</v>
      </c>
      <c r="B1913" s="190" t="s">
        <v>917</v>
      </c>
    </row>
    <row r="1914" spans="1:2" x14ac:dyDescent="0.2">
      <c r="A1914" s="189">
        <v>822</v>
      </c>
      <c r="B1914" s="190" t="s">
        <v>918</v>
      </c>
    </row>
    <row r="1915" spans="1:2" x14ac:dyDescent="0.2">
      <c r="A1915" s="189">
        <v>823</v>
      </c>
      <c r="B1915" s="190" t="s">
        <v>919</v>
      </c>
    </row>
    <row r="1916" spans="1:2" x14ac:dyDescent="0.2">
      <c r="A1916" s="189">
        <v>830</v>
      </c>
      <c r="B1916" s="190" t="s">
        <v>920</v>
      </c>
    </row>
    <row r="1917" spans="1:2" ht="38.25" x14ac:dyDescent="0.2">
      <c r="A1917" s="189">
        <v>831</v>
      </c>
      <c r="B1917" s="191" t="s">
        <v>921</v>
      </c>
    </row>
    <row r="1918" spans="1:2" ht="51" x14ac:dyDescent="0.2">
      <c r="A1918" s="189">
        <v>832</v>
      </c>
      <c r="B1918" s="191" t="s">
        <v>922</v>
      </c>
    </row>
    <row r="1919" spans="1:2" x14ac:dyDescent="0.2">
      <c r="A1919" s="189">
        <v>833</v>
      </c>
      <c r="B1919" s="190" t="s">
        <v>923</v>
      </c>
    </row>
    <row r="1920" spans="1:2" ht="25.5" x14ac:dyDescent="0.2">
      <c r="A1920" s="189">
        <v>840</v>
      </c>
      <c r="B1920" s="190" t="s">
        <v>924</v>
      </c>
    </row>
    <row r="1921" spans="1:2" x14ac:dyDescent="0.2">
      <c r="A1921" s="189">
        <v>841</v>
      </c>
      <c r="B1921" s="190" t="s">
        <v>925</v>
      </c>
    </row>
    <row r="1922" spans="1:2" x14ac:dyDescent="0.2">
      <c r="A1922" s="189">
        <v>850</v>
      </c>
      <c r="B1922" s="190" t="s">
        <v>926</v>
      </c>
    </row>
    <row r="1923" spans="1:2" x14ac:dyDescent="0.2">
      <c r="A1923" s="189">
        <v>851</v>
      </c>
      <c r="B1923" s="190" t="s">
        <v>927</v>
      </c>
    </row>
    <row r="1924" spans="1:2" ht="12.75" customHeight="1" x14ac:dyDescent="0.2">
      <c r="A1924" s="189">
        <v>852</v>
      </c>
      <c r="B1924" s="190" t="s">
        <v>928</v>
      </c>
    </row>
    <row r="1925" spans="1:2" x14ac:dyDescent="0.2">
      <c r="A1925" s="189">
        <v>860</v>
      </c>
      <c r="B1925" s="190" t="s">
        <v>929</v>
      </c>
    </row>
    <row r="1926" spans="1:2" x14ac:dyDescent="0.2">
      <c r="A1926" s="189">
        <v>861</v>
      </c>
      <c r="B1926" s="190" t="s">
        <v>930</v>
      </c>
    </row>
    <row r="1927" spans="1:2" x14ac:dyDescent="0.2">
      <c r="A1927" s="189">
        <v>862</v>
      </c>
      <c r="B1927" s="190" t="s">
        <v>931</v>
      </c>
    </row>
    <row r="1928" spans="1:2" x14ac:dyDescent="0.2">
      <c r="A1928" s="189">
        <v>863</v>
      </c>
      <c r="B1928" s="190" t="s">
        <v>932</v>
      </c>
    </row>
    <row r="1929" spans="1:2" x14ac:dyDescent="0.2">
      <c r="A1929" s="189">
        <v>870</v>
      </c>
      <c r="B1929" s="190" t="s">
        <v>933</v>
      </c>
    </row>
    <row r="1930" spans="1:2" x14ac:dyDescent="0.2">
      <c r="A1930" s="189">
        <v>880</v>
      </c>
      <c r="B1930" s="190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6" sqref="A6:E6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920" t="s">
        <v>130</v>
      </c>
      <c r="B1" s="920"/>
      <c r="C1" s="920"/>
      <c r="D1" s="920"/>
      <c r="E1" s="920"/>
    </row>
    <row r="2" spans="1:5" s="52" customFormat="1" x14ac:dyDescent="0.25">
      <c r="A2" s="920" t="s">
        <v>1</v>
      </c>
      <c r="B2" s="920"/>
      <c r="C2" s="920"/>
      <c r="D2" s="920"/>
      <c r="E2" s="920"/>
    </row>
    <row r="3" spans="1:5" s="52" customFormat="1" x14ac:dyDescent="0.25">
      <c r="A3" s="920" t="s">
        <v>2</v>
      </c>
      <c r="B3" s="920"/>
      <c r="C3" s="920"/>
      <c r="D3" s="920"/>
      <c r="E3" s="920"/>
    </row>
    <row r="4" spans="1:5" s="52" customFormat="1" x14ac:dyDescent="0.25">
      <c r="A4" s="920" t="s">
        <v>1790</v>
      </c>
      <c r="B4" s="920"/>
      <c r="C4" s="920"/>
      <c r="D4" s="920"/>
      <c r="E4" s="920"/>
    </row>
    <row r="5" spans="1:5" s="52" customFormat="1" x14ac:dyDescent="0.25">
      <c r="A5" s="53"/>
      <c r="B5" s="54"/>
    </row>
    <row r="6" spans="1:5" s="52" customFormat="1" ht="44.25" customHeight="1" x14ac:dyDescent="0.25">
      <c r="A6" s="933" t="s">
        <v>1619</v>
      </c>
      <c r="B6" s="933"/>
      <c r="C6" s="933"/>
      <c r="D6" s="933"/>
      <c r="E6" s="933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178500188.03</v>
      </c>
      <c r="D9" s="62">
        <f t="shared" ref="D9:E9" si="0">D11+D13+D15+D20+D22+D14</f>
        <v>5282699</v>
      </c>
      <c r="E9" s="62">
        <f t="shared" si="0"/>
        <v>183782887.03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SUMIF(Пр.10!C10:C1176,101,Пр.10!G10:G1176)</f>
        <v>0</v>
      </c>
      <c r="D10" s="65">
        <f>SUMIF(Пр.10!D10:D1176,101,Пр.10!H10:H1176)</f>
        <v>0</v>
      </c>
      <c r="E10" s="65">
        <f>SUMIF(Пр.10!E10:E1176,101,Пр.10!I10:I1176)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SUMIF(Пр.10!C7:C1206,102,Пр.10!G7:G1206)</f>
        <v>2473872</v>
      </c>
      <c r="D11" s="65">
        <f>SUMIF(Пр.10!$C7:$C1206,102,Пр.10!H7:H1206)</f>
        <v>0</v>
      </c>
      <c r="E11" s="65">
        <f>SUMIF(Пр.10!$C7:$C1206,102,Пр.10!I7:I1206)</f>
        <v>2473872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SUMIF(Пр.10!C8:C1207,103,Пр.10!G8:G1207)</f>
        <v>0</v>
      </c>
      <c r="D12" s="65">
        <f>SUMIF(Пр.10!D8:D1207,103,Пр.10!H8:H1207)</f>
        <v>0</v>
      </c>
      <c r="E12" s="65">
        <f>SUMIF(Пр.10!E8:E1207,103,Пр.10!I8:I1207)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SUMIF(Пр.10!$C9:$C1208,104,Пр.10!G9:G1208)</f>
        <v>43153357.030000001</v>
      </c>
      <c r="D13" s="65">
        <f>SUMIF(Пр.10!$C9:$C1208,104,Пр.10!H9:H1208)</f>
        <v>4709188</v>
      </c>
      <c r="E13" s="65">
        <f>SUMIF(Пр.10!$C9:$C1208,104,Пр.10!I9:I1208)</f>
        <v>47862545.030000001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SUMIF(Пр.10!C7:C1172,105,Пр.10!G7:G1172)</f>
        <v>51506</v>
      </c>
      <c r="D14" s="65">
        <f>SUMIF(Пр.10!C10:C1209,105,Пр.10!H10:H1209)</f>
        <v>0</v>
      </c>
      <c r="E14" s="65">
        <f>SUMIF(Пр.10!$C10:$C1209,105,Пр.10!I10:I1209)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SUMIF(Пр.10!$C10:$C1209,106,Пр.10!G10:G1209)</f>
        <v>20576915</v>
      </c>
      <c r="D15" s="65">
        <f>SUMIF(Пр.10!$C10:$C1209,106,Пр.10!H10:H1209)</f>
        <v>482000</v>
      </c>
      <c r="E15" s="65">
        <f>SUMIF(Пр.10!$C10:$C1209,106,Пр.10!I10:I1209)</f>
        <v>21058915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SUMIF(Пр.10!C10:C1176,107,Пр.10!G10:G1176)</f>
        <v>0</v>
      </c>
      <c r="D16" s="65">
        <f>SUMIF(Пр.10!D10:D1176,107,Пр.10!H10:H1176)</f>
        <v>0</v>
      </c>
      <c r="E16" s="65">
        <f>SUMIF(Пр.10!E10:E1176,107,Пр.10!I10:I1176)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SUMIF(Пр.10!C10:C1176,108,Пр.10!G10:G1176)</f>
        <v>0</v>
      </c>
      <c r="D17" s="65">
        <f>SUMIF(Пр.10!D10:D1176,108,Пр.10!H10:H1176)</f>
        <v>0</v>
      </c>
      <c r="E17" s="65">
        <f>SUMIF(Пр.10!E10:E1176,108,Пр.10!I10:I1176)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SUMIF(Пр.10!C10:C1176,109,Пр.10!G10:G1176)</f>
        <v>0</v>
      </c>
      <c r="D18" s="65">
        <f>SUMIF(Пр.10!D10:D1176,109,Пр.10!H10:H1176)</f>
        <v>0</v>
      </c>
      <c r="E18" s="65">
        <f>SUMIF(Пр.10!E10:E1176,109,Пр.10!I10:I1176)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SUMIF(Пр.10!C10:C1176,110,Пр.10!G10:G1176)</f>
        <v>0</v>
      </c>
      <c r="D19" s="65">
        <f>SUMIF(Пр.10!D10:D1176,110,Пр.10!H10:H1176)</f>
        <v>0</v>
      </c>
      <c r="E19" s="65">
        <f>SUMIF(Пр.10!E10:E1176,110,Пр.10!I10:I1176)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SUMIF(Пр.10!$C10:$C1176,111,Пр.10!G10:G1176)</f>
        <v>2965000</v>
      </c>
      <c r="D20" s="65">
        <f>SUMIF(Пр.10!$C10:$C1176,111,Пр.10!H10:H1176)</f>
        <v>-317330.40000000002</v>
      </c>
      <c r="E20" s="65">
        <f>SUMIF(Пр.10!$C10:$C1176,111,Пр.10!I10:I1176)</f>
        <v>2647669.6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SUMIF(Пр.10!C10:C1176,112,Пр.10!G10:G1176)</f>
        <v>0</v>
      </c>
      <c r="D21" s="65">
        <f>SUMIF(Пр.10!D10:D1176,112,Пр.10!H10:H1176)</f>
        <v>0</v>
      </c>
      <c r="E21" s="65">
        <f>SUMIF(Пр.10!E10:E1176,112,Пр.10!I10:I1176)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SUMIF(Пр.10!$C10:$C1206,113,Пр.10!G10:G1206)</f>
        <v>109279538</v>
      </c>
      <c r="D22" s="65">
        <f>SUMIF(Пр.10!$C10:$C1206,113,Пр.10!H10:H1206)</f>
        <v>408841.40000000037</v>
      </c>
      <c r="E22" s="65">
        <f>SUMIF(Пр.10!$C10:$C1206,113,Пр.10!I10:I1206)</f>
        <v>109688379.40000001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SUMIF(Пр.10!C10:C1176,201,Пр.10!G10:G1176)</f>
        <v>0</v>
      </c>
      <c r="D24" s="65">
        <f>SUMIF(Пр.10!D10:D1176,201,Пр.10!H10:H1176)</f>
        <v>0</v>
      </c>
      <c r="E24" s="65">
        <f>SUMIF(Пр.10!E10:E1176,201,Пр.10!I10:I1176)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SUMIF(Пр.10!C10:C1176,202,Пр.10!G10:G1176)</f>
        <v>0</v>
      </c>
      <c r="D25" s="65">
        <f>SUMIF(Пр.10!D10:D1176,202,Пр.10!H10:H1176)</f>
        <v>0</v>
      </c>
      <c r="E25" s="65">
        <f>SUMIF(Пр.10!E10:E1176,202,Пр.10!I10:I1176)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SUMIF(Пр.10!$C10:$C1176,203,Пр.10!G10:G1176)</f>
        <v>0</v>
      </c>
      <c r="D26" s="65">
        <f>SUMIF(Пр.10!$C10:$C1176,203,Пр.10!H10:H1176)</f>
        <v>0</v>
      </c>
      <c r="E26" s="65">
        <f>SUMIF(Пр.10!$C10:$C1176,203,Пр.10!I10:I1176)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SUMIF(Пр.10!C10:C1176,204,Пр.10!G10:G1176)</f>
        <v>0</v>
      </c>
      <c r="D27" s="65">
        <f>SUMIF(Пр.10!D10:D1176,204,Пр.10!H10:H1176)</f>
        <v>0</v>
      </c>
      <c r="E27" s="65">
        <f>SUMIF(Пр.10!E10:E1176,204,Пр.10!I10:I1176)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SUMIF(Пр.10!C10:C1176,205,Пр.10!G10:G1176)</f>
        <v>0</v>
      </c>
      <c r="D28" s="65">
        <f>SUMIF(Пр.10!D10:D1176,205,Пр.10!H10:H1176)</f>
        <v>0</v>
      </c>
      <c r="E28" s="65">
        <f>SUMIF(Пр.10!E10:E1176,205,Пр.10!I10:I1176)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SUMIF(Пр.10!C10:C1176,206,Пр.10!G10:G1176)</f>
        <v>0</v>
      </c>
      <c r="D29" s="65">
        <f>SUMIF(Пр.10!D10:D1176,206,Пр.10!H10:H1176)</f>
        <v>0</v>
      </c>
      <c r="E29" s="65">
        <f>SUMIF(Пр.10!E10:E1176,206,Пр.10!I10:I1176)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SUMIF(Пр.10!C10:C1176,207,Пр.10!G10:G1176)</f>
        <v>0</v>
      </c>
      <c r="D30" s="65">
        <f>SUMIF(Пр.10!D10:D1176,207,Пр.10!H10:H1176)</f>
        <v>0</v>
      </c>
      <c r="E30" s="65">
        <f>SUMIF(Пр.10!E10:E1176,207,Пр.10!I10:I1176)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SUMIF(Пр.10!C10:C1176,208,Пр.10!G10:G1176)</f>
        <v>0</v>
      </c>
      <c r="D31" s="65">
        <f>SUMIF(Пр.10!D10:D1176,208,Пр.10!H10:H1176)</f>
        <v>0</v>
      </c>
      <c r="E31" s="65">
        <f>SUMIF(Пр.10!E10:E1176,208,Пр.10!I10:I1176)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SUMIF(Пр.10!C10:C1176,209,Пр.10!G10:G1176)</f>
        <v>0</v>
      </c>
      <c r="D32" s="65">
        <f>SUMIF(Пр.10!D10:D1176,209,Пр.10!H10:H1176)</f>
        <v>0</v>
      </c>
      <c r="E32" s="65">
        <f>SUMIF(Пр.10!E10:E1176,209,Пр.10!I10:I1176)</f>
        <v>0</v>
      </c>
    </row>
    <row r="33" spans="1:5" ht="32.25" thickBot="1" x14ac:dyDescent="0.3">
      <c r="A33" s="60">
        <v>300</v>
      </c>
      <c r="B33" s="67" t="s">
        <v>165</v>
      </c>
      <c r="C33" s="62">
        <f>SUM(C34:C45)</f>
        <v>2700000</v>
      </c>
      <c r="D33" s="62">
        <f t="shared" ref="D33:E33" si="2">SUM(D34:D45)</f>
        <v>0</v>
      </c>
      <c r="E33" s="62">
        <f t="shared" si="2"/>
        <v>2700000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SUMIF(Пр.10!C10:C1176,303,Пр.10!G10:G1176)</f>
        <v>0</v>
      </c>
      <c r="D34" s="65">
        <f>SUMIF(Пр.10!D10:D1176,303,Пр.10!H10:H1176)</f>
        <v>0</v>
      </c>
      <c r="E34" s="65">
        <f>SUMIF(Пр.10!E10:E1176,303,Пр.10!I10:I1176)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SUMIF(Пр.10!C10:C1176,304,Пр.10!G10:G1176)</f>
        <v>0</v>
      </c>
      <c r="D35" s="65">
        <f>SUMIF(Пр.10!D10:D1176,304,Пр.10!H10:H1176)</f>
        <v>0</v>
      </c>
      <c r="E35" s="65">
        <f>SUMIF(Пр.10!E10:E1176,304,Пр.10!I10:I1176)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SUMIF(Пр.10!C10:C1176,305,Пр.10!G10:G1176)</f>
        <v>0</v>
      </c>
      <c r="D36" s="65">
        <f>SUMIF(Пр.10!D10:D1176,305,Пр.10!H10:H1176)</f>
        <v>0</v>
      </c>
      <c r="E36" s="65">
        <f>SUMIF(Пр.10!E10:E1176,305,Пр.10!I10:I1176)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SUMIF(Пр.10!C10:C1176,306,Пр.10!G10:G1176)</f>
        <v>0</v>
      </c>
      <c r="D37" s="65">
        <f>SUMIF(Пр.10!D10:D1176,306,Пр.10!H10:H1176)</f>
        <v>0</v>
      </c>
      <c r="E37" s="65">
        <f>SUMIF(Пр.10!E10:E1176,306,Пр.10!I10:I1176)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SUMIF(Пр.10!C10:C1176,307,Пр.10!G10:G1176)</f>
        <v>0</v>
      </c>
      <c r="D38" s="65">
        <f>SUMIF(Пр.10!D10:D1176,307,Пр.10!H10:H1176)</f>
        <v>0</v>
      </c>
      <c r="E38" s="65">
        <f>SUMIF(Пр.10!E10:E1176,307,Пр.10!I10:I1176)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SUMIF(Пр.10!C10:C1176,308,Пр.10!G10:G1176)</f>
        <v>0</v>
      </c>
      <c r="D39" s="65">
        <f>SUMIF(Пр.10!D10:D1176,308,Пр.10!H10:H1176)</f>
        <v>0</v>
      </c>
      <c r="E39" s="65">
        <f>SUMIF(Пр.10!E10:E1176,308,Пр.10!I10:I1176)</f>
        <v>0</v>
      </c>
    </row>
    <row r="40" spans="1:5" ht="16.5" hidden="1" thickBot="1" x14ac:dyDescent="0.3">
      <c r="A40" s="63">
        <v>309</v>
      </c>
      <c r="B40" s="90" t="s">
        <v>1562</v>
      </c>
      <c r="C40" s="65">
        <f>SUMIF(Пр.10!C10:C1176,309,Пр.10!G10:G1176)</f>
        <v>0</v>
      </c>
      <c r="D40" s="65">
        <f>SUMIF(Пр.10!$C27:$C1224,309,Пр.10!H27:H1224)</f>
        <v>0</v>
      </c>
      <c r="E40" s="65">
        <f>SUMIF(Пр.10!$C23:$C1199,309,Пр.10!I23:I1199)</f>
        <v>0</v>
      </c>
    </row>
    <row r="41" spans="1:5" ht="48" thickBot="1" x14ac:dyDescent="0.3">
      <c r="A41" s="63">
        <v>310</v>
      </c>
      <c r="B41" s="90" t="s">
        <v>1563</v>
      </c>
      <c r="C41" s="65">
        <f>SUMIF(Пр.10!C10:C1176,310,Пр.10!G10:G1176)</f>
        <v>2520000</v>
      </c>
      <c r="D41" s="65">
        <f>SUMIF(Пр.10!$C28:$C1225,310,Пр.10!H28:H1225)</f>
        <v>0</v>
      </c>
      <c r="E41" s="65">
        <f>SUMIF(Пр.10!$C24:$C1200,310,Пр.10!I24:I1200)</f>
        <v>2520000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SUMIF(Пр.10!C10:C1176,311,Пр.10!G10:G1176)</f>
        <v>0</v>
      </c>
      <c r="D42" s="65">
        <f>SUMIF(Пр.10!D10:D1176,311,Пр.10!H10:H1176)</f>
        <v>0</v>
      </c>
      <c r="E42" s="65">
        <f>SUMIF(Пр.10!E10:E1176,311,Пр.10!I10:I1176)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SUMIF(Пр.10!C10:C1176,312,Пр.10!G10:G1176)</f>
        <v>0</v>
      </c>
      <c r="D43" s="65">
        <f>SUMIF(Пр.10!D10:D1176,312,Пр.10!H10:H1176)</f>
        <v>0</v>
      </c>
      <c r="E43" s="65">
        <f>SUMIF(Пр.10!E10:E1176,312,Пр.10!I10:I1176)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SUMIF(Пр.10!C10:C1176,313,Пр.10!G10:G1176)</f>
        <v>0</v>
      </c>
      <c r="D44" s="65">
        <f>SUMIF(Пр.10!D10:D1176,313,Пр.10!H10:H1176)</f>
        <v>0</v>
      </c>
      <c r="E44" s="65">
        <f>SUMIF(Пр.10!E10:E1176,313,Пр.10!I10:I1176)</f>
        <v>0</v>
      </c>
    </row>
    <row r="45" spans="1:5" ht="32.25" thickBot="1" x14ac:dyDescent="0.3">
      <c r="A45" s="63">
        <v>314</v>
      </c>
      <c r="B45" s="66" t="s">
        <v>175</v>
      </c>
      <c r="C45" s="65">
        <f>SUMIF(Пр.10!C15:C1190,314,Пр.10!G15:G1190)</f>
        <v>180000</v>
      </c>
      <c r="D45" s="65">
        <f>SUMIF(Пр.10!$C32:$C1229,314,Пр.10!H32:H1229)</f>
        <v>0</v>
      </c>
      <c r="E45" s="65">
        <f>SUMIF(Пр.10!$C28:$C1204,314,Пр.10!I28:I1204)</f>
        <v>180000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281535847</v>
      </c>
      <c r="D46" s="62">
        <f>D48+D51+D54+D55+D58+D52+D47</f>
        <v>56612896</v>
      </c>
      <c r="E46" s="62">
        <f>E48+E51+E54+E55+E58+E52+E47</f>
        <v>338148743</v>
      </c>
    </row>
    <row r="47" spans="1:5" ht="16.5" thickBot="1" x14ac:dyDescent="0.3">
      <c r="A47" s="63">
        <v>401</v>
      </c>
      <c r="B47" s="68" t="s">
        <v>177</v>
      </c>
      <c r="C47" s="65">
        <f>SUMIF(Пр.10!C10:C1176,401,Пр.10!G10:G1176)</f>
        <v>849985</v>
      </c>
      <c r="D47" s="65">
        <f>SUMIF(Пр.10!$C2:$C1168,401,Пр.10!H2:H1168)</f>
        <v>84999</v>
      </c>
      <c r="E47" s="65">
        <f>SUMIF(Пр.10!$C6:$C1172,401,Пр.10!I6:I1172)</f>
        <v>934984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SUMIF(Пр.10!$C10:$C1176,402,Пр.10!G10:G1176)</f>
        <v>0</v>
      </c>
      <c r="D48" s="65">
        <f>SUMIF(Пр.10!$C10:$C1176,402,Пр.10!H10:H1176)</f>
        <v>0</v>
      </c>
      <c r="E48" s="65">
        <f>SUMIF(Пр.10!$C10:$C1176,402,Пр.10!I10:I1176)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SUMIF(Пр.10!C10:C1176,403,Пр.10!G10:G1176)</f>
        <v>0</v>
      </c>
      <c r="D49" s="65">
        <f>SUMIF(Пр.10!D10:D1176,403,Пр.10!H10:H1176)</f>
        <v>0</v>
      </c>
      <c r="E49" s="65">
        <f>SUMIF(Пр.10!E10:E1176,403,Пр.10!I10:I1176)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SUMIF(Пр.10!C10:C1176,404,Пр.10!G10:G1176)</f>
        <v>0</v>
      </c>
      <c r="D50" s="65">
        <f>SUMIF(Пр.10!D10:D1176,404,Пр.10!H10:H1176)</f>
        <v>0</v>
      </c>
      <c r="E50" s="65">
        <f>SUMIF(Пр.10!E10:E1176,404,Пр.10!I10:I1176)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SUMIF(Пр.10!$C10:$C1176,405,Пр.10!G10:G1176)</f>
        <v>1130844</v>
      </c>
      <c r="D51" s="65">
        <f>SUMIF(Пр.10!$C10:$C1176,405,Пр.10!H10:H1176)</f>
        <v>0</v>
      </c>
      <c r="E51" s="65">
        <f>SUMIF(Пр.10!$C10:$C1176,405,Пр.10!I10:I1176)</f>
        <v>1130844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SUMIF(Пр.10!$C10:$C1176,406,Пр.10!G10:G1176)</f>
        <v>0</v>
      </c>
      <c r="D52" s="65">
        <f>SUMIF(Пр.10!$C10:$C1176,406,Пр.10!H10:H1176)</f>
        <v>0</v>
      </c>
      <c r="E52" s="65">
        <f>SUMIF(Пр.10!$C10:$C1176,406,Пр.10!I10:I1176)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SUMIF(Пр.10!C10:C1176,407,Пр.10!G10:G1176)</f>
        <v>0</v>
      </c>
      <c r="D53" s="65">
        <f>SUMIF(Пр.10!D10:D1176,407,Пр.10!H10:H1176)</f>
        <v>0</v>
      </c>
      <c r="E53" s="65">
        <f>SUMIF(Пр.10!E10:E1176,407,Пр.10!I10:I1176)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SUMIF(Пр.10!$C10:$C1176,408,Пр.10!G10:G1176)</f>
        <v>23354246</v>
      </c>
      <c r="D54" s="65">
        <f>SUMIF(Пр.10!$C10:$C1176,408,Пр.10!H10:H1176)</f>
        <v>1000000</v>
      </c>
      <c r="E54" s="65">
        <f>SUMIF(Пр.10!$C10:$C1176,408,Пр.10!I10:I1176)</f>
        <v>24354246</v>
      </c>
    </row>
    <row r="55" spans="1:5" ht="16.5" thickBot="1" x14ac:dyDescent="0.3">
      <c r="A55" s="63">
        <v>409</v>
      </c>
      <c r="B55" s="66" t="s">
        <v>185</v>
      </c>
      <c r="C55" s="65">
        <f>SUMIF(Пр.10!$C10:$C1176,409,Пр.10!G10:G1176)</f>
        <v>255219576</v>
      </c>
      <c r="D55" s="65">
        <f>SUMIF(Пр.10!$C10:$C1176,409,Пр.10!H10:H1176)</f>
        <v>55377897</v>
      </c>
      <c r="E55" s="65">
        <f>SUMIF(Пр.10!$C10:$C1176,409,Пр.10!I10:I1176)</f>
        <v>310597473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SUMIF(Пр.10!C10:C1176,410,Пр.10!G10:G1176)</f>
        <v>0</v>
      </c>
      <c r="D56" s="65">
        <f>SUMIF(Пр.10!D10:D1176,410,Пр.10!H10:H1176)</f>
        <v>0</v>
      </c>
      <c r="E56" s="65">
        <f>SUMIF(Пр.10!E10:E1176,410,Пр.10!I10:I1176)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SUMIF(Пр.10!C10:C1176,411,Пр.10!G10:G1176)</f>
        <v>0</v>
      </c>
      <c r="D57" s="65">
        <f>SUMIF(Пр.10!D10:D1176,411,Пр.10!H10:H1176)</f>
        <v>0</v>
      </c>
      <c r="E57" s="65">
        <f>SUMIF(Пр.10!E10:E1176,411,Пр.10!I10:I1176)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SUMIF(Пр.10!$C10:$C1176,412,Пр.10!G10:G1176)</f>
        <v>981196</v>
      </c>
      <c r="D58" s="65">
        <f>SUMIF(Пр.10!$C10:$C1176,412,Пр.10!H10:H1176)</f>
        <v>150000</v>
      </c>
      <c r="E58" s="65">
        <f>SUMIF(Пр.10!$C10:$C1176,412,Пр.10!I10:I1176)</f>
        <v>1131196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170242181</v>
      </c>
      <c r="D59" s="62">
        <f t="shared" ref="D59:E59" si="3">D60+D61+D62+D63+D64</f>
        <v>4472395</v>
      </c>
      <c r="E59" s="62">
        <f t="shared" si="3"/>
        <v>174714576</v>
      </c>
    </row>
    <row r="60" spans="1:5" ht="16.5" thickBot="1" x14ac:dyDescent="0.3">
      <c r="A60" s="63">
        <v>501</v>
      </c>
      <c r="B60" s="66" t="s">
        <v>190</v>
      </c>
      <c r="C60" s="65">
        <f>SUMIF(Пр.10!$C10:$C1176,501,Пр.10!G10:G1176)</f>
        <v>9186090</v>
      </c>
      <c r="D60" s="65">
        <f>SUMIF(Пр.10!$C10:$C1176,501,Пр.10!H10:H1176)</f>
        <v>-1584000</v>
      </c>
      <c r="E60" s="65">
        <f>SUMIF(Пр.10!$C10:$C1176,501,Пр.10!I10:I1176)</f>
        <v>7602090</v>
      </c>
    </row>
    <row r="61" spans="1:5" ht="16.5" thickBot="1" x14ac:dyDescent="0.3">
      <c r="A61" s="63">
        <v>502</v>
      </c>
      <c r="B61" s="66" t="s">
        <v>191</v>
      </c>
      <c r="C61" s="65">
        <f>SUMIF(Пр.10!$C10:$C1176,502,Пр.10!G10:G1176)</f>
        <v>25540566</v>
      </c>
      <c r="D61" s="65">
        <f>SUMIF(Пр.10!$C10:$C1176,502,Пр.10!H10:H1176)</f>
        <v>-5159918</v>
      </c>
      <c r="E61" s="65">
        <f>SUMIF(Пр.10!$C10:$C1176,502,Пр.10!I10:I1176)</f>
        <v>20380648</v>
      </c>
    </row>
    <row r="62" spans="1:5" ht="16.5" thickBot="1" x14ac:dyDescent="0.3">
      <c r="A62" s="63">
        <v>503</v>
      </c>
      <c r="B62" s="64" t="s">
        <v>192</v>
      </c>
      <c r="C62" s="65">
        <f>SUMIF(Пр.10!$C10:$C1176,503,Пр.10!G10:G1176)</f>
        <v>135515525</v>
      </c>
      <c r="D62" s="65">
        <f>SUMIF(Пр.10!$C10:$C1176,503,Пр.10!H10:H1176)</f>
        <v>11216313</v>
      </c>
      <c r="E62" s="65">
        <f>SUMIF(Пр.10!$C10:$C1176,503,Пр.10!I10:I1176)</f>
        <v>146731838</v>
      </c>
    </row>
    <row r="63" spans="1:5" ht="32.25" hidden="1" thickBot="1" x14ac:dyDescent="0.3">
      <c r="A63" s="63">
        <v>504</v>
      </c>
      <c r="B63" s="66" t="s">
        <v>193</v>
      </c>
      <c r="C63" s="65">
        <f>SUMIF(Пр.10!C10:C1176,504,Пр.10!G10:G1176)</f>
        <v>0</v>
      </c>
      <c r="D63" s="65">
        <f>SUMIF(Пр.10!D10:D1176,504,Пр.10!H10:H1176)</f>
        <v>0</v>
      </c>
      <c r="E63" s="65">
        <f>SUMIF(Пр.10!E10:E1176,504,Пр.10!I10:I1176)</f>
        <v>0</v>
      </c>
    </row>
    <row r="64" spans="1:5" ht="32.25" hidden="1" thickBot="1" x14ac:dyDescent="0.3">
      <c r="A64" s="63">
        <v>505</v>
      </c>
      <c r="B64" s="66" t="s">
        <v>194</v>
      </c>
      <c r="C64" s="65">
        <f>SUMIF(Пр.10!$C10:$C1176,505,Пр.10!G10:G1176)</f>
        <v>0</v>
      </c>
      <c r="D64" s="65">
        <f>SUMIF(Пр.10!$C10:$C1176,505,Пр.10!H10:H1176)</f>
        <v>0</v>
      </c>
      <c r="E64" s="65">
        <f>SUMIF(Пр.10!$C10:$C1176,505,Пр.10!I10:I1176)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1855865</v>
      </c>
      <c r="D65" s="62">
        <f t="shared" ref="D65:E65" si="4">SUM(D66:D70)</f>
        <v>-161750</v>
      </c>
      <c r="E65" s="62">
        <f t="shared" si="4"/>
        <v>1694115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SUMIF(Пр.10!C10:C1176,601,Пр.10!G10:G1176)</f>
        <v>0</v>
      </c>
      <c r="D66" s="65">
        <f>SUMIF(Пр.10!D10:D1176,601,Пр.10!H10:H1176)</f>
        <v>0</v>
      </c>
      <c r="E66" s="65">
        <f>SUMIF(Пр.10!E10:E1176,601,Пр.10!I10:I1176)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SUMIF(Пр.10!C10:C1176,602,Пр.10!G10:G1176)</f>
        <v>0</v>
      </c>
      <c r="D67" s="65">
        <f>SUMIF(Пр.10!D10:D1176,602,Пр.10!H10:H1176)</f>
        <v>0</v>
      </c>
      <c r="E67" s="65">
        <f>SUMIF(Пр.10!E10:E1176,602,Пр.10!I10:I1176)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SUMIF(Пр.10!C10:C1176,603,Пр.10!G10:G1176)</f>
        <v>0</v>
      </c>
      <c r="D68" s="65">
        <f>SUMIF(Пр.10!D10:D1176,603,Пр.10!H10:H1176)</f>
        <v>0</v>
      </c>
      <c r="E68" s="65">
        <f>SUMIF(Пр.10!E10:E1176,603,Пр.10!I10:I1176)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SUMIF(Пр.10!C10:C1176,604,Пр.10!G10:G1176)</f>
        <v>0</v>
      </c>
      <c r="D69" s="65">
        <f>SUMIF(Пр.10!D10:D1176,604,Пр.10!H10:H1176)</f>
        <v>0</v>
      </c>
      <c r="E69" s="65">
        <f>SUMIF(Пр.10!E10:E1176,604,Пр.10!I10:I1176)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SUMIF(Пр.10!$C10:$C1176,605,Пр.10!G10:G1176)</f>
        <v>1855865</v>
      </c>
      <c r="D70" s="65">
        <f>SUMIF(Пр.10!$C10:$C1176,605,Пр.10!H10:H1176)</f>
        <v>-161750</v>
      </c>
      <c r="E70" s="65">
        <f>SUMIF(Пр.10!$C10:$C1176,605,Пр.10!I10:I1176)</f>
        <v>1694115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1187910735</v>
      </c>
      <c r="D71" s="62">
        <f>D72+D73+D78+D80+D74+D76</f>
        <v>2037392.54</v>
      </c>
      <c r="E71" s="62">
        <f>E72+E73+E78+E80+E74+E76</f>
        <v>1189948127.54</v>
      </c>
    </row>
    <row r="72" spans="1:5" ht="16.5" thickBot="1" x14ac:dyDescent="0.3">
      <c r="A72" s="63">
        <v>701</v>
      </c>
      <c r="B72" s="66" t="s">
        <v>202</v>
      </c>
      <c r="C72" s="65">
        <f>SUMIF(Пр.10!$C10:$C1176,701,Пр.10!G10:G1176)</f>
        <v>451440188</v>
      </c>
      <c r="D72" s="65">
        <f>SUMIF(Пр.10!$C10:$C1176,701,Пр.10!H10:H1176)</f>
        <v>-664799.69999999995</v>
      </c>
      <c r="E72" s="65">
        <f>SUMIF(Пр.10!$C10:$C1176,701,Пр.10!I10:I1176)</f>
        <v>450775388.30000001</v>
      </c>
    </row>
    <row r="73" spans="1:5" ht="16.5" thickBot="1" x14ac:dyDescent="0.3">
      <c r="A73" s="63">
        <v>702</v>
      </c>
      <c r="B73" s="66" t="s">
        <v>203</v>
      </c>
      <c r="C73" s="65">
        <f>SUMIF(Пр.10!$C10:$C1176,702,Пр.10!G10:G1176)</f>
        <v>566004344</v>
      </c>
      <c r="D73" s="65">
        <f>SUMIF(Пр.10!$C10:$C1176,702,Пр.10!H10:H1176)</f>
        <v>-183876.6399999999</v>
      </c>
      <c r="E73" s="65">
        <f>SUMIF(Пр.10!$C10:$C1176,702,Пр.10!I10:I1176)</f>
        <v>565820467.36000001</v>
      </c>
    </row>
    <row r="74" spans="1:5" ht="16.5" thickBot="1" x14ac:dyDescent="0.3">
      <c r="A74" s="63">
        <v>703</v>
      </c>
      <c r="B74" s="271" t="s">
        <v>1028</v>
      </c>
      <c r="C74" s="65">
        <f>SUMIF(Пр.10!$C10:$C1176,703,Пр.10!G10:G1176)</f>
        <v>97867874</v>
      </c>
      <c r="D74" s="65">
        <f>SUMIF(Пр.10!$C10:$C1176,703,Пр.10!H10:H1176)</f>
        <v>2360387.88</v>
      </c>
      <c r="E74" s="65">
        <f>SUMIF(Пр.10!$C10:$C1176,703,Пр.10!I10:I1176)</f>
        <v>100228261.88</v>
      </c>
    </row>
    <row r="75" spans="1:5" ht="16.5" hidden="1" thickBot="1" x14ac:dyDescent="0.3">
      <c r="A75" s="63">
        <v>704</v>
      </c>
      <c r="B75" s="66" t="s">
        <v>204</v>
      </c>
      <c r="C75" s="65">
        <f>SUMIF(Пр.10!C10:C1176,704,Пр.10!G10:G1176)</f>
        <v>0</v>
      </c>
      <c r="D75" s="65">
        <f>SUMIF(Пр.10!$C11:$C1177,704,Пр.10!H11:H1177)</f>
        <v>0</v>
      </c>
      <c r="E75" s="65">
        <f>SUMIF(Пр.10!$C11:$C1177,704,Пр.10!I11:I1177)</f>
        <v>0</v>
      </c>
    </row>
    <row r="76" spans="1:5" ht="32.25" thickBot="1" x14ac:dyDescent="0.3">
      <c r="A76" s="63">
        <v>705</v>
      </c>
      <c r="B76" s="66" t="s">
        <v>205</v>
      </c>
      <c r="C76" s="352">
        <f>SUMIF(Пр.10!C10:C1270,705,Пр.10!G10:G1270)</f>
        <v>1247000</v>
      </c>
      <c r="D76" s="65">
        <f>SUMIF(Пр.10!$C76:$C1270,705,Пр.10!H76:H1270)</f>
        <v>0</v>
      </c>
      <c r="E76" s="65">
        <f>SUMIF(Пр.10!$C12:$C1270,705,Пр.10!I12:I1270)</f>
        <v>1247000</v>
      </c>
    </row>
    <row r="77" spans="1:5" ht="16.5" hidden="1" thickBot="1" x14ac:dyDescent="0.3">
      <c r="A77" s="70">
        <v>706</v>
      </c>
      <c r="B77" s="71" t="s">
        <v>1569</v>
      </c>
      <c r="C77" s="65">
        <f>SUMIF(Пр.10!C10:C1176,706,Пр.10!G10:G1176)</f>
        <v>0</v>
      </c>
      <c r="D77" s="65">
        <f>SUMIF(Пр.10!D10:D1176,706,Пр.10!H10:H1176)</f>
        <v>0</v>
      </c>
      <c r="E77" s="65">
        <f>SUMIF(Пр.10!E10:E1176,706,Пр.10!I10:I1176)</f>
        <v>0</v>
      </c>
    </row>
    <row r="78" spans="1:5" ht="16.5" thickBot="1" x14ac:dyDescent="0.3">
      <c r="A78" s="63">
        <v>707</v>
      </c>
      <c r="B78" s="271" t="s">
        <v>1029</v>
      </c>
      <c r="C78" s="65">
        <f>SUMIF(Пр.10!$C10:$C1176,707,Пр.10!G10:G1176)</f>
        <v>22747938</v>
      </c>
      <c r="D78" s="65">
        <f>SUMIF(Пр.10!$C10:$C1176,707,Пр.10!H10:H1176)</f>
        <v>291681</v>
      </c>
      <c r="E78" s="65">
        <f>SUMIF(Пр.10!$C10:$C1176,707,Пр.10!I10:I1176)</f>
        <v>23039619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SUMIF(Пр.10!C10:C1176,708,Пр.10!G10:G1176)</f>
        <v>0</v>
      </c>
      <c r="D79" s="65">
        <f>SUMIF(Пр.10!D10:D1176,708,Пр.10!H10:H1176)</f>
        <v>0</v>
      </c>
      <c r="E79" s="65">
        <f>SUMIF(Пр.10!E10:E1176,708,Пр.10!I10:I1176)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SUMIF(Пр.10!$C10:$C1176,709,Пр.10!G10:G1176)</f>
        <v>48603391</v>
      </c>
      <c r="D80" s="65">
        <f>SUMIF(Пр.10!$C10:$C1176,709,Пр.10!H10:H1176)</f>
        <v>234000</v>
      </c>
      <c r="E80" s="65">
        <f>SUMIF(Пр.10!$C10:$C1176,709,Пр.10!I10:I1176)</f>
        <v>48837391</v>
      </c>
    </row>
    <row r="81" spans="1:5" ht="16.5" thickBot="1" x14ac:dyDescent="0.3">
      <c r="A81" s="60">
        <v>800</v>
      </c>
      <c r="B81" s="69" t="s">
        <v>208</v>
      </c>
      <c r="C81" s="62">
        <f>C82+C85</f>
        <v>196432925</v>
      </c>
      <c r="D81" s="62">
        <f>D82+D85</f>
        <v>3589212.0000000005</v>
      </c>
      <c r="E81" s="62">
        <f>E82+E85</f>
        <v>200022137</v>
      </c>
    </row>
    <row r="82" spans="1:5" ht="16.5" thickBot="1" x14ac:dyDescent="0.3">
      <c r="A82" s="63">
        <v>801</v>
      </c>
      <c r="B82" s="66" t="s">
        <v>209</v>
      </c>
      <c r="C82" s="65">
        <f>SUMIF(Пр.10!$C10:$C1176,801,Пр.10!G10:G1176)</f>
        <v>162244854</v>
      </c>
      <c r="D82" s="65">
        <f>SUMIF(Пр.10!$C10:$C1176,801,Пр.10!H10:H1176)</f>
        <v>2030432.0000000005</v>
      </c>
      <c r="E82" s="65">
        <f>SUMIF(Пр.10!$C10:$C1176,801,Пр.10!I10:I1176)</f>
        <v>164275286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SUMIF(Пр.10!C10:C1176,802,Пр.10!G10:G1176)</f>
        <v>0</v>
      </c>
      <c r="D83" s="65">
        <f>SUMIF(Пр.10!D10:D1176,802,Пр.10!H10:H1176)</f>
        <v>0</v>
      </c>
      <c r="E83" s="65">
        <f>SUMIF(Пр.10!E10:E1176,802,Пр.10!I10:I1176)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SUMIF(Пр.10!C10:C1176,803,Пр.10!G10:G1176)</f>
        <v>0</v>
      </c>
      <c r="D84" s="65">
        <f>SUMIF(Пр.10!D10:D1176,803,Пр.10!H10:H1176)</f>
        <v>0</v>
      </c>
      <c r="E84" s="65">
        <f>SUMIF(Пр.10!E10:E1176,803,Пр.10!I10:I1176)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SUMIF(Пр.10!$C10:$C1176,804,Пр.10!G10:G1176)</f>
        <v>34188071</v>
      </c>
      <c r="D85" s="65">
        <f>SUMIF(Пр.10!$C10:$C1176,804,Пр.10!H10:H1176)</f>
        <v>1558780</v>
      </c>
      <c r="E85" s="65">
        <f>SUMIF(Пр.10!$C10:$C1176,804,Пр.10!I10:I1176)</f>
        <v>35746851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SUMIF(Пр.10!C10:C1176,901,Пр.10!G10:G1176)</f>
        <v>0</v>
      </c>
      <c r="D87" s="65">
        <f>SUMIF(Пр.10!D10:D1176,901,Пр.10!H10:H1176)</f>
        <v>0</v>
      </c>
      <c r="E87" s="65">
        <f>SUMIF(Пр.10!E10:E1176,901,Пр.10!I10:I1176)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SUMIF(Пр.10!C10:C1176,902,Пр.10!G10:G1176)</f>
        <v>0</v>
      </c>
      <c r="D88" s="65">
        <f>SUMIF(Пр.10!D10:D1176,902,Пр.10!H10:H1176)</f>
        <v>0</v>
      </c>
      <c r="E88" s="65">
        <f>SUMIF(Пр.10!E10:E1176,902,Пр.10!I10:I1176)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SUMIF(Пр.10!C10:C1176,903,Пр.10!G10:G1176)</f>
        <v>0</v>
      </c>
      <c r="D89" s="65">
        <f>SUMIF(Пр.10!D10:D1176,903,Пр.10!H10:H1176)</f>
        <v>0</v>
      </c>
      <c r="E89" s="65">
        <f>SUMIF(Пр.10!E10:E1176,903,Пр.10!I10:I1176)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SUMIF(Пр.10!C10:C1176,904,Пр.10!G10:G1176)</f>
        <v>0</v>
      </c>
      <c r="D90" s="65">
        <f>SUMIF(Пр.10!D10:D1176,904,Пр.10!H10:H1176)</f>
        <v>0</v>
      </c>
      <c r="E90" s="65">
        <f>SUMIF(Пр.10!E10:E1176,904,Пр.10!I10:I1176)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SUMIF(Пр.10!C10:C1176,905,Пр.10!G10:G1176)</f>
        <v>0</v>
      </c>
      <c r="D91" s="65">
        <f>SUMIF(Пр.10!D10:D1176,905,Пр.10!H10:H1176)</f>
        <v>0</v>
      </c>
      <c r="E91" s="65">
        <f>SUMIF(Пр.10!E10:E1176,905,Пр.10!I10:I1176)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SUMIF(Пр.10!C10:C1176,906,Пр.10!G10:G1176)</f>
        <v>0</v>
      </c>
      <c r="D92" s="65">
        <f>SUMIF(Пр.10!D10:D1176,906,Пр.10!H10:H1176)</f>
        <v>0</v>
      </c>
      <c r="E92" s="65">
        <f>SUMIF(Пр.10!E10:E1176,906,Пр.10!I10:I1176)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SUMIF(Пр.10!C10:C1176,907,Пр.10!G10:G1176)</f>
        <v>0</v>
      </c>
      <c r="D93" s="65">
        <f>SUMIF(Пр.10!D10:D1176,907,Пр.10!H10:H1176)</f>
        <v>0</v>
      </c>
      <c r="E93" s="65">
        <f>SUMIF(Пр.10!E10:E1176,907,Пр.10!I10:I1176)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SUMIF(Пр.10!C10:C1176,908,Пр.10!G10:G1176)</f>
        <v>0</v>
      </c>
      <c r="D94" s="65">
        <f>SUMIF(Пр.10!D10:D1176,908,Пр.10!H10:H1176)</f>
        <v>0</v>
      </c>
      <c r="E94" s="65">
        <f>SUMIF(Пр.10!E10:E1176,908,Пр.10!I10:I1176)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SUMIF(Пр.10!C10:C1176,909,Пр.10!G10:G1176)</f>
        <v>0</v>
      </c>
      <c r="D95" s="65">
        <f>SUMIF(Пр.10!D10:D1176,909,Пр.10!H10:H1176)</f>
        <v>0</v>
      </c>
      <c r="E95" s="65">
        <f>SUMIF(Пр.10!E10:E1176,909,Пр.10!I10:I1176)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634222752</v>
      </c>
      <c r="D96" s="62">
        <f t="shared" ref="D96:E96" si="6">D97+D98+D99+D100+D102</f>
        <v>-17805618</v>
      </c>
      <c r="E96" s="62">
        <f t="shared" si="6"/>
        <v>616417134</v>
      </c>
    </row>
    <row r="97" spans="1:5" ht="16.5" thickBot="1" x14ac:dyDescent="0.3">
      <c r="A97" s="63">
        <v>1001</v>
      </c>
      <c r="B97" s="66" t="s">
        <v>224</v>
      </c>
      <c r="C97" s="65">
        <f>SUMIF(Пр.10!$C10:$C1176,1001,Пр.10!G10:G1176)</f>
        <v>6451000</v>
      </c>
      <c r="D97" s="65">
        <f>SUMIF(Пр.10!$C10:$C1176,1001,Пр.10!H10:H1176)</f>
        <v>-474152</v>
      </c>
      <c r="E97" s="65">
        <f>SUMIF(Пр.10!$C10:$C1176,1001,Пр.10!I10:I1176)</f>
        <v>5976848</v>
      </c>
    </row>
    <row r="98" spans="1:5" ht="16.5" thickBot="1" x14ac:dyDescent="0.3">
      <c r="A98" s="63">
        <v>1002</v>
      </c>
      <c r="B98" s="66" t="s">
        <v>225</v>
      </c>
      <c r="C98" s="65">
        <f>SUMIF(Пр.10!$C10:$C1176,1002,Пр.10!G10:G1176)</f>
        <v>84397443</v>
      </c>
      <c r="D98" s="65">
        <f>SUMIF(Пр.10!$C10:$C1176,1002,Пр.10!H10:H1176)</f>
        <v>0</v>
      </c>
      <c r="E98" s="65">
        <f>SUMIF(Пр.10!$C10:$C1176,1002,Пр.10!I10:I1176)</f>
        <v>84397443</v>
      </c>
    </row>
    <row r="99" spans="1:5" ht="16.5" thickBot="1" x14ac:dyDescent="0.3">
      <c r="A99" s="63">
        <v>1003</v>
      </c>
      <c r="B99" s="66" t="s">
        <v>226</v>
      </c>
      <c r="C99" s="65">
        <f>SUMIF(Пр.10!$C10:$C1176,1003,Пр.10!G10:G1176)</f>
        <v>229332621</v>
      </c>
      <c r="D99" s="65">
        <f>SUMIF(Пр.10!$C10:$C1176,1003,Пр.10!H10:H1176)</f>
        <v>-8444740</v>
      </c>
      <c r="E99" s="65">
        <f>SUMIF(Пр.10!$C10:$C1176,1003,Пр.10!I10:I1176)</f>
        <v>220887881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SUMIF(Пр.10!$C10:$C1176,1004,Пр.10!G10:G1176)</f>
        <v>296801071</v>
      </c>
      <c r="D100" s="65">
        <f>SUMIF(Пр.10!$C10:$C1176,1004,Пр.10!H10:H1176)</f>
        <v>-9000000</v>
      </c>
      <c r="E100" s="65">
        <f>SUMIF(Пр.10!$C10:$C1176,1004,Пр.10!I10:I1176)</f>
        <v>287801071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SUMIF(Пр.10!C10:C1176,1005,Пр.10!G10:G1176)</f>
        <v>0</v>
      </c>
      <c r="D101" s="65">
        <f>SUMIF(Пр.10!D10:D1176,1005,Пр.10!H10:H1176)</f>
        <v>0</v>
      </c>
      <c r="E101" s="65">
        <f>SUMIF(Пр.10!E10:E1176,1005,Пр.10!I10:I1176)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SUMIF(Пр.10!$C10:$C1176,1006,Пр.10!G10:G1176)</f>
        <v>17240617</v>
      </c>
      <c r="D102" s="65">
        <f>SUMIF(Пр.10!$C10:$C1176,1006,Пр.10!H10:H1176)</f>
        <v>113274</v>
      </c>
      <c r="E102" s="65">
        <f>SUMIF(Пр.10!$C10:$C1176,1006,Пр.10!I10:I1176)</f>
        <v>17353891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59726766</v>
      </c>
      <c r="D103" s="62">
        <f t="shared" ref="D103:E103" si="7">SUM(D104:D108)</f>
        <v>-3965073.54</v>
      </c>
      <c r="E103" s="62">
        <f t="shared" si="7"/>
        <v>55761692.460000001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SUMIF(Пр.10!C10:C1176,1101,Пр.10!G10:G1176)</f>
        <v>0</v>
      </c>
      <c r="D104" s="65">
        <f>SUMIF(Пр.10!D10:D1176,1101,Пр.10!H10:H1176)</f>
        <v>0</v>
      </c>
      <c r="E104" s="65">
        <f>SUMIF(Пр.10!E10:E1176,1101,Пр.10!I10:I1176)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SUMIF(Пр.10!$C10:$C1176,1102,Пр.10!G10:G1176)</f>
        <v>59726766</v>
      </c>
      <c r="D105" s="65">
        <f>SUMIF(Пр.10!$C10:$C1176,1102,Пр.10!H10:H1176)</f>
        <v>-3965073.54</v>
      </c>
      <c r="E105" s="65">
        <f>SUMIF(Пр.10!$C10:$C1176,1102,Пр.10!I10:I1176)</f>
        <v>55761692.460000001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SUMIF(Пр.10!C10:C1176,1103,Пр.10!G10:G1176)</f>
        <v>0</v>
      </c>
      <c r="D106" s="65">
        <f>SUMIF(Пр.10!D10:D1176,1103,Пр.10!H10:H1176)</f>
        <v>0</v>
      </c>
      <c r="E106" s="65">
        <f>SUMIF(Пр.10!E10:E1176,1103,Пр.10!I10:I1176)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SUMIF(Пр.10!C10:C1176,1104,Пр.10!G10:G1176)</f>
        <v>0</v>
      </c>
      <c r="D107" s="65">
        <f>SUMIF(Пр.10!D10:D1176,1104,Пр.10!H10:H1176)</f>
        <v>0</v>
      </c>
      <c r="E107" s="65">
        <f>SUMIF(Пр.10!E10:E1176,1104,Пр.10!I10:I1176)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SUMIF(Пр.10!C10:C1176,1105,Пр.10!G10:G1176)</f>
        <v>0</v>
      </c>
      <c r="D108" s="65">
        <f>SUMIF(Пр.10!D10:D1176,1105,Пр.10!H10:H1176)</f>
        <v>0</v>
      </c>
      <c r="E108" s="65">
        <f>SUMIF(Пр.10!E10:E1176,1105,Пр.10!I10:I1176)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5792500</v>
      </c>
      <c r="D109" s="62">
        <f t="shared" ref="D109:E109" si="8">SUM(D110:D113)</f>
        <v>210000</v>
      </c>
      <c r="E109" s="62">
        <f t="shared" si="8"/>
        <v>6002500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SUMIF(Пр.10!C10:C1176,1201,Пр.10!G10:G1176)</f>
        <v>0</v>
      </c>
      <c r="D110" s="65">
        <f>SUMIF(Пр.10!D10:D1176,1201,Пр.10!H10:H1176)</f>
        <v>0</v>
      </c>
      <c r="E110" s="65">
        <f>SUMIF(Пр.10!E10:E1176,1201,Пр.10!I10:I1176)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SUMIF(Пр.10!$C10:$C1176,1202,Пр.10!G10:G1176)</f>
        <v>5792500</v>
      </c>
      <c r="D111" s="65">
        <f>SUMIF(Пр.10!$C10:$C1176,1202,Пр.10!H10:H1176)</f>
        <v>210000</v>
      </c>
      <c r="E111" s="65">
        <f>SUMIF(Пр.10!$C10:$C1176,1202,Пр.10!I10:I1176)</f>
        <v>6002500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SUMIF(Пр.10!C10:C1176,1203,Пр.10!G10:G1176)</f>
        <v>0</v>
      </c>
      <c r="D112" s="65">
        <f>SUMIF(Пр.10!D10:D1176,1203,Пр.10!H10:H1176)</f>
        <v>0</v>
      </c>
      <c r="E112" s="65">
        <f>SUMIF(Пр.10!E10:E1176,1203,Пр.10!I10:I1176)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SUMIF(Пр.10!C10:C1176,1204,Пр.10!G10:G1176)</f>
        <v>0</v>
      </c>
      <c r="D113" s="65">
        <f>SUMIF(Пр.10!D10:D1176,1204,Пр.10!H10:H1176)</f>
        <v>0</v>
      </c>
      <c r="E113" s="65">
        <f>SUMIF(Пр.10!E10:E1176,1204,Пр.10!I10:I1176)</f>
        <v>0</v>
      </c>
    </row>
    <row r="114" spans="1:5" ht="32.25" hidden="1" thickBot="1" x14ac:dyDescent="0.3">
      <c r="A114" s="60">
        <v>1300</v>
      </c>
      <c r="B114" s="69" t="s">
        <v>241</v>
      </c>
      <c r="C114" s="62">
        <f>SUM(C115:C116)</f>
        <v>300000</v>
      </c>
      <c r="D114" s="62">
        <f t="shared" ref="D114:E114" si="9">SUM(D115:D116)</f>
        <v>-300000</v>
      </c>
      <c r="E114" s="62">
        <f t="shared" si="9"/>
        <v>0</v>
      </c>
    </row>
    <row r="115" spans="1:5" ht="32.25" hidden="1" thickBot="1" x14ac:dyDescent="0.3">
      <c r="A115" s="63">
        <v>1301</v>
      </c>
      <c r="B115" s="90" t="s">
        <v>1566</v>
      </c>
      <c r="C115" s="65">
        <f>SUMIF(Пр.10!$C10:$C1176,1301,Пр.10!G10:G1176)</f>
        <v>300000</v>
      </c>
      <c r="D115" s="65">
        <f>SUMIF(Пр.10!$C10:$C1176,1301,Пр.10!H10:H1176)</f>
        <v>-300000</v>
      </c>
      <c r="E115" s="65">
        <f>SUMIF(Пр.10!$C10:$C1176,1301,Пр.10!I10:I1176)</f>
        <v>0</v>
      </c>
    </row>
    <row r="116" spans="1:5" ht="32.25" hidden="1" thickBot="1" x14ac:dyDescent="0.3">
      <c r="A116" s="63">
        <v>1302</v>
      </c>
      <c r="B116" s="90" t="s">
        <v>1567</v>
      </c>
      <c r="C116" s="65">
        <f>SUMIF(Пр.10!C10:C1176,1302,Пр.10!G10:G1176)</f>
        <v>0</v>
      </c>
      <c r="D116" s="65">
        <f>SUMIF(Пр.10!D10:D1176,1302,Пр.10!H10:H1176)</f>
        <v>0</v>
      </c>
      <c r="E116" s="65">
        <f>SUMIF(Пр.10!E10:E1176,1302,Пр.10!I10:I1176)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SUMIF(Пр.10!$C10:$C1176,1401,Пр.10!G10:G1176)</f>
        <v>300000</v>
      </c>
      <c r="D118" s="65">
        <f>SUMIF(Пр.10!$C10:$C1176,1401,Пр.10!H10:H1176)</f>
        <v>0</v>
      </c>
      <c r="E118" s="65">
        <f>SUMIF(Пр.10!$C10:$C1176,1401,Пр.10!I10:I1176)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SUMIF(Пр.10!C10:C1176,1402,Пр.10!G10:G1176)</f>
        <v>0</v>
      </c>
      <c r="D119" s="65">
        <f>SUMIF(Пр.10!D10:D1176,1402,Пр.10!H10:H1176)</f>
        <v>0</v>
      </c>
      <c r="E119" s="65">
        <f>SUMIF(Пр.10!E10:E1176,1402,Пр.10!I10:I1176)</f>
        <v>0</v>
      </c>
    </row>
    <row r="120" spans="1:5" ht="16.5" hidden="1" thickBot="1" x14ac:dyDescent="0.3">
      <c r="A120" s="63">
        <v>1403</v>
      </c>
      <c r="B120" s="90" t="s">
        <v>1568</v>
      </c>
      <c r="C120" s="65">
        <f>SUMIF(Пр.10!C10:C1176,1403,Пр.10!G10:G1176)</f>
        <v>0</v>
      </c>
      <c r="D120" s="65">
        <f>SUMIF(Пр.10!D10:D1176,1403,Пр.10!H10:H1176)</f>
        <v>0</v>
      </c>
      <c r="E120" s="65">
        <f>SUMIF(Пр.10!E10:E1176,1403,Пр.10!I10:I1176)</f>
        <v>0</v>
      </c>
    </row>
    <row r="121" spans="1:5" ht="16.5" thickBot="1" x14ac:dyDescent="0.3">
      <c r="A121" s="932" t="s">
        <v>129</v>
      </c>
      <c r="B121" s="932"/>
      <c r="C121" s="62">
        <f>C9+C23+C33+C46+C59+C65+C71+C81+C96+C103+C109+C114+C117</f>
        <v>2719519759.0299997</v>
      </c>
      <c r="D121" s="62">
        <f t="shared" ref="D121" si="11">D9+D23+D33+D46+D59+D65+D71+D81+D96+D103+D109+D114+D117</f>
        <v>49972153.000000007</v>
      </c>
      <c r="E121" s="62">
        <f>E9+E23+E33+E46+E59+E65+E71+E81+E96+E103+E109+E114+E117</f>
        <v>2769491912.0299997</v>
      </c>
    </row>
    <row r="122" spans="1:5" ht="16.5" thickBot="1" x14ac:dyDescent="0.3">
      <c r="A122" s="932" t="s">
        <v>245</v>
      </c>
      <c r="B122" s="932"/>
      <c r="C122" s="62">
        <f>Пр1!J148-Пр_3!C121</f>
        <v>-27150000.029999733</v>
      </c>
      <c r="D122" s="62">
        <f>Пр1!K148-Пр_3!D121</f>
        <v>0</v>
      </c>
      <c r="E122" s="62">
        <f>Пр1!L148-Пр_3!E121</f>
        <v>-27150000.029999733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6" zoomScale="115" zoomScaleSheetLayoutView="115" workbookViewId="0">
      <selection activeCell="F59" sqref="F59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customWidth="1"/>
    <col min="4" max="4" width="16.7109375" style="42" customWidth="1"/>
    <col min="5" max="5" width="14.7109375" style="42" customWidth="1"/>
    <col min="6" max="6" width="15.42578125" style="42" customWidth="1"/>
    <col min="7" max="7" width="14.85546875" style="42" customWidth="1"/>
    <col min="8" max="8" width="17" style="42" customWidth="1"/>
    <col min="9" max="16384" width="9.140625" style="42"/>
  </cols>
  <sheetData>
    <row r="1" spans="1:8" ht="15.75" x14ac:dyDescent="0.25">
      <c r="A1" s="920" t="s">
        <v>0</v>
      </c>
      <c r="B1" s="920"/>
      <c r="C1" s="920"/>
      <c r="D1" s="920"/>
      <c r="E1" s="920"/>
      <c r="F1" s="920"/>
      <c r="G1" s="920"/>
      <c r="H1" s="920"/>
    </row>
    <row r="2" spans="1:8" ht="15.75" x14ac:dyDescent="0.25">
      <c r="A2" s="920" t="s">
        <v>1</v>
      </c>
      <c r="B2" s="920"/>
      <c r="C2" s="920"/>
      <c r="D2" s="920"/>
      <c r="E2" s="920"/>
      <c r="F2" s="920"/>
      <c r="G2" s="920"/>
      <c r="H2" s="920"/>
    </row>
    <row r="3" spans="1:8" ht="15.75" x14ac:dyDescent="0.25">
      <c r="A3" s="920" t="s">
        <v>2</v>
      </c>
      <c r="B3" s="920"/>
      <c r="C3" s="920"/>
      <c r="D3" s="920"/>
      <c r="E3" s="920"/>
      <c r="F3" s="920"/>
      <c r="G3" s="920"/>
      <c r="H3" s="920"/>
    </row>
    <row r="4" spans="1:8" ht="15.75" x14ac:dyDescent="0.25">
      <c r="A4" s="920" t="s">
        <v>1757</v>
      </c>
      <c r="B4" s="920"/>
      <c r="C4" s="920"/>
      <c r="D4" s="920"/>
      <c r="E4" s="920"/>
      <c r="F4" s="920"/>
      <c r="G4" s="920"/>
      <c r="H4" s="920"/>
    </row>
    <row r="5" spans="1:8" ht="1.5" customHeight="1" x14ac:dyDescent="0.2">
      <c r="A5" s="933" t="s">
        <v>1620</v>
      </c>
      <c r="B5" s="933"/>
      <c r="C5" s="933"/>
      <c r="D5" s="933"/>
      <c r="E5" s="933"/>
      <c r="F5" s="933"/>
      <c r="G5" s="933"/>
      <c r="H5" s="933"/>
    </row>
    <row r="6" spans="1:8" ht="71.25" customHeight="1" x14ac:dyDescent="0.2">
      <c r="A6" s="933"/>
      <c r="B6" s="933"/>
      <c r="C6" s="933"/>
      <c r="D6" s="933"/>
      <c r="E6" s="933"/>
      <c r="F6" s="933"/>
      <c r="G6" s="933"/>
      <c r="H6" s="933"/>
    </row>
    <row r="7" spans="1:8" ht="16.5" thickBot="1" x14ac:dyDescent="0.3">
      <c r="A7" s="56"/>
      <c r="B7" s="52"/>
      <c r="C7" s="934"/>
      <c r="D7" s="934"/>
      <c r="E7" s="934"/>
      <c r="F7" s="934"/>
      <c r="G7" s="934"/>
      <c r="H7" s="934"/>
    </row>
    <row r="8" spans="1:8" ht="32.25" thickBot="1" x14ac:dyDescent="0.25">
      <c r="A8" s="57" t="s">
        <v>138</v>
      </c>
      <c r="B8" s="58" t="s">
        <v>139</v>
      </c>
      <c r="C8" s="58" t="s">
        <v>1187</v>
      </c>
      <c r="D8" s="58" t="s">
        <v>1573</v>
      </c>
      <c r="E8" s="58" t="s">
        <v>1541</v>
      </c>
      <c r="F8" s="58" t="s">
        <v>1384</v>
      </c>
      <c r="G8" s="58" t="s">
        <v>1621</v>
      </c>
      <c r="H8" s="58" t="s">
        <v>1618</v>
      </c>
    </row>
    <row r="9" spans="1:8" ht="21" customHeight="1" thickBot="1" x14ac:dyDescent="0.25">
      <c r="A9" s="60">
        <v>100</v>
      </c>
      <c r="B9" s="798" t="s">
        <v>141</v>
      </c>
      <c r="C9" s="80">
        <f>SUM(C10:C22)</f>
        <v>80371385</v>
      </c>
      <c r="D9" s="80">
        <f t="shared" ref="D9:E9" ca="1" si="0">SUM(D10:D22)</f>
        <v>0</v>
      </c>
      <c r="E9" s="80">
        <f t="shared" ca="1" si="0"/>
        <v>80371385</v>
      </c>
      <c r="F9" s="80">
        <f t="shared" ref="F9" ca="1" si="1">SUM(F10:F22)</f>
        <v>35933839</v>
      </c>
      <c r="G9" s="80">
        <f t="shared" ref="G9" ca="1" si="2">SUM(G10:G22)</f>
        <v>0</v>
      </c>
      <c r="H9" s="80">
        <f t="shared" ref="H9" ca="1" si="3">SUM(H10:H22)</f>
        <v>35933839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SUMIF(Пр11!C$10:C$655,101,Пр11!G$10:G$655)</f>
        <v>0</v>
      </c>
      <c r="D10" s="65">
        <f>SUMIF(Пр11!D$10:D$655,101,Пр11!H$10:H$655)</f>
        <v>0</v>
      </c>
      <c r="E10" s="65">
        <f>SUMIF(Пр11!C$10:C$655,101,Пр11!I$10:I$655)</f>
        <v>0</v>
      </c>
      <c r="F10" s="65">
        <f>SUMIF(Пр11!D$10:D$655,101,Пр11!J$10:J$655)</f>
        <v>0</v>
      </c>
      <c r="G10" s="65">
        <f>SUMIF(Пр11!E$10:E$655,101,Пр11!K$10:K$655)</f>
        <v>0</v>
      </c>
      <c r="H10" s="65">
        <f>SUMIF(Пр11!F$10:F$655,101,Пр11!L$10:L$655)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SUMIF(Пр11!C$10:C659,102,Пр11!G$10:G659)</f>
        <v>1647072</v>
      </c>
      <c r="D11" s="65">
        <f ca="1">SUMIF(Пр11!C$10:D659,102,Пр11!H$10:H659)</f>
        <v>0</v>
      </c>
      <c r="E11" s="65">
        <f ca="1">SUMIF(Пр11!C$10:E659,102,Пр11!I$10:I659)</f>
        <v>1647072</v>
      </c>
      <c r="F11" s="65">
        <f>SUMIF(Пр11!$C$10:$C659,$A11,Пр11!J$10:J659)</f>
        <v>1647072</v>
      </c>
      <c r="G11" s="65">
        <f>SUMIF(Пр11!$C$10:$C659,$A11,Пр11!K$10:K659)</f>
        <v>0</v>
      </c>
      <c r="H11" s="65">
        <f>SUMIF(Пр11!$C$10:$C659,$A11,Пр11!L$10:L659)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SUMIF(Пр11!C$10:C660,103,Пр11!G$10:G660)</f>
        <v>0</v>
      </c>
      <c r="D12" s="65">
        <f ca="1">SUMIF(Пр11!C$10:D660,103,Пр11!H$10:H660)</f>
        <v>0</v>
      </c>
      <c r="E12" s="65">
        <f ca="1">SUMIF(Пр11!C$10:E660,103,Пр11!I$10:I660)</f>
        <v>0</v>
      </c>
      <c r="F12" s="65">
        <f ca="1">SUMIF(Пр11!D$10:F660,103,Пр11!J$10:J660)</f>
        <v>0</v>
      </c>
      <c r="G12" s="65">
        <f ca="1">SUMIF(Пр11!E$10:G660,103,Пр11!K$10:K660)</f>
        <v>0</v>
      </c>
      <c r="H12" s="65">
        <f ca="1">SUMIF(Пр11!F$10:H660,103,Пр11!L$10:L660)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SUMIF(Пр11!C$10:C661,104,Пр11!G$10:G661)</f>
        <v>27304988</v>
      </c>
      <c r="D13" s="65">
        <f ca="1">SUMIF(Пр11!C$10:D661,104,Пр11!H$10:H661)</f>
        <v>0</v>
      </c>
      <c r="E13" s="65">
        <f>SUMIF(Пр11!$C$10:$C661,$A13,Пр11!I$10:I661)</f>
        <v>27304988</v>
      </c>
      <c r="F13" s="65">
        <f>SUMIF(Пр11!$C$10:$C661,$A13,Пр11!J$10:J661)</f>
        <v>22304988</v>
      </c>
      <c r="G13" s="65">
        <f>SUMIF(Пр11!$C$10:$C661,$A13,Пр11!K$10:K661)</f>
        <v>0</v>
      </c>
      <c r="H13" s="65">
        <f>SUMIF(Пр11!$C$10:$C661,$A13,Пр11!L$10:L661)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SUMIF(Пр11!C$10:C662,105,Пр11!G$10:G662)</f>
        <v>3059</v>
      </c>
      <c r="D14" s="65">
        <f ca="1">SUMIF(Пр11!C$10:D662,105,Пр11!H$10:H662)</f>
        <v>0</v>
      </c>
      <c r="E14" s="65">
        <f>SUMIF(Пр11!$C$10:$C662,$A14,Пр11!I$10:I662)</f>
        <v>3059</v>
      </c>
      <c r="F14" s="65">
        <f>SUMIF(Пр11!$C$10:$C662,$A14,Пр11!J$10:J662)</f>
        <v>2726</v>
      </c>
      <c r="G14" s="65">
        <f>SUMIF(Пр11!$C$10:$C662,$A14,Пр11!K$10:K662)</f>
        <v>0</v>
      </c>
      <c r="H14" s="65">
        <f>SUMIF(Пр11!$C$10:$C662,$A14,Пр11!L$10:L662)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SUMIF(Пр11!C$10:C663,106,Пр11!G$10:G663)</f>
        <v>10544528</v>
      </c>
      <c r="D15" s="65">
        <f ca="1">SUMIF(Пр11!C$10:D663,106,Пр11!H$10:H663)</f>
        <v>0</v>
      </c>
      <c r="E15" s="65">
        <f>SUMIF(Пр11!$C$10:$C663,$A15,Пр11!I$10:I663)</f>
        <v>10544528</v>
      </c>
      <c r="F15" s="65">
        <f>SUMIF(Пр11!$C$10:$C663,$A15,Пр11!J$10:J663)</f>
        <v>1644528</v>
      </c>
      <c r="G15" s="65">
        <f>SUMIF(Пр11!$C$10:$C663,$A15,Пр11!K$10:K663)</f>
        <v>0</v>
      </c>
      <c r="H15" s="65">
        <f>SUMIF(Пр11!$C$10:$C663,$A15,Пр11!L$10:L663)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SUMIF(Пр11!C$10:C664,107,Пр11!G$10:G664)</f>
        <v>0</v>
      </c>
      <c r="D16" s="65">
        <f ca="1">SUMIF(Пр11!C$10:D664,107,Пр11!H$10:H664)</f>
        <v>0</v>
      </c>
      <c r="E16" s="65">
        <f>SUMIF(Пр11!$C$10:$C664,$A16,Пр11!I$10:I664)</f>
        <v>0</v>
      </c>
      <c r="F16" s="65">
        <f>SUMIF(Пр11!$C$10:$C664,$A16,Пр11!J$10:J664)</f>
        <v>0</v>
      </c>
      <c r="G16" s="65">
        <f>SUMIF(Пр11!$C$10:$C664,$A16,Пр11!K$10:K664)</f>
        <v>0</v>
      </c>
      <c r="H16" s="65">
        <f>SUMIF(Пр11!$C$10:$C664,$A16,Пр11!L$10:L664)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SUMIF(Пр11!C$10:C665,108,Пр11!G$10:G665)</f>
        <v>0</v>
      </c>
      <c r="D17" s="65">
        <f ca="1">SUMIF(Пр11!C$10:D665,108,Пр11!H$10:H665)</f>
        <v>0</v>
      </c>
      <c r="E17" s="65">
        <f>SUMIF(Пр11!$C$10:$C665,$A17,Пр11!I$10:I665)</f>
        <v>0</v>
      </c>
      <c r="F17" s="65">
        <f>SUMIF(Пр11!$C$10:$C665,$A17,Пр11!J$10:J665)</f>
        <v>0</v>
      </c>
      <c r="G17" s="65">
        <f>SUMIF(Пр11!$C$10:$C665,$A17,Пр11!K$10:K665)</f>
        <v>0</v>
      </c>
      <c r="H17" s="65">
        <f>SUMIF(Пр11!$C$10:$C665,$A17,Пр11!L$10:L665)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SUMIF(Пр11!C$10:C666,109,Пр11!G$10:G666)</f>
        <v>0</v>
      </c>
      <c r="D18" s="65">
        <f ca="1">SUMIF(Пр11!C$10:D666,109,Пр11!H$10:H666)</f>
        <v>0</v>
      </c>
      <c r="E18" s="65">
        <f>SUMIF(Пр11!$C$10:$C666,$A18,Пр11!I$10:I666)</f>
        <v>0</v>
      </c>
      <c r="F18" s="65">
        <f>SUMIF(Пр11!$C$10:$C666,$A18,Пр11!J$10:J666)</f>
        <v>0</v>
      </c>
      <c r="G18" s="65">
        <f>SUMIF(Пр11!$C$10:$C666,$A18,Пр11!K$10:K666)</f>
        <v>0</v>
      </c>
      <c r="H18" s="65">
        <f>SUMIF(Пр11!$C$10:$C666,$A18,Пр11!L$10:L666)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SUMIF(Пр11!C$10:C667,110,Пр11!G$10:G667)</f>
        <v>0</v>
      </c>
      <c r="D19" s="65">
        <f ca="1">SUMIF(Пр11!C$10:D667,110,Пр11!H$10:H667)</f>
        <v>0</v>
      </c>
      <c r="E19" s="65">
        <f>SUMIF(Пр11!$C$10:$C667,$A19,Пр11!I$10:I667)</f>
        <v>0</v>
      </c>
      <c r="F19" s="65">
        <f>SUMIF(Пр11!$C$10:$C667,$A19,Пр11!J$10:J667)</f>
        <v>0</v>
      </c>
      <c r="G19" s="65">
        <f>SUMIF(Пр11!$C$10:$C667,$A19,Пр11!K$10:K667)</f>
        <v>0</v>
      </c>
      <c r="H19" s="65">
        <f>SUMIF(Пр11!$C$10:$C667,$A19,Пр11!L$10:L667)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SUMIF(Пр11!C$10:C668,111,Пр11!G$10:G668)</f>
        <v>3000000</v>
      </c>
      <c r="D20" s="65">
        <f ca="1">SUMIF(Пр11!C$10:D668,111,Пр11!H$10:H668)</f>
        <v>0</v>
      </c>
      <c r="E20" s="65">
        <f>SUMIF(Пр11!$C$10:$C668,$A20,Пр11!I$10:I668)</f>
        <v>3000000</v>
      </c>
      <c r="F20" s="65">
        <f>SUMIF(Пр11!$C$10:$C668,$A20,Пр11!J$10:J668)</f>
        <v>3000000</v>
      </c>
      <c r="G20" s="65">
        <f>SUMIF(Пр11!$C$10:$C668,$A20,Пр11!K$10:K668)</f>
        <v>0</v>
      </c>
      <c r="H20" s="65">
        <f>SUMIF(Пр11!$C$10:$C668,$A20,Пр11!L$10:L668)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SUMIF(Пр11!C$10:C669,112,Пр11!G$10:G669)</f>
        <v>0</v>
      </c>
      <c r="D21" s="65">
        <f ca="1">SUMIF(Пр11!C$10:D669,112,Пр11!H$10:H669)</f>
        <v>0</v>
      </c>
      <c r="E21" s="65">
        <f ca="1">SUMIF(Пр11!C$10:E669,112,Пр11!I$10:I669)</f>
        <v>0</v>
      </c>
      <c r="F21" s="65">
        <f>SUMIF(Пр11!$C$10:$C669,$A21,Пр11!J$10:J669)</f>
        <v>0</v>
      </c>
      <c r="G21" s="65">
        <f>SUMIF(Пр11!$C$10:$C669,$A21,Пр11!K$10:K669)</f>
        <v>0</v>
      </c>
      <c r="H21" s="65">
        <f>SUMIF(Пр11!$C$10:$C669,$A21,Пр11!L$10:L669)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SUMIF(Пр11!C$10:C670,113,Пр11!G$10:G670)</f>
        <v>37871738</v>
      </c>
      <c r="D22" s="65">
        <f ca="1">SUMIF(Пр11!C$10:D670,113,Пр11!H$10:H670)</f>
        <v>0</v>
      </c>
      <c r="E22" s="65">
        <f ca="1">SUMIF(Пр11!C$10:E670,113,Пр11!I$10:I670)</f>
        <v>37871738</v>
      </c>
      <c r="F22" s="65">
        <f>SUMIF(Пр11!$C$10:$C670,$A22,Пр11!J$10:J670)</f>
        <v>7334525</v>
      </c>
      <c r="G22" s="65">
        <f>SUMIF(Пр11!$C$10:$C670,$A22,Пр11!K$10:K670)</f>
        <v>0</v>
      </c>
      <c r="H22" s="65">
        <f>SUMIF(Пр11!$C$10:$C670,$A22,Пр11!L$10:L670)</f>
        <v>7334525</v>
      </c>
    </row>
    <row r="23" spans="1:8" ht="24.75" hidden="1" customHeight="1" thickBot="1" x14ac:dyDescent="0.25">
      <c r="A23" s="60">
        <v>200</v>
      </c>
      <c r="B23" s="797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SUMIF(Пр11!$C10:$C655,201,Пр11!G10:G655)</f>
        <v>0</v>
      </c>
      <c r="D24" s="65">
        <f>SUMIF(Пр11!$C10:$C655,201,Пр11!H10:H655)</f>
        <v>0</v>
      </c>
      <c r="E24" s="65">
        <f>SUMIF(Пр11!$C10:$C655,201,Пр11!I10:I655)</f>
        <v>0</v>
      </c>
      <c r="F24" s="65">
        <f>SUMIF(Пр11!$C10:$C655,201,Пр11!J10:J655)</f>
        <v>0</v>
      </c>
      <c r="G24" s="65">
        <f>SUMIF(Пр11!$C10:$C655,201,Пр11!K10:K655)</f>
        <v>0</v>
      </c>
      <c r="H24" s="65">
        <f>SUMIF(Пр11!$C10:$C655,201,Пр11!L10:L655)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SUMIF(Пр11!$C10:$C655,202,Пр11!G10:G655)</f>
        <v>0</v>
      </c>
      <c r="D25" s="65">
        <f>SUMIF(Пр11!$C10:$C655,202,Пр11!H10:H655)</f>
        <v>0</v>
      </c>
      <c r="E25" s="65">
        <f>SUMIF(Пр11!$C10:$C655,202,Пр11!I10:I655)</f>
        <v>0</v>
      </c>
      <c r="F25" s="65">
        <f>SUMIF(Пр11!$C10:$C655,202,Пр11!J10:J655)</f>
        <v>0</v>
      </c>
      <c r="G25" s="65">
        <f>SUMIF(Пр11!$C10:$C655,202,Пр11!K10:K655)</f>
        <v>0</v>
      </c>
      <c r="H25" s="65">
        <f>SUMIF(Пр11!$C10:$C655,202,Пр11!L10:L655)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SUMIF(Пр11!$C10:$C659,203,Пр11!G10:G655)</f>
        <v>0</v>
      </c>
      <c r="D26" s="65">
        <f ca="1">SUMIF(Пр11!$C10:$C659,203,Пр11!H10:H655)</f>
        <v>0</v>
      </c>
      <c r="E26" s="65">
        <f ca="1">SUMIF(Пр11!$C10:$C659,203,Пр11!I10:I655)</f>
        <v>0</v>
      </c>
      <c r="F26" s="65">
        <f ca="1">SUMIF(Пр11!$C10:$C659,203,Пр11!J10:J655)</f>
        <v>0</v>
      </c>
      <c r="G26" s="65">
        <f ca="1">SUMIF(Пр11!$C10:$C659,203,Пр11!K10:K655)</f>
        <v>0</v>
      </c>
      <c r="H26" s="65">
        <f ca="1">SUMIF(Пр11!$C10:$C659,203,Пр11!L10:L655)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SUMIF(Пр11!$C14:$C660,204,Пр11!G14:G655)</f>
        <v>0</v>
      </c>
      <c r="D27" s="65">
        <f ca="1">SUMIF(Пр11!$C14:$C660,204,Пр11!H14:H655)</f>
        <v>0</v>
      </c>
      <c r="E27" s="65">
        <f ca="1">SUMIF(Пр11!$C14:$C660,204,Пр11!I14:I655)</f>
        <v>0</v>
      </c>
      <c r="F27" s="65">
        <f ca="1">SUMIF(Пр11!$C14:$C660,204,Пр11!J14:J655)</f>
        <v>0</v>
      </c>
      <c r="G27" s="65">
        <f ca="1">SUMIF(Пр11!$C14:$C660,204,Пр11!K14:K655)</f>
        <v>0</v>
      </c>
      <c r="H27" s="65">
        <f ca="1">SUMIF(Пр11!$C14:$C660,204,Пр11!L14:L655)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SUMIF(Пр11!$C15:$C661,205,Пр11!G15:G655)</f>
        <v>0</v>
      </c>
      <c r="D28" s="65">
        <f ca="1">SUMIF(Пр11!$C15:$C661,205,Пр11!H15:H655)</f>
        <v>0</v>
      </c>
      <c r="E28" s="65">
        <f ca="1">SUMIF(Пр11!$C15:$C661,205,Пр11!I15:I655)</f>
        <v>0</v>
      </c>
      <c r="F28" s="65">
        <f ca="1">SUMIF(Пр11!$C15:$C661,205,Пр11!J15:J655)</f>
        <v>0</v>
      </c>
      <c r="G28" s="65">
        <f ca="1">SUMIF(Пр11!$C15:$C661,205,Пр11!K15:K655)</f>
        <v>0</v>
      </c>
      <c r="H28" s="65">
        <f ca="1">SUMIF(Пр11!$C15:$C661,205,Пр11!L15:L655)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SUMIF(Пр11!$C15:$C662,206,Пр11!G15:G655)</f>
        <v>0</v>
      </c>
      <c r="D29" s="65">
        <f ca="1">SUMIF(Пр11!$C15:$C662,206,Пр11!H15:H655)</f>
        <v>0</v>
      </c>
      <c r="E29" s="65">
        <f ca="1">SUMIF(Пр11!$C15:$C662,206,Пр11!I15:I655)</f>
        <v>0</v>
      </c>
      <c r="F29" s="65">
        <f ca="1">SUMIF(Пр11!$C15:$C662,206,Пр11!J15:J655)</f>
        <v>0</v>
      </c>
      <c r="G29" s="65">
        <f ca="1">SUMIF(Пр11!$C15:$C662,206,Пр11!K15:K655)</f>
        <v>0</v>
      </c>
      <c r="H29" s="65">
        <f ca="1">SUMIF(Пр11!$C15:$C662,206,Пр11!L15:L655)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SUMIF(Пр11!$C16:$C663,207,Пр11!G16:G655)</f>
        <v>0</v>
      </c>
      <c r="D30" s="65">
        <f ca="1">SUMIF(Пр11!$C16:$C663,207,Пр11!H16:H655)</f>
        <v>0</v>
      </c>
      <c r="E30" s="65">
        <f ca="1">SUMIF(Пр11!$C16:$C663,207,Пр11!I16:I655)</f>
        <v>0</v>
      </c>
      <c r="F30" s="65">
        <f ca="1">SUMIF(Пр11!$C16:$C663,207,Пр11!J16:J655)</f>
        <v>0</v>
      </c>
      <c r="G30" s="65">
        <f ca="1">SUMIF(Пр11!$C16:$C663,207,Пр11!K16:K655)</f>
        <v>0</v>
      </c>
      <c r="H30" s="65">
        <f ca="1">SUMIF(Пр11!$C16:$C663,207,Пр11!L16:L655)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SUMIF(Пр11!$C17:$C664,208,Пр11!G17:G655)</f>
        <v>0</v>
      </c>
      <c r="D31" s="65">
        <f ca="1">SUMIF(Пр11!$C17:$C664,208,Пр11!H17:H655)</f>
        <v>0</v>
      </c>
      <c r="E31" s="65">
        <f ca="1">SUMIF(Пр11!$C17:$C664,208,Пр11!I17:I655)</f>
        <v>0</v>
      </c>
      <c r="F31" s="65">
        <f ca="1">SUMIF(Пр11!$C17:$C664,208,Пр11!J17:J655)</f>
        <v>0</v>
      </c>
      <c r="G31" s="65">
        <f ca="1">SUMIF(Пр11!$C17:$C664,208,Пр11!K17:K655)</f>
        <v>0</v>
      </c>
      <c r="H31" s="65">
        <f ca="1">SUMIF(Пр11!$C17:$C664,208,Пр11!L17:L655)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SUMIF(Пр11!$C18:$C665,209,Пр11!G18:G655)</f>
        <v>0</v>
      </c>
      <c r="D32" s="65">
        <f ca="1">SUMIF(Пр11!$C18:$C665,209,Пр11!H18:H655)</f>
        <v>0</v>
      </c>
      <c r="E32" s="65">
        <f ca="1">SUMIF(Пр11!$C18:$C665,209,Пр11!I18:I655)</f>
        <v>0</v>
      </c>
      <c r="F32" s="65">
        <f ca="1">SUMIF(Пр11!$C18:$C665,209,Пр11!J18:J655)</f>
        <v>0</v>
      </c>
      <c r="G32" s="65">
        <f ca="1">SUMIF(Пр11!$C18:$C665,209,Пр11!K18:K655)</f>
        <v>0</v>
      </c>
      <c r="H32" s="65">
        <f ca="1">SUMIF(Пр11!$C18:$C665,209,Пр11!L18:L655)</f>
        <v>0</v>
      </c>
    </row>
    <row r="33" spans="1:8" ht="36" hidden="1" customHeight="1" thickBot="1" x14ac:dyDescent="0.25">
      <c r="A33" s="60">
        <v>300</v>
      </c>
      <c r="B33" s="797" t="s">
        <v>165</v>
      </c>
      <c r="C33" s="80">
        <f ca="1">SUM(C34:C45)</f>
        <v>2700000</v>
      </c>
      <c r="D33" s="80">
        <f t="shared" ref="D33:E33" ca="1" si="8">SUM(D34:D45)</f>
        <v>0</v>
      </c>
      <c r="E33" s="80">
        <f t="shared" ca="1" si="8"/>
        <v>2700000</v>
      </c>
      <c r="F33" s="80">
        <f t="shared" ref="F33:H33" ca="1" si="9">SUM(F34:F45)</f>
        <v>2700000</v>
      </c>
      <c r="G33" s="80">
        <f t="shared" ca="1" si="9"/>
        <v>0</v>
      </c>
      <c r="H33" s="80">
        <f t="shared" ca="1" si="9"/>
        <v>2700000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SUMIF(Пр11!$C10:$C655,303,Пр11!G10:G655)</f>
        <v>0</v>
      </c>
      <c r="D34" s="65">
        <f>SUMIF(Пр11!$C10:$C655,303,Пр11!H10:H655)</f>
        <v>0</v>
      </c>
      <c r="E34" s="65">
        <f>SUMIF(Пр11!$C10:$C655,303,Пр11!I10:I655)</f>
        <v>0</v>
      </c>
      <c r="F34" s="65">
        <f>SUMIF(Пр11!$C10:$C655,303,Пр11!J10:J655)</f>
        <v>0</v>
      </c>
      <c r="G34" s="65">
        <f>SUMIF(Пр11!$C10:$C655,303,Пр11!K10:K655)</f>
        <v>0</v>
      </c>
      <c r="H34" s="65">
        <f>SUMIF(Пр11!$C10:$C655,303,Пр11!L10:L655)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SUMIF(Пр11!$C11:$C655,304,Пр11!G11:G655)</f>
        <v>0</v>
      </c>
      <c r="D35" s="65">
        <f>SUMIF(Пр11!$C11:$C655,304,Пр11!H11:H655)</f>
        <v>0</v>
      </c>
      <c r="E35" s="65">
        <f>SUMIF(Пр11!$C11:$C655,304,Пр11!I11:I655)</f>
        <v>0</v>
      </c>
      <c r="F35" s="65">
        <f>SUMIF(Пр11!$C11:$C655,304,Пр11!J11:J655)</f>
        <v>0</v>
      </c>
      <c r="G35" s="65">
        <f>SUMIF(Пр11!$C11:$C655,304,Пр11!K11:K655)</f>
        <v>0</v>
      </c>
      <c r="H35" s="65">
        <f>SUMIF(Пр11!$C11:$C655,304,Пр11!L11:L655)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SUMIF(Пр11!$C12:$C659,305,Пр11!G12:G655)</f>
        <v>0</v>
      </c>
      <c r="D36" s="65">
        <f ca="1">SUMIF(Пр11!$C12:$C659,305,Пр11!H12:H655)</f>
        <v>0</v>
      </c>
      <c r="E36" s="65">
        <f ca="1">SUMIF(Пр11!$C12:$C659,305,Пр11!I12:I655)</f>
        <v>0</v>
      </c>
      <c r="F36" s="65">
        <f ca="1">SUMIF(Пр11!$C12:$C659,305,Пр11!J12:J655)</f>
        <v>0</v>
      </c>
      <c r="G36" s="65">
        <f ca="1">SUMIF(Пр11!$C12:$C659,305,Пр11!K12:K655)</f>
        <v>0</v>
      </c>
      <c r="H36" s="65">
        <f ca="1">SUMIF(Пр11!$C12:$C659,305,Пр11!L12:L655)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SUMIF(Пр11!$C14:$C660,306,Пр11!G14:G655)</f>
        <v>0</v>
      </c>
      <c r="D37" s="65">
        <f ca="1">SUMIF(Пр11!$C14:$C660,306,Пр11!H14:H655)</f>
        <v>0</v>
      </c>
      <c r="E37" s="65">
        <f ca="1">SUMIF(Пр11!$C14:$C660,306,Пр11!I14:I655)</f>
        <v>0</v>
      </c>
      <c r="F37" s="65">
        <f ca="1">SUMIF(Пр11!$C14:$C660,306,Пр11!J14:J655)</f>
        <v>0</v>
      </c>
      <c r="G37" s="65">
        <f ca="1">SUMIF(Пр11!$C14:$C660,306,Пр11!K14:K655)</f>
        <v>0</v>
      </c>
      <c r="H37" s="65">
        <f ca="1">SUMIF(Пр11!$C14:$C660,306,Пр11!L14:L655)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SUMIF(Пр11!$C15:$C661,307,Пр11!G15:G655)</f>
        <v>0</v>
      </c>
      <c r="D38" s="65">
        <f ca="1">SUMIF(Пр11!$C15:$C661,307,Пр11!H15:H655)</f>
        <v>0</v>
      </c>
      <c r="E38" s="65">
        <f ca="1">SUMIF(Пр11!$C15:$C661,307,Пр11!I15:I655)</f>
        <v>0</v>
      </c>
      <c r="F38" s="65">
        <f ca="1">SUMIF(Пр11!$C15:$C661,307,Пр11!J15:J655)</f>
        <v>0</v>
      </c>
      <c r="G38" s="65">
        <f ca="1">SUMIF(Пр11!$C15:$C661,307,Пр11!K15:K655)</f>
        <v>0</v>
      </c>
      <c r="H38" s="65">
        <f ca="1">SUMIF(Пр11!$C15:$C661,307,Пр11!L15:L655)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SUMIF(Пр11!$C15:$C662,308,Пр11!G15:G655)</f>
        <v>0</v>
      </c>
      <c r="D39" s="65">
        <f ca="1">SUMIF(Пр11!$C15:$C662,308,Пр11!H15:H655)</f>
        <v>0</v>
      </c>
      <c r="E39" s="65">
        <f ca="1">SUMIF(Пр11!$C15:$C662,308,Пр11!I15:I655)</f>
        <v>0</v>
      </c>
      <c r="F39" s="65">
        <f ca="1">SUMIF(Пр11!$C15:$C662,308,Пр11!J15:J655)</f>
        <v>0</v>
      </c>
      <c r="G39" s="65">
        <f ca="1">SUMIF(Пр11!$C15:$C662,308,Пр11!K15:K655)</f>
        <v>0</v>
      </c>
      <c r="H39" s="65">
        <f ca="1">SUMIF(Пр11!$C15:$C662,308,Пр11!L15:L655)</f>
        <v>0</v>
      </c>
    </row>
    <row r="40" spans="1:8" ht="23.25" hidden="1" customHeight="1" thickBot="1" x14ac:dyDescent="0.3">
      <c r="A40" s="63">
        <v>309</v>
      </c>
      <c r="B40" s="90" t="s">
        <v>1562</v>
      </c>
      <c r="C40" s="65">
        <f ca="1">SUMIF(Пр11!$C16:$C663,309,Пр11!G16:G655)</f>
        <v>0</v>
      </c>
      <c r="D40" s="65">
        <f ca="1">SUMIF(Пр11!$C16:$C663,309,Пр11!H16:H655)</f>
        <v>0</v>
      </c>
      <c r="E40" s="65">
        <f ca="1">SUMIF(Пр11!$C16:$C663,309,Пр11!I16:I655)</f>
        <v>0</v>
      </c>
      <c r="F40" s="65">
        <f ca="1">SUMIF(Пр11!$C16:$C663,309,Пр11!J16:J655)</f>
        <v>0</v>
      </c>
      <c r="G40" s="65">
        <f ca="1">SUMIF(Пр11!$C16:$C663,309,Пр11!K16:K655)</f>
        <v>0</v>
      </c>
      <c r="H40" s="65">
        <f ca="1">SUMIF(Пр11!$C16:$C663,309,Пр11!L16:L655)</f>
        <v>0</v>
      </c>
    </row>
    <row r="41" spans="1:8" ht="51" hidden="1" customHeight="1" thickBot="1" x14ac:dyDescent="0.3">
      <c r="A41" s="63">
        <v>310</v>
      </c>
      <c r="B41" s="90" t="s">
        <v>1563</v>
      </c>
      <c r="C41" s="65">
        <f ca="1">SUMIF(Пр11!$C17:$C664,310,Пр11!G17:G655)</f>
        <v>2500000</v>
      </c>
      <c r="D41" s="65">
        <f ca="1">SUMIF(Пр11!$C17:$C664,310,Пр11!H17:H655)</f>
        <v>0</v>
      </c>
      <c r="E41" s="65">
        <f ca="1">SUMIF(Пр11!$C17:$C664,310,Пр11!I17:I655)</f>
        <v>2500000</v>
      </c>
      <c r="F41" s="65">
        <f ca="1">SUMIF(Пр11!$C17:$C664,310,Пр11!J17:J655)</f>
        <v>2500000</v>
      </c>
      <c r="G41" s="65">
        <f ca="1">SUMIF(Пр11!$C17:$C664,310,Пр11!K17:K655)</f>
        <v>0</v>
      </c>
      <c r="H41" s="65">
        <f ca="1">SUMIF(Пр11!$C17:$C664,310,Пр11!L17:L655)</f>
        <v>2500000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SUMIF(Пр11!$C18:$C665,311,Пр11!G18:G655)</f>
        <v>0</v>
      </c>
      <c r="D42" s="65">
        <f ca="1">SUMIF(Пр11!$C18:$C665,311,Пр11!H18:H655)</f>
        <v>0</v>
      </c>
      <c r="E42" s="65">
        <f ca="1">SUMIF(Пр11!$C18:$C665,311,Пр11!I18:I655)</f>
        <v>0</v>
      </c>
      <c r="F42" s="65">
        <f ca="1">SUMIF(Пр11!$C18:$C665,311,Пр11!J18:J655)</f>
        <v>0</v>
      </c>
      <c r="G42" s="65">
        <f ca="1">SUMIF(Пр11!$C18:$C665,311,Пр11!K18:K655)</f>
        <v>0</v>
      </c>
      <c r="H42" s="65">
        <f ca="1">SUMIF(Пр11!$C18:$C665,311,Пр11!L18:L655)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SUMIF(Пр11!$C27:$C666,312,Пр11!G27:G655)</f>
        <v>0</v>
      </c>
      <c r="D43" s="65">
        <f ca="1">SUMIF(Пр11!$C27:$C666,312,Пр11!H27:H655)</f>
        <v>0</v>
      </c>
      <c r="E43" s="65">
        <f ca="1">SUMIF(Пр11!$C27:$C666,312,Пр11!I27:I655)</f>
        <v>0</v>
      </c>
      <c r="F43" s="65">
        <f ca="1">SUMIF(Пр11!$C27:$C666,312,Пр11!J27:J655)</f>
        <v>0</v>
      </c>
      <c r="G43" s="65">
        <f ca="1">SUMIF(Пр11!$C27:$C666,312,Пр11!K27:K655)</f>
        <v>0</v>
      </c>
      <c r="H43" s="65">
        <f ca="1">SUMIF(Пр11!$C27:$C666,312,Пр11!L27:L655)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SUMIF(Пр11!$C27:$C667,313,Пр11!G27:G655)</f>
        <v>0</v>
      </c>
      <c r="D44" s="65">
        <f ca="1">SUMIF(Пр11!$C27:$C667,313,Пр11!H27:H655)</f>
        <v>0</v>
      </c>
      <c r="E44" s="65">
        <f ca="1">SUMIF(Пр11!$C27:$C667,313,Пр11!I27:I655)</f>
        <v>0</v>
      </c>
      <c r="F44" s="65">
        <f ca="1">SUMIF(Пр11!$C27:$C667,313,Пр11!J27:J655)</f>
        <v>0</v>
      </c>
      <c r="G44" s="65">
        <f ca="1">SUMIF(Пр11!$C27:$C667,313,Пр11!K27:K655)</f>
        <v>0</v>
      </c>
      <c r="H44" s="65">
        <f ca="1">SUMIF(Пр11!$C27:$C667,313,Пр11!L27:L655)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SUMIF(Пр11!$C27:$C668,314,Пр11!G27:G655)</f>
        <v>200000</v>
      </c>
      <c r="D45" s="65">
        <f ca="1">SUMIF(Пр11!$C27:$C668,314,Пр11!H27:H655)</f>
        <v>0</v>
      </c>
      <c r="E45" s="65">
        <f ca="1">SUMIF(Пр11!$C27:$C668,314,Пр11!I27:I655)</f>
        <v>200000</v>
      </c>
      <c r="F45" s="65">
        <f ca="1">SUMIF(Пр11!$C27:$C668,314,Пр11!J27:J655)</f>
        <v>200000</v>
      </c>
      <c r="G45" s="65">
        <f ca="1">SUMIF(Пр11!$C27:$C668,314,Пр11!K27:K655)</f>
        <v>0</v>
      </c>
      <c r="H45" s="65">
        <f ca="1">SUMIF(Пр11!$C27:$C668,314,Пр11!L27:L655)</f>
        <v>200000</v>
      </c>
    </row>
    <row r="46" spans="1:8" ht="16.5" thickBot="1" x14ac:dyDescent="0.25">
      <c r="A46" s="60">
        <v>400</v>
      </c>
      <c r="B46" s="797" t="s">
        <v>176</v>
      </c>
      <c r="C46" s="80">
        <f ca="1">SUM(C47:C58)</f>
        <v>273552458</v>
      </c>
      <c r="D46" s="80">
        <f t="shared" ref="D46:E46" ca="1" si="10">SUM(D47:D58)</f>
        <v>0</v>
      </c>
      <c r="E46" s="80">
        <f t="shared" ca="1" si="10"/>
        <v>273552458</v>
      </c>
      <c r="F46" s="80">
        <f t="shared" ref="F46" ca="1" si="11">SUM(F47:F58)</f>
        <v>155666428</v>
      </c>
      <c r="G46" s="80">
        <f t="shared" ref="G46" ca="1" si="12">SUM(G47:G58)</f>
        <v>0</v>
      </c>
      <c r="H46" s="80">
        <f t="shared" ref="H46" ca="1" si="13">SUM(H47:H58)</f>
        <v>155666428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SUMIF(Пр11!$C10:$C655,401,Пр11!G10:G655)</f>
        <v>0</v>
      </c>
      <c r="D47" s="65">
        <f>SUMIF(Пр11!$C10:$C655,401,Пр11!H10:H655)</f>
        <v>0</v>
      </c>
      <c r="E47" s="65">
        <f>SUMIF(Пр11!$C10:$C655,401,Пр11!I10:I655)</f>
        <v>0</v>
      </c>
      <c r="F47" s="65">
        <f>SUMIF(Пр11!$C10:$C655,401,Пр11!J10:J655)</f>
        <v>0</v>
      </c>
      <c r="G47" s="65">
        <f>SUMIF(Пр11!$C10:$C655,401,Пр11!K10:K655)</f>
        <v>0</v>
      </c>
      <c r="H47" s="65">
        <f>SUMIF(Пр11!$C10:$C655,401,Пр11!L10:L655)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SUMIF(Пр11!$C11:$C655,402,Пр11!G11:G655)</f>
        <v>0</v>
      </c>
      <c r="D48" s="65">
        <f>SUMIF(Пр11!$C11:$C655,402,Пр11!H11:H655)</f>
        <v>0</v>
      </c>
      <c r="E48" s="65">
        <f>SUMIF(Пр11!$C11:$C655,402,Пр11!I11:I655)</f>
        <v>0</v>
      </c>
      <c r="F48" s="65">
        <f>SUMIF(Пр11!$C11:$C655,402,Пр11!J11:J655)</f>
        <v>0</v>
      </c>
      <c r="G48" s="65">
        <f>SUMIF(Пр11!$C11:$C655,402,Пр11!K11:K655)</f>
        <v>0</v>
      </c>
      <c r="H48" s="65">
        <f>SUMIF(Пр11!$C11:$C655,402,Пр11!L11:L655)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SUMIF(Пр11!$C12:$C659,403,Пр11!G12:G655)</f>
        <v>0</v>
      </c>
      <c r="D49" s="65">
        <f ca="1">SUMIF(Пр11!$C12:$C659,403,Пр11!H12:H655)</f>
        <v>0</v>
      </c>
      <c r="E49" s="65">
        <f ca="1">SUMIF(Пр11!$C12:$C659,403,Пр11!I12:I655)</f>
        <v>0</v>
      </c>
      <c r="F49" s="65">
        <f ca="1">SUMIF(Пр11!$C12:$C659,403,Пр11!J12:J655)</f>
        <v>0</v>
      </c>
      <c r="G49" s="65">
        <f ca="1">SUMIF(Пр11!$C12:$C659,403,Пр11!K12:K655)</f>
        <v>0</v>
      </c>
      <c r="H49" s="65">
        <f ca="1">SUMIF(Пр11!$C12:$C659,403,Пр11!L12:L655)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SUMIF(Пр11!$C14:$C660,404,Пр11!G14:G655)</f>
        <v>0</v>
      </c>
      <c r="D50" s="65">
        <f ca="1">SUMIF(Пр11!$C14:$C660,404,Пр11!H14:H655)</f>
        <v>0</v>
      </c>
      <c r="E50" s="65">
        <f ca="1">SUMIF(Пр11!$C14:$C660,404,Пр11!I14:I655)</f>
        <v>0</v>
      </c>
      <c r="F50" s="65">
        <f ca="1">SUMIF(Пр11!$C14:$C660,404,Пр11!J14:J655)</f>
        <v>0</v>
      </c>
      <c r="G50" s="65">
        <f ca="1">SUMIF(Пр11!$C14:$C660,404,Пр11!K14:K655)</f>
        <v>0</v>
      </c>
      <c r="H50" s="65">
        <f ca="1">SUMIF(Пр11!$C14:$C660,404,Пр11!L14:L655)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SUMIF(Пр11!$C15:$C661,405,Пр11!G15:G655)</f>
        <v>762090</v>
      </c>
      <c r="D51" s="65">
        <f ca="1">SUMIF(Пр11!$C15:$C661,405,Пр11!H15:H655)</f>
        <v>0</v>
      </c>
      <c r="E51" s="65">
        <f ca="1">SUMIF(Пр11!$C15:$C661,405,Пр11!I15:I655)</f>
        <v>762090</v>
      </c>
      <c r="F51" s="65">
        <f ca="1">SUMIF(Пр11!$C15:$C661,405,Пр11!J15:J655)</f>
        <v>762090</v>
      </c>
      <c r="G51" s="65">
        <f ca="1">SUMIF(Пр11!$C15:$C661,405,Пр11!K15:K655)</f>
        <v>0</v>
      </c>
      <c r="H51" s="65">
        <f ca="1">SUMIF(Пр11!$C15:$C661,405,Пр11!L15:L655)</f>
        <v>762090</v>
      </c>
    </row>
    <row r="52" spans="1:8" ht="16.5" hidden="1" thickBot="1" x14ac:dyDescent="0.3">
      <c r="A52" s="63">
        <v>406</v>
      </c>
      <c r="B52" s="795" t="s">
        <v>182</v>
      </c>
      <c r="C52" s="65">
        <f ca="1">SUMIF(Пр11!$C15:$C662,406,Пр11!G15:G655)</f>
        <v>0</v>
      </c>
      <c r="D52" s="65">
        <f ca="1">SUMIF(Пр11!$C15:$C662,406,Пр11!H15:H655)</f>
        <v>0</v>
      </c>
      <c r="E52" s="65">
        <f ca="1">SUMIF(Пр11!$C15:$C662,406,Пр11!I15:I655)</f>
        <v>0</v>
      </c>
      <c r="F52" s="65">
        <f ca="1">SUMIF(Пр11!$C15:$C662,406,Пр11!J15:J655)</f>
        <v>0</v>
      </c>
      <c r="G52" s="65">
        <f ca="1">SUMIF(Пр11!$C15:$C662,406,Пр11!K15:K655)</f>
        <v>0</v>
      </c>
      <c r="H52" s="65">
        <f ca="1">SUMIF(Пр11!$C15:$C662,406,Пр11!L15:L655)</f>
        <v>0</v>
      </c>
    </row>
    <row r="53" spans="1:8" ht="16.5" hidden="1" thickBot="1" x14ac:dyDescent="0.3">
      <c r="A53" s="63">
        <v>407</v>
      </c>
      <c r="B53" s="795" t="s">
        <v>183</v>
      </c>
      <c r="C53" s="65">
        <f ca="1">SUMIF(Пр11!$C16:$C663,407,Пр11!G16:G655)</f>
        <v>0</v>
      </c>
      <c r="D53" s="65">
        <f ca="1">SUMIF(Пр11!$C16:$C663,407,Пр11!H16:H655)</f>
        <v>0</v>
      </c>
      <c r="E53" s="65">
        <f ca="1">SUMIF(Пр11!$C16:$C663,407,Пр11!I16:I655)</f>
        <v>0</v>
      </c>
      <c r="F53" s="65">
        <f ca="1">SUMIF(Пр11!$C16:$C663,407,Пр11!J16:J655)</f>
        <v>0</v>
      </c>
      <c r="G53" s="65">
        <f ca="1">SUMIF(Пр11!$C16:$C663,407,Пр11!K16:K655)</f>
        <v>0</v>
      </c>
      <c r="H53" s="65">
        <f ca="1">SUMIF(Пр11!$C16:$C663,407,Пр11!L16:L655)</f>
        <v>0</v>
      </c>
    </row>
    <row r="54" spans="1:8" ht="16.5" thickBot="1" x14ac:dyDescent="0.3">
      <c r="A54" s="63">
        <v>408</v>
      </c>
      <c r="B54" s="795" t="s">
        <v>184</v>
      </c>
      <c r="C54" s="65">
        <f ca="1">SUMIF(Пр11!$C17:$C664,408,Пр11!G17:G655)</f>
        <v>11830000</v>
      </c>
      <c r="D54" s="65">
        <f ca="1">SUMIF(Пр11!$C17:$C664,408,Пр11!H17:H655)</f>
        <v>0</v>
      </c>
      <c r="E54" s="65">
        <f ca="1">SUMIF(Пр11!$C17:$C664,408,Пр11!I17:I655)</f>
        <v>11830000</v>
      </c>
      <c r="F54" s="65">
        <f ca="1">SUMIF(Пр11!$C17:$C664,408,Пр11!J17:J655)</f>
        <v>0</v>
      </c>
      <c r="G54" s="65">
        <f ca="1">SUMIF(Пр11!$C17:$C664,408,Пр11!K17:K655)</f>
        <v>0</v>
      </c>
      <c r="H54" s="65">
        <f ca="1">SUMIF(Пр11!$C17:$C664,408,Пр11!L17:L655)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SUMIF(Пр11!$C18:$C665,409,Пр11!G18:G655)</f>
        <v>260440368</v>
      </c>
      <c r="D55" s="65">
        <f ca="1">SUMIF(Пр11!$C18:$C665,409,Пр11!H18:H655)</f>
        <v>0</v>
      </c>
      <c r="E55" s="65">
        <f>Пр11!I102</f>
        <v>260440368</v>
      </c>
      <c r="F55" s="65">
        <f ca="1">SUMIF(Пр11!$C18:$C665,409,Пр11!J18:J655)</f>
        <v>154504338</v>
      </c>
      <c r="G55" s="65">
        <f ca="1">SUMIF(Пр11!$C18:$C665,409,Пр11!K18:K655)</f>
        <v>0</v>
      </c>
      <c r="H55" s="65">
        <f>Пр11!L102</f>
        <v>154504338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SUMIF(Пр11!$C27:$C666,410,Пр11!G27:G655)</f>
        <v>0</v>
      </c>
      <c r="D56" s="65">
        <f ca="1">SUMIF(Пр11!$C27:$C666,410,Пр11!H27:H655)</f>
        <v>0</v>
      </c>
      <c r="E56" s="65">
        <f ca="1">SUMIF(Пр11!$C27:$C666,410,Пр11!I27:I655)</f>
        <v>0</v>
      </c>
      <c r="F56" s="65">
        <f ca="1">SUMIF(Пр11!$C27:$C666,410,Пр11!J27:J655)</f>
        <v>0</v>
      </c>
      <c r="G56" s="65">
        <f ca="1">SUMIF(Пр11!$C27:$C666,410,Пр11!K27:K655)</f>
        <v>0</v>
      </c>
      <c r="H56" s="65">
        <f ca="1">SUMIF(Пр11!$C27:$C666,410,Пр11!L27:L655)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SUMIF(Пр11!$C27:$C667,411,Пр11!G27:G655)</f>
        <v>0</v>
      </c>
      <c r="D57" s="65">
        <f ca="1">SUMIF(Пр11!$C27:$C667,411,Пр11!H27:H655)</f>
        <v>0</v>
      </c>
      <c r="E57" s="65">
        <f ca="1">SUMIF(Пр11!$C27:$C667,411,Пр11!I27:I655)</f>
        <v>0</v>
      </c>
      <c r="F57" s="65">
        <f ca="1">SUMIF(Пр11!$C27:$C667,411,Пр11!J27:J655)</f>
        <v>0</v>
      </c>
      <c r="G57" s="65">
        <f ca="1">SUMIF(Пр11!$C27:$C667,411,Пр11!K27:K655)</f>
        <v>0</v>
      </c>
      <c r="H57" s="65">
        <f ca="1">SUMIF(Пр11!$C27:$C667,411,Пр11!L27:L655)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SUMIF(Пр11!$C10:$C668,412,Пр11!G10:G655)</f>
        <v>520000</v>
      </c>
      <c r="D58" s="65">
        <f ca="1">SUMIF(Пр11!$C10:$C668,412,Пр11!H10:H655)</f>
        <v>0</v>
      </c>
      <c r="E58" s="65">
        <f ca="1">SUMIF(Пр11!$C21:$C668,A58,Пр11!I21:I659)</f>
        <v>520000</v>
      </c>
      <c r="F58" s="65">
        <f ca="1">SUMIF(Пр11!$C10:$C668,412,Пр11!J10:J655)</f>
        <v>400000</v>
      </c>
      <c r="G58" s="65">
        <f ca="1">SUMIF(Пр11!$C10:$C668,412,Пр11!K10:K655)</f>
        <v>0</v>
      </c>
      <c r="H58" s="65">
        <f ca="1">SUMIF(Пр11!$C10:$C668,412,Пр11!L10:L655)</f>
        <v>400000</v>
      </c>
    </row>
    <row r="59" spans="1:8" ht="32.25" thickBot="1" x14ac:dyDescent="0.25">
      <c r="A59" s="60">
        <v>500</v>
      </c>
      <c r="B59" s="797" t="s">
        <v>189</v>
      </c>
      <c r="C59" s="80">
        <f ca="1">SUM(C60:C64)</f>
        <v>59648078</v>
      </c>
      <c r="D59" s="80">
        <f t="shared" ref="D59:E59" ca="1" si="14">SUM(D60:D64)</f>
        <v>0</v>
      </c>
      <c r="E59" s="80">
        <f t="shared" ca="1" si="14"/>
        <v>59648078</v>
      </c>
      <c r="F59" s="80">
        <f t="shared" ref="F59:H59" ca="1" si="15">SUM(F60:F64)</f>
        <v>28560078</v>
      </c>
      <c r="G59" s="80">
        <f t="shared" ca="1" si="15"/>
        <v>0</v>
      </c>
      <c r="H59" s="80">
        <f t="shared" ca="1" si="15"/>
        <v>28560078</v>
      </c>
    </row>
    <row r="60" spans="1:8" ht="16.5" thickBot="1" x14ac:dyDescent="0.3">
      <c r="A60" s="63">
        <v>501</v>
      </c>
      <c r="B60" s="66" t="s">
        <v>190</v>
      </c>
      <c r="C60" s="65">
        <f>SUMIF(Пр11!$C10:$C655,501,Пр11!G10:G655)</f>
        <v>930000</v>
      </c>
      <c r="D60" s="65">
        <f>SUMIF(Пр11!$C10:$C655,501,Пр11!H10:H655)</f>
        <v>0</v>
      </c>
      <c r="E60" s="65">
        <f>SUMIF(Пр11!$C10:$C655,501,Пр11!I10:I655)</f>
        <v>930000</v>
      </c>
      <c r="F60" s="65">
        <f>SUMIF(Пр11!$C10:$C655,501,Пр11!J10:J655)</f>
        <v>930000</v>
      </c>
      <c r="G60" s="65">
        <f>SUMIF(Пр11!$C10:$C655,501,Пр11!K10:K655)</f>
        <v>0</v>
      </c>
      <c r="H60" s="65">
        <f>SUMIF(Пр11!$C10:$C655,501,Пр11!L10:L655)</f>
        <v>930000</v>
      </c>
    </row>
    <row r="61" spans="1:8" ht="16.5" thickBot="1" x14ac:dyDescent="0.3">
      <c r="A61" s="63">
        <v>502</v>
      </c>
      <c r="B61" s="66" t="s">
        <v>191</v>
      </c>
      <c r="C61" s="65">
        <f>SUMIF(Пр11!$C11:$C655,502,Пр11!G11:G655)</f>
        <v>27363000</v>
      </c>
      <c r="D61" s="65">
        <f>SUMIF(Пр11!$C11:$C655,502,Пр11!H11:H655)</f>
        <v>0</v>
      </c>
      <c r="E61" s="65">
        <f>Пр11!I162</f>
        <v>27363000</v>
      </c>
      <c r="F61" s="65">
        <f>SUMIF(Пр11!$C11:$C655,502,Пр11!J11:J655)</f>
        <v>2700000</v>
      </c>
      <c r="G61" s="65">
        <f>SUMIF(Пр11!$C11:$C655,502,Пр11!K11:K655)</f>
        <v>0</v>
      </c>
      <c r="H61" s="65">
        <f>Пр11!L162</f>
        <v>2700000</v>
      </c>
    </row>
    <row r="62" spans="1:8" ht="16.5" thickBot="1" x14ac:dyDescent="0.3">
      <c r="A62" s="63">
        <v>503</v>
      </c>
      <c r="B62" s="64" t="s">
        <v>192</v>
      </c>
      <c r="C62" s="65">
        <f ca="1">SUMIF(Пр11!$C12:$C659,503,Пр11!G12:G655)</f>
        <v>31355078</v>
      </c>
      <c r="D62" s="65">
        <f ca="1">SUMIF(Пр11!$C12:$C659,503,Пр11!H12:H655)</f>
        <v>0</v>
      </c>
      <c r="E62" s="65">
        <f ca="1">SUMIF(Пр11!$C12:$C659,503,Пр11!I12:I655)</f>
        <v>31355078</v>
      </c>
      <c r="F62" s="65">
        <f ca="1">SUMIF(Пр11!$C12:$C659,503,Пр11!J12:J655)</f>
        <v>24930078</v>
      </c>
      <c r="G62" s="65">
        <f ca="1">SUMIF(Пр11!$C12:$C659,503,Пр11!K12:K655)</f>
        <v>0</v>
      </c>
      <c r="H62" s="65">
        <f ca="1">SUMIF(Пр11!$C12:$C659,503,Пр11!L12:L655)</f>
        <v>24930078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SUMIF(Пр11!$C14:$C660,504,Пр11!G14:G655)</f>
        <v>0</v>
      </c>
      <c r="D63" s="65">
        <f ca="1">SUMIF(Пр11!$C14:$C660,504,Пр11!H14:H655)</f>
        <v>0</v>
      </c>
      <c r="E63" s="65">
        <f ca="1">SUMIF(Пр11!$C14:$C660,504,Пр11!I14:I655)</f>
        <v>0</v>
      </c>
      <c r="F63" s="65">
        <f ca="1">SUMIF(Пр11!$C14:$C660,504,Пр11!J14:J655)</f>
        <v>0</v>
      </c>
      <c r="G63" s="65">
        <f ca="1">SUMIF(Пр11!$C14:$C660,504,Пр11!K14:K655)</f>
        <v>0</v>
      </c>
      <c r="H63" s="65">
        <f ca="1">SUMIF(Пр11!$C14:$C660,504,Пр11!L14:L655)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SUMIF(Пр11!$C15:$C661,505,Пр11!G15:G655)</f>
        <v>0</v>
      </c>
      <c r="D64" s="65">
        <f ca="1">SUMIF(Пр11!$C15:$C661,505,Пр11!H15:H655)</f>
        <v>0</v>
      </c>
      <c r="E64" s="65">
        <f ca="1">SUMIF(Пр11!$C15:$C661,505,Пр11!I15:I655)</f>
        <v>0</v>
      </c>
      <c r="F64" s="65">
        <f ca="1">SUMIF(Пр11!$C15:$C661,505,Пр11!J15:J655)</f>
        <v>0</v>
      </c>
      <c r="G64" s="65">
        <f ca="1">SUMIF(Пр11!$C15:$C661,505,Пр11!K15:K655)</f>
        <v>0</v>
      </c>
      <c r="H64" s="65">
        <f ca="1">SUMIF(Пр11!$C15:$C661,505,Пр11!L15:L655)</f>
        <v>0</v>
      </c>
    </row>
    <row r="65" spans="1:8" ht="16.5" thickBot="1" x14ac:dyDescent="0.25">
      <c r="A65" s="60">
        <v>600</v>
      </c>
      <c r="B65" s="799" t="s">
        <v>195</v>
      </c>
      <c r="C65" s="80">
        <f>SUM(C66:C70)</f>
        <v>2936113</v>
      </c>
      <c r="D65" s="80">
        <f t="shared" ref="D65:E65" si="16">SUM(D66:D70)</f>
        <v>0</v>
      </c>
      <c r="E65" s="80">
        <f t="shared" si="16"/>
        <v>2936113</v>
      </c>
      <c r="F65" s="80">
        <f t="shared" ref="F65" si="17">SUM(F66:F70)</f>
        <v>6359412</v>
      </c>
      <c r="G65" s="80">
        <f t="shared" ref="G65" si="18">SUM(G66:G70)</f>
        <v>0</v>
      </c>
      <c r="H65" s="80">
        <f t="shared" ref="H65" si="19">SUM(H66:H70)</f>
        <v>6359412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SUMIF(Пр11!$C10:$C655,601,Пр11!G10:G655)</f>
        <v>0</v>
      </c>
      <c r="D66" s="65">
        <f>SUMIF(Пр11!$C10:$C655,601,Пр11!H10:H655)</f>
        <v>0</v>
      </c>
      <c r="E66" s="65">
        <f>SUMIF(Пр11!$C10:$C655,601,Пр11!I10:I655)</f>
        <v>0</v>
      </c>
      <c r="F66" s="65">
        <f>SUMIF(Пр11!$C10:$C655,601,Пр11!J10:J655)</f>
        <v>0</v>
      </c>
      <c r="G66" s="65">
        <f>SUMIF(Пр11!$C10:$C655,601,Пр11!K10:K655)</f>
        <v>0</v>
      </c>
      <c r="H66" s="65">
        <f>SUMIF(Пр11!$C10:$C655,601,Пр11!L10:L655)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SUMIF(Пр11!$C11:$C655,602,Пр11!G11:G655)</f>
        <v>0</v>
      </c>
      <c r="D67" s="65">
        <f>SUMIF(Пр11!$C11:$C655,602,Пр11!H11:H655)</f>
        <v>0</v>
      </c>
      <c r="E67" s="65">
        <f>SUMIF(Пр11!$C11:$C655,602,Пр11!I11:I655)</f>
        <v>0</v>
      </c>
      <c r="F67" s="65">
        <f>SUMIF(Пр11!$C11:$C655,602,Пр11!J11:J655)</f>
        <v>0</v>
      </c>
      <c r="G67" s="65">
        <f>SUMIF(Пр11!$C11:$C655,602,Пр11!K11:K655)</f>
        <v>0</v>
      </c>
      <c r="H67" s="65">
        <f>SUMIF(Пр11!$C11:$C655,602,Пр11!L11:L655)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SUMIF(Пр11!$C12:$C659,603,Пр11!G12:G659)</f>
        <v>0</v>
      </c>
      <c r="D68" s="65">
        <f>SUMIF(Пр11!$C12:$C659,603,Пр11!H12:H659)</f>
        <v>0</v>
      </c>
      <c r="E68" s="65">
        <f>SUMIF(Пр11!$C12:$C659,603,Пр11!I12:I659)</f>
        <v>0</v>
      </c>
      <c r="F68" s="65">
        <f>SUMIF(Пр11!$C12:$C659,603,Пр11!J12:J659)</f>
        <v>0</v>
      </c>
      <c r="G68" s="65">
        <f>SUMIF(Пр11!$C12:$C659,603,Пр11!K12:K659)</f>
        <v>0</v>
      </c>
      <c r="H68" s="65">
        <f>SUMIF(Пр11!$C12:$C659,603,Пр11!L12:L659)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SUMIF(Пр11!$C14:$C660,604,Пр11!G14:G660)</f>
        <v>0</v>
      </c>
      <c r="D69" s="65">
        <f>SUMIF(Пр11!$C14:$C660,604,Пр11!H14:H660)</f>
        <v>0</v>
      </c>
      <c r="E69" s="65">
        <f>SUMIF(Пр11!$C14:$C660,604,Пр11!I14:I660)</f>
        <v>0</v>
      </c>
      <c r="F69" s="65">
        <f>SUMIF(Пр11!$C14:$C660,604,Пр11!J14:J660)</f>
        <v>0</v>
      </c>
      <c r="G69" s="65">
        <f>SUMIF(Пр11!$C14:$C660,604,Пр11!K14:K660)</f>
        <v>0</v>
      </c>
      <c r="H69" s="65">
        <f>SUMIF(Пр11!$C14:$C660,604,Пр11!L14:L660)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SUMIF(Пр11!$C15:$C661,605,Пр11!G15:G661)</f>
        <v>2936113</v>
      </c>
      <c r="D70" s="65">
        <f>SUMIF(Пр11!$C15:$C661,605,Пр11!H15:H661)</f>
        <v>0</v>
      </c>
      <c r="E70" s="65">
        <f>SUMIF(Пр11!$C15:$C661,605,Пр11!I15:I661)</f>
        <v>2936113</v>
      </c>
      <c r="F70" s="65">
        <f>SUMIF(Пр11!$C15:$C661,605,Пр11!J15:J661)</f>
        <v>6359412</v>
      </c>
      <c r="G70" s="65">
        <f>SUMIF(Пр11!$C15:$C661,605,Пр11!K15:K661)</f>
        <v>0</v>
      </c>
      <c r="H70" s="65">
        <f>SUMIF(Пр11!$C15:$C661,605,Пр11!L15:L661)</f>
        <v>6359412</v>
      </c>
    </row>
    <row r="71" spans="1:8" ht="16.5" thickBot="1" x14ac:dyDescent="0.25">
      <c r="A71" s="60">
        <v>700</v>
      </c>
      <c r="B71" s="799" t="s">
        <v>201</v>
      </c>
      <c r="C71" s="80">
        <f>SUM(C72:C80)</f>
        <v>1024416901</v>
      </c>
      <c r="D71" s="80">
        <f t="shared" ref="D71:E71" si="20">SUM(D72:D80)</f>
        <v>0</v>
      </c>
      <c r="E71" s="80">
        <f t="shared" si="20"/>
        <v>1024416901</v>
      </c>
      <c r="F71" s="80">
        <f t="shared" ref="F71:H71" si="21">SUM(F72:F80)</f>
        <v>937104489</v>
      </c>
      <c r="G71" s="80">
        <f t="shared" si="21"/>
        <v>0</v>
      </c>
      <c r="H71" s="80">
        <f t="shared" si="21"/>
        <v>937104489</v>
      </c>
    </row>
    <row r="72" spans="1:8" ht="16.5" thickBot="1" x14ac:dyDescent="0.3">
      <c r="A72" s="63">
        <v>701</v>
      </c>
      <c r="B72" s="66" t="s">
        <v>202</v>
      </c>
      <c r="C72" s="65">
        <f>SUMIF(Пр11!$C10:$C695,701,Пр11!G10:G695)</f>
        <v>398328457</v>
      </c>
      <c r="D72" s="65">
        <f>SUMIF(Пр11!$C10:$C695,701,Пр11!H10:H695)</f>
        <v>0</v>
      </c>
      <c r="E72" s="65">
        <f>SUMIF(Пр11!$C10:$C695,701,Пр11!I10:I695)</f>
        <v>398328457</v>
      </c>
      <c r="F72" s="65">
        <f>SUMIF(Пр11!$C10:$C695,701,Пр11!J10:J695)</f>
        <v>349920457</v>
      </c>
      <c r="G72" s="65">
        <f>SUMIF(Пр11!$C10:$C695,701,Пр11!K10:K695)</f>
        <v>0</v>
      </c>
      <c r="H72" s="65">
        <f>SUMIF(Пр11!$C10:$C695,701,Пр11!L10:L695)</f>
        <v>349920457</v>
      </c>
    </row>
    <row r="73" spans="1:8" ht="16.5" thickBot="1" x14ac:dyDescent="0.3">
      <c r="A73" s="63">
        <v>702</v>
      </c>
      <c r="B73" s="66" t="s">
        <v>203</v>
      </c>
      <c r="C73" s="65">
        <f>SUMIF(Пр11!$C10:$C696,702,Пр11!G10:G696)</f>
        <v>501696553</v>
      </c>
      <c r="D73" s="65">
        <f>SUMIF(Пр11!$C10:$C696,702,Пр11!H10:H696)</f>
        <v>0</v>
      </c>
      <c r="E73" s="65">
        <f>SUMIF(Пр11!$C10:$C696,702,Пр11!I10:I696)</f>
        <v>501696553</v>
      </c>
      <c r="F73" s="65">
        <f>SUMIF(Пр11!$C10:$C696,702,Пр11!J10:J696)</f>
        <v>476872900</v>
      </c>
      <c r="G73" s="65">
        <f>SUMIF(Пр11!$C10:$C696,702,Пр11!K10:K696)</f>
        <v>0</v>
      </c>
      <c r="H73" s="65">
        <f>SUMIF(Пр11!$C10:$C696,702,Пр11!L10:L696)</f>
        <v>476872900</v>
      </c>
    </row>
    <row r="74" spans="1:8" ht="16.5" thickBot="1" x14ac:dyDescent="0.3">
      <c r="A74" s="63">
        <v>703</v>
      </c>
      <c r="B74" s="271" t="s">
        <v>1028</v>
      </c>
      <c r="C74" s="65">
        <f>SUMIF(Пр11!$C233:$C697,703,Пр11!G233:G697)</f>
        <v>70238081</v>
      </c>
      <c r="D74" s="65">
        <f>SUMIF(Пр11!$C233:$C697,703,Пр11!H233:H697)</f>
        <v>0</v>
      </c>
      <c r="E74" s="65">
        <f>SUMIF(Пр11!$C233:$C697,703,Пр11!I233:I697)</f>
        <v>70238081</v>
      </c>
      <c r="F74" s="65">
        <f>SUMIF(Пр11!$C233:$C697,703,Пр11!J233:J697)</f>
        <v>65935693</v>
      </c>
      <c r="G74" s="65">
        <f>SUMIF(Пр11!$C233:$C697,703,Пр11!K233:K697)</f>
        <v>0</v>
      </c>
      <c r="H74" s="65">
        <f>SUMIF(Пр11!$C233:$C697,703,Пр11!L233:L697)</f>
        <v>65935693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SUMIF(Пр11!$C233:$C698,304,Пр11!G233:G698)</f>
        <v>0</v>
      </c>
      <c r="D75" s="65">
        <f>SUMIF(Пр11!$C233:$C698,304,Пр11!H233:H698)</f>
        <v>0</v>
      </c>
      <c r="E75" s="65">
        <f>SUMIF(Пр11!$C233:$C698,304,Пр11!I233:I698)</f>
        <v>0</v>
      </c>
      <c r="F75" s="65">
        <f>SUMIF(Пр11!$C233:$C698,304,Пр11!J233:J698)</f>
        <v>0</v>
      </c>
      <c r="G75" s="65">
        <f>SUMIF(Пр11!$C233:$C698,304,Пр11!K233:K698)</f>
        <v>0</v>
      </c>
      <c r="H75" s="65">
        <f>SUMIF(Пр11!$C233:$C698,304,Пр11!L233:L698)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SUMIF(Пр11!$C233:$C699,705,Пр11!G233:G699)</f>
        <v>1000000</v>
      </c>
      <c r="D76" s="65">
        <f>SUMIF(Пр11!$C233:$C699,705,Пр11!H233:H699)</f>
        <v>0</v>
      </c>
      <c r="E76" s="65">
        <f>SUMIF(Пр11!$C233:$C699,705,Пр11!I233:I699)</f>
        <v>1000000</v>
      </c>
      <c r="F76" s="65">
        <f>SUMIF(Пр11!$C233:$C699,705,Пр11!J233:J699)</f>
        <v>500000</v>
      </c>
      <c r="G76" s="65">
        <f>SUMIF(Пр11!$C233:$C699,705,Пр11!K233:K699)</f>
        <v>0</v>
      </c>
      <c r="H76" s="65">
        <f>SUMIF(Пр11!$C233:$C699,705,Пр11!L233:L699)</f>
        <v>500000</v>
      </c>
    </row>
    <row r="77" spans="1:8" ht="16.5" hidden="1" thickBot="1" x14ac:dyDescent="0.3">
      <c r="A77" s="70">
        <v>706</v>
      </c>
      <c r="B77" s="71" t="s">
        <v>1564</v>
      </c>
      <c r="C77" s="65">
        <f>SUMIF(Пр11!$C15:$C662,706,Пр11!F15:F662)</f>
        <v>0</v>
      </c>
      <c r="D77" s="65">
        <f>SUMIF(Пр11!$C15:$C662,706,Пр11!G15:G662)</f>
        <v>0</v>
      </c>
      <c r="E77" s="65">
        <f>SUMIF(Пр11!$C15:$C662,706,Пр11!H15:H662)</f>
        <v>0</v>
      </c>
      <c r="F77" s="65">
        <f>SUMIF(Пр11!$C15:$C662,706,Пр11!I15:I662)</f>
        <v>0</v>
      </c>
      <c r="G77" s="65">
        <f>SUMIF(Пр11!$C15:$C662,706,Пр11!J15:J662)</f>
        <v>0</v>
      </c>
      <c r="H77" s="65">
        <f>SUMIF(Пр11!$C15:$C662,706,Пр11!K15:K662)</f>
        <v>0</v>
      </c>
    </row>
    <row r="78" spans="1:8" ht="16.5" thickBot="1" x14ac:dyDescent="0.3">
      <c r="A78" s="63">
        <v>707</v>
      </c>
      <c r="B78" s="271" t="s">
        <v>1030</v>
      </c>
      <c r="C78" s="65">
        <f>SUMIF(Пр11!$C10:$C701,707,Пр11!G10:G701)</f>
        <v>14296198</v>
      </c>
      <c r="D78" s="65">
        <f>SUMIF(Пр11!$C10:$C701,707,Пр11!H10:H701)</f>
        <v>0</v>
      </c>
      <c r="E78" s="65">
        <f>SUMIF(Пр11!$C10:$C701,707,Пр11!I10:I701)</f>
        <v>14296198</v>
      </c>
      <c r="F78" s="65">
        <f>SUMIF(Пр11!$C10:$C701,707,Пр11!J10:J701)</f>
        <v>11941126</v>
      </c>
      <c r="G78" s="65">
        <f>SUMIF(Пр11!$C10:$C701,707,Пр11!K10:K701)</f>
        <v>0</v>
      </c>
      <c r="H78" s="65">
        <f>SUMIF(Пр11!$C10:$C701,707,Пр11!L10:L701)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SUMIF(Пр11!$C17:$C664,7081,Пр11!F17:F664)</f>
        <v>0</v>
      </c>
      <c r="D79" s="65">
        <f>SUMIF(Пр11!$C17:$C664,7081,Пр11!G17:G664)</f>
        <v>0</v>
      </c>
      <c r="E79" s="65">
        <f>SUMIF(Пр11!$C17:$C664,7081,Пр11!H17:H664)</f>
        <v>0</v>
      </c>
      <c r="F79" s="65">
        <f>SUMIF(Пр11!$C17:$C664,7081,Пр11!I17:I664)</f>
        <v>0</v>
      </c>
      <c r="G79" s="65">
        <f>SUMIF(Пр11!$C17:$C664,7081,Пр11!J17:J664)</f>
        <v>0</v>
      </c>
      <c r="H79" s="65">
        <f>SUMIF(Пр11!$C17:$C664,7081,Пр11!K17:K664)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SUMIF(Пр11!$C10:$C703,709,Пр11!G10:G703)</f>
        <v>38857612</v>
      </c>
      <c r="D80" s="65">
        <f>SUMIF(Пр11!$C10:$C703,709,Пр11!H10:H703)</f>
        <v>0</v>
      </c>
      <c r="E80" s="65">
        <f>SUMIF(Пр11!$C10:$C703,709,Пр11!I10:I703)</f>
        <v>38857612</v>
      </c>
      <c r="F80" s="65">
        <f>SUMIF(Пр11!$C10:$C703,709,Пр11!J10:J703)</f>
        <v>31934313</v>
      </c>
      <c r="G80" s="65">
        <f>SUMIF(Пр11!$C10:$C703,709,Пр11!K10:K703)</f>
        <v>0</v>
      </c>
      <c r="H80" s="65">
        <f>SUMIF(Пр11!$C10:$C703,709,Пр11!L10:L703)</f>
        <v>31934313</v>
      </c>
    </row>
    <row r="81" spans="1:8" ht="16.5" thickBot="1" x14ac:dyDescent="0.25">
      <c r="A81" s="60">
        <v>800</v>
      </c>
      <c r="B81" s="799" t="s">
        <v>208</v>
      </c>
      <c r="C81" s="80">
        <f>SUM(C82:C85)</f>
        <v>112708782</v>
      </c>
      <c r="D81" s="80">
        <f t="shared" ref="D81:E81" si="22">SUM(D82:D85)</f>
        <v>0</v>
      </c>
      <c r="E81" s="80">
        <f t="shared" si="22"/>
        <v>112708782</v>
      </c>
      <c r="F81" s="80">
        <f t="shared" ref="F81:H81" si="23">SUM(F82:F85)</f>
        <v>86641242</v>
      </c>
      <c r="G81" s="80">
        <f t="shared" si="23"/>
        <v>0</v>
      </c>
      <c r="H81" s="80">
        <f t="shared" si="23"/>
        <v>86641242</v>
      </c>
    </row>
    <row r="82" spans="1:8" ht="16.5" thickBot="1" x14ac:dyDescent="0.3">
      <c r="A82" s="63">
        <v>801</v>
      </c>
      <c r="B82" s="66" t="s">
        <v>209</v>
      </c>
      <c r="C82" s="65">
        <f>SUMIF(Пр11!$C10:$C655,801,Пр11!G10:G655)</f>
        <v>100408782</v>
      </c>
      <c r="D82" s="65">
        <f>SUMIF(Пр11!$C10:$C655,801,Пр11!H10:H655)</f>
        <v>0</v>
      </c>
      <c r="E82" s="65">
        <f>SUMIF(Пр11!$C10:$C655,801,Пр11!I10:I655)</f>
        <v>100408782</v>
      </c>
      <c r="F82" s="65">
        <f>SUMIF(Пр11!$C10:$C655,801,Пр11!J10:J655)</f>
        <v>86641242</v>
      </c>
      <c r="G82" s="65">
        <f>SUMIF(Пр11!$C10:$C655,801,Пр11!K10:K655)</f>
        <v>0</v>
      </c>
      <c r="H82" s="65">
        <f>SUMIF(Пр11!$C10:$C655,801,Пр11!L10:L655)</f>
        <v>86641242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SUMIF(Пр11!$C11:$C655,802,Пр11!G11:G655)</f>
        <v>0</v>
      </c>
      <c r="D83" s="65">
        <f>SUMIF(Пр11!$C11:$C655,802,Пр11!H11:H655)</f>
        <v>0</v>
      </c>
      <c r="E83" s="65">
        <f>SUMIF(Пр11!$C11:$C655,802,Пр11!I11:I655)</f>
        <v>0</v>
      </c>
      <c r="F83" s="65">
        <f>SUMIF(Пр11!$C11:$C655,802,Пр11!J11:J655)</f>
        <v>0</v>
      </c>
      <c r="G83" s="65">
        <f>SUMIF(Пр11!$C11:$C655,802,Пр11!K11:K655)</f>
        <v>0</v>
      </c>
      <c r="H83" s="65">
        <f>SUMIF(Пр11!$C11:$C655,802,Пр11!L11:L655)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SUMIF(Пр11!$C12:$C659,803,Пр11!G12:G659)</f>
        <v>0</v>
      </c>
      <c r="D84" s="65">
        <f>SUMIF(Пр11!$C12:$C659,803,Пр11!H12:H659)</f>
        <v>0</v>
      </c>
      <c r="E84" s="65">
        <f>SUMIF(Пр11!$C12:$C659,803,Пр11!I12:I659)</f>
        <v>0</v>
      </c>
      <c r="F84" s="65">
        <f>SUMIF(Пр11!$C12:$C659,803,Пр11!J12:J659)</f>
        <v>0</v>
      </c>
      <c r="G84" s="65">
        <f>SUMIF(Пр11!$C12:$C659,803,Пр11!K12:K659)</f>
        <v>0</v>
      </c>
      <c r="H84" s="65">
        <f>SUMIF(Пр11!$C12:$C659,803,Пр11!L12:L659)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SUMIF(Пр11!$C14:$C660,804,Пр11!G14:G660)</f>
        <v>12300000</v>
      </c>
      <c r="D85" s="65">
        <f>SUMIF(Пр11!$C14:$C660,804,Пр11!H14:H660)</f>
        <v>0</v>
      </c>
      <c r="E85" s="65">
        <f>SUMIF(Пр11!$C14:$C660,804,Пр11!I14:I660)</f>
        <v>12300000</v>
      </c>
      <c r="F85" s="65">
        <f>SUMIF(Пр11!$C14:$C660,804,Пр11!J14:J660)</f>
        <v>0</v>
      </c>
      <c r="G85" s="65">
        <f>SUMIF(Пр11!$C14:$C660,804,Пр11!K14:K660)</f>
        <v>0</v>
      </c>
      <c r="H85" s="65">
        <f>SUMIF(Пр11!$C14:$C660,804,Пр11!L14:L660)</f>
        <v>0</v>
      </c>
    </row>
    <row r="86" spans="1:8" ht="16.5" hidden="1" thickBot="1" x14ac:dyDescent="0.25">
      <c r="A86" s="60">
        <v>900</v>
      </c>
      <c r="B86" s="799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SUMIF(Пр11!$C10:$C655,901,Пр11!G10:G655)</f>
        <v>0</v>
      </c>
      <c r="D87" s="65">
        <f>SUMIF(Пр11!$C10:$C655,901,Пр11!H10:H655)</f>
        <v>0</v>
      </c>
      <c r="E87" s="65">
        <f>SUMIF(Пр11!$C10:$C655,901,Пр11!I10:I655)</f>
        <v>0</v>
      </c>
      <c r="F87" s="65">
        <f>SUMIF(Пр11!$C10:$C655,901,Пр11!J10:J655)</f>
        <v>0</v>
      </c>
      <c r="G87" s="65">
        <f>SUMIF(Пр11!$C10:$C655,901,Пр11!K10:K655)</f>
        <v>0</v>
      </c>
      <c r="H87" s="65">
        <f>SUMIF(Пр11!$C10:$C655,901,Пр11!L10:L655)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SUMIF(Пр11!$C11:$C655,902,Пр11!G11:G655)</f>
        <v>0</v>
      </c>
      <c r="D88" s="65">
        <f>SUMIF(Пр11!$C11:$C655,902,Пр11!H11:H655)</f>
        <v>0</v>
      </c>
      <c r="E88" s="65">
        <f>SUMIF(Пр11!$C11:$C655,902,Пр11!I11:I655)</f>
        <v>0</v>
      </c>
      <c r="F88" s="65">
        <f>SUMIF(Пр11!$C11:$C655,902,Пр11!J11:J655)</f>
        <v>0</v>
      </c>
      <c r="G88" s="65">
        <f>SUMIF(Пр11!$C11:$C655,902,Пр11!K11:K655)</f>
        <v>0</v>
      </c>
      <c r="H88" s="65">
        <f>SUMIF(Пр11!$C11:$C655,902,Пр11!L11:L655)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SUMIF(Пр11!$C12:$C659,903,Пр11!G12:G659)</f>
        <v>0</v>
      </c>
      <c r="D89" s="65">
        <f>SUMIF(Пр11!$C12:$C659,903,Пр11!H12:H659)</f>
        <v>0</v>
      </c>
      <c r="E89" s="65">
        <f>SUMIF(Пр11!$C12:$C659,903,Пр11!I12:I659)</f>
        <v>0</v>
      </c>
      <c r="F89" s="65">
        <f>SUMIF(Пр11!$C12:$C659,903,Пр11!J12:J659)</f>
        <v>0</v>
      </c>
      <c r="G89" s="65">
        <f>SUMIF(Пр11!$C12:$C659,903,Пр11!K12:K659)</f>
        <v>0</v>
      </c>
      <c r="H89" s="65">
        <f>SUMIF(Пр11!$C12:$C659,903,Пр11!L12:L659)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SUMIF(Пр11!$C14:$C660,904,Пр11!G14:G660)</f>
        <v>0</v>
      </c>
      <c r="D90" s="65">
        <f>SUMIF(Пр11!$C14:$C660,904,Пр11!H14:H660)</f>
        <v>0</v>
      </c>
      <c r="E90" s="65">
        <f>SUMIF(Пр11!$C14:$C660,904,Пр11!I14:I660)</f>
        <v>0</v>
      </c>
      <c r="F90" s="65">
        <f>SUMIF(Пр11!$C14:$C660,904,Пр11!J14:J660)</f>
        <v>0</v>
      </c>
      <c r="G90" s="65">
        <f>SUMIF(Пр11!$C14:$C660,904,Пр11!K14:K660)</f>
        <v>0</v>
      </c>
      <c r="H90" s="65">
        <f>SUMIF(Пр11!$C14:$C660,904,Пр11!L14:L660)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SUMIF(Пр11!$C15:$C661,905,Пр11!G15:G661)</f>
        <v>0</v>
      </c>
      <c r="D91" s="65">
        <f>SUMIF(Пр11!$C15:$C661,905,Пр11!H15:H661)</f>
        <v>0</v>
      </c>
      <c r="E91" s="65">
        <f>SUMIF(Пр11!$C15:$C661,905,Пр11!I15:I661)</f>
        <v>0</v>
      </c>
      <c r="F91" s="65">
        <f>SUMIF(Пр11!$C15:$C661,905,Пр11!J15:J661)</f>
        <v>0</v>
      </c>
      <c r="G91" s="65">
        <f>SUMIF(Пр11!$C15:$C661,905,Пр11!K15:K661)</f>
        <v>0</v>
      </c>
      <c r="H91" s="65">
        <f>SUMIF(Пр11!$C15:$C661,905,Пр11!L15:L661)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SUMIF(Пр11!$C15:$C662,906,Пр11!F15:F662)</f>
        <v>0</v>
      </c>
      <c r="D92" s="65">
        <f>SUMIF(Пр11!$C15:$C662,906,Пр11!G15:G662)</f>
        <v>0</v>
      </c>
      <c r="E92" s="65">
        <f>SUMIF(Пр11!$C15:$C662,906,Пр11!H15:H662)</f>
        <v>0</v>
      </c>
      <c r="F92" s="65">
        <f>SUMIF(Пр11!$C15:$C662,906,Пр11!I15:I662)</f>
        <v>0</v>
      </c>
      <c r="G92" s="65">
        <f>SUMIF(Пр11!$C15:$C662,906,Пр11!J15:J662)</f>
        <v>0</v>
      </c>
      <c r="H92" s="65">
        <f>SUMIF(Пр11!$C15:$C662,906,Пр11!K15:K662)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SUMIF(Пр11!$C16:$C663,907,Пр11!F16:F663)</f>
        <v>0</v>
      </c>
      <c r="D93" s="65">
        <f>SUMIF(Пр11!$C16:$C663,907,Пр11!G16:G663)</f>
        <v>0</v>
      </c>
      <c r="E93" s="65">
        <f>SUMIF(Пр11!$C16:$C663,907,Пр11!H16:H663)</f>
        <v>0</v>
      </c>
      <c r="F93" s="65">
        <f>SUMIF(Пр11!$C16:$C663,907,Пр11!I16:I663)</f>
        <v>0</v>
      </c>
      <c r="G93" s="65">
        <f>SUMIF(Пр11!$C16:$C663,907,Пр11!J16:J663)</f>
        <v>0</v>
      </c>
      <c r="H93" s="65">
        <f>SUMIF(Пр11!$C16:$C663,907,Пр11!K16:K663)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SUMIF(Пр11!$C17:$C664,908,Пр11!F17:F664)</f>
        <v>0</v>
      </c>
      <c r="D94" s="65">
        <f>SUMIF(Пр11!$C17:$C664,908,Пр11!G17:G664)</f>
        <v>0</v>
      </c>
      <c r="E94" s="65">
        <f>SUMIF(Пр11!$C17:$C664,908,Пр11!H17:H664)</f>
        <v>0</v>
      </c>
      <c r="F94" s="65">
        <f>SUMIF(Пр11!$C17:$C664,908,Пр11!I17:I664)</f>
        <v>0</v>
      </c>
      <c r="G94" s="65">
        <f>SUMIF(Пр11!$C17:$C664,908,Пр11!J17:J664)</f>
        <v>0</v>
      </c>
      <c r="H94" s="65">
        <f>SUMIF(Пр11!$C17:$C664,908,Пр11!K17:K664)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SUMIF(Пр11!$C18:$C665,909,Пр11!F18:F665)</f>
        <v>0</v>
      </c>
      <c r="D95" s="65">
        <f>SUMIF(Пр11!$C18:$C665,909,Пр11!G18:G665)</f>
        <v>0</v>
      </c>
      <c r="E95" s="65">
        <f>SUMIF(Пр11!$C18:$C665,909,Пр11!H18:H665)</f>
        <v>0</v>
      </c>
      <c r="F95" s="65">
        <f>SUMIF(Пр11!$C18:$C665,909,Пр11!I18:I665)</f>
        <v>0</v>
      </c>
      <c r="G95" s="65">
        <f>SUMIF(Пр11!$C18:$C665,909,Пр11!J18:J665)</f>
        <v>0</v>
      </c>
      <c r="H95" s="65">
        <f>SUMIF(Пр11!$C18:$C665,909,Пр11!K18:K665)</f>
        <v>0</v>
      </c>
    </row>
    <row r="96" spans="1:8" ht="16.5" thickBot="1" x14ac:dyDescent="0.25">
      <c r="A96" s="60">
        <v>1000</v>
      </c>
      <c r="B96" s="799" t="s">
        <v>223</v>
      </c>
      <c r="C96" s="80">
        <f>SUM(C97:C102)</f>
        <v>651042443</v>
      </c>
      <c r="D96" s="80">
        <f t="shared" ref="D96:E96" si="26">SUM(D97:D102)</f>
        <v>0</v>
      </c>
      <c r="E96" s="80">
        <f t="shared" si="26"/>
        <v>651042443</v>
      </c>
      <c r="F96" s="80">
        <f t="shared" ref="F96:H96" si="27">SUM(F97:F102)</f>
        <v>674448801</v>
      </c>
      <c r="G96" s="80">
        <f t="shared" si="27"/>
        <v>0</v>
      </c>
      <c r="H96" s="80">
        <f t="shared" si="27"/>
        <v>674448801</v>
      </c>
    </row>
    <row r="97" spans="1:8" ht="16.5" thickBot="1" x14ac:dyDescent="0.3">
      <c r="A97" s="63">
        <v>1001</v>
      </c>
      <c r="B97" s="66" t="s">
        <v>224</v>
      </c>
      <c r="C97" s="65">
        <f>SUMIF(Пр11!$C10:$C655,1001,Пр11!G10:G655)</f>
        <v>6451000</v>
      </c>
      <c r="D97" s="65">
        <f>SUMIF(Пр11!$C10:$C655,1001,Пр11!H10:H655)</f>
        <v>0</v>
      </c>
      <c r="E97" s="65">
        <f>SUMIF(Пр11!$C10:$C655,1001,Пр11!I10:I655)</f>
        <v>6451000</v>
      </c>
      <c r="F97" s="65">
        <f>SUMIF(Пр11!$C10:$C655,1001,Пр11!J10:J655)</f>
        <v>6451000</v>
      </c>
      <c r="G97" s="65">
        <f>SUMIF(Пр11!$C10:$C655,1001,Пр11!K10:K655)</f>
        <v>0</v>
      </c>
      <c r="H97" s="65">
        <f>SUMIF(Пр11!$C10:$C655,1001,Пр11!L10:L655)</f>
        <v>6451000</v>
      </c>
    </row>
    <row r="98" spans="1:8" ht="16.5" thickBot="1" x14ac:dyDescent="0.3">
      <c r="A98" s="63">
        <v>1002</v>
      </c>
      <c r="B98" s="66" t="s">
        <v>225</v>
      </c>
      <c r="C98" s="65">
        <f>SUMIF(Пр11!$C11:$C655,1002,Пр11!G11:G655)</f>
        <v>84274175</v>
      </c>
      <c r="D98" s="65">
        <f>SUMIF(Пр11!$C11:$C655,1002,Пр11!H11:H655)</f>
        <v>0</v>
      </c>
      <c r="E98" s="65">
        <f>SUMIF(Пр11!$C11:$C655,1002,Пр11!I11:I655)</f>
        <v>84274175</v>
      </c>
      <c r="F98" s="65">
        <f>SUMIF(Пр11!$C11:$C655,1002,Пр11!J11:J655)</f>
        <v>84274175</v>
      </c>
      <c r="G98" s="65">
        <f>SUMIF(Пр11!$C11:$C655,1002,Пр11!K11:K655)</f>
        <v>0</v>
      </c>
      <c r="H98" s="65">
        <f>SUMIF(Пр11!$C11:$C655,1002,Пр11!L11:L655)</f>
        <v>84274175</v>
      </c>
    </row>
    <row r="99" spans="1:8" ht="16.5" thickBot="1" x14ac:dyDescent="0.3">
      <c r="A99" s="63">
        <v>1003</v>
      </c>
      <c r="B99" s="66" t="s">
        <v>226</v>
      </c>
      <c r="C99" s="65">
        <f>SUMIF(Пр11!$C12:$C659,1003,Пр11!G12:G659)</f>
        <v>228193446</v>
      </c>
      <c r="D99" s="65">
        <f>SUMIF(Пр11!$C12:$C659,1003,Пр11!H12:H659)</f>
        <v>0</v>
      </c>
      <c r="E99" s="65">
        <f>SUMIF(Пр11!$C12:$C659,1003,Пр11!I12:I659)</f>
        <v>228193446</v>
      </c>
      <c r="F99" s="65">
        <f>SUMIF(Пр11!$C12:$C659,1003,Пр11!J12:J659)</f>
        <v>228543533</v>
      </c>
      <c r="G99" s="65">
        <f>SUMIF(Пр11!$C12:$C659,1003,Пр11!K12:K659)</f>
        <v>0</v>
      </c>
      <c r="H99" s="65">
        <f>SUMIF(Пр11!$C12:$C659,1003,Пр11!L12:L659)</f>
        <v>228543533</v>
      </c>
    </row>
    <row r="100" spans="1:8" ht="16.5" thickBot="1" x14ac:dyDescent="0.3">
      <c r="A100" s="63">
        <v>1004</v>
      </c>
      <c r="B100" s="64" t="s">
        <v>227</v>
      </c>
      <c r="C100" s="65">
        <f>SUMIF(Пр11!$C14:$C660,1004,Пр11!G14:G660)</f>
        <v>316158302</v>
      </c>
      <c r="D100" s="65">
        <f>SUMIF(Пр11!$C14:$C660,1004,Пр11!H14:H660)</f>
        <v>0</v>
      </c>
      <c r="E100" s="65">
        <f>SUMIF(Пр11!$C14:$C660,1004,Пр11!I14:I660)</f>
        <v>316158302</v>
      </c>
      <c r="F100" s="65">
        <f>SUMIF(Пр11!$C14:$C660,1004,Пр11!J14:J660)</f>
        <v>339484573</v>
      </c>
      <c r="G100" s="65">
        <f>SUMIF(Пр11!$C14:$C660,1004,Пр11!K14:K660)</f>
        <v>0</v>
      </c>
      <c r="H100" s="65">
        <f>SUMIF(Пр11!$C14:$C660,1004,Пр11!L14:L660)</f>
        <v>339484573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SUMIF(Пр11!$C15:$C661,1005,Пр11!G15:G661)</f>
        <v>0</v>
      </c>
      <c r="D101" s="65">
        <f>SUMIF(Пр11!$C15:$C661,1005,Пр11!H15:H661)</f>
        <v>0</v>
      </c>
      <c r="E101" s="65">
        <f>SUMIF(Пр11!$C15:$C661,1005,Пр11!I15:I661)</f>
        <v>0</v>
      </c>
      <c r="F101" s="65">
        <f>SUMIF(Пр11!$C15:$C661,1005,Пр11!J15:J661)</f>
        <v>0</v>
      </c>
      <c r="G101" s="65">
        <f>SUMIF(Пр11!$C15:$C661,1005,Пр11!K15:K661)</f>
        <v>0</v>
      </c>
      <c r="H101" s="65">
        <f>SUMIF(Пр11!$C15:$C661,1005,Пр11!L15:L661)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SUMIF(Пр11!$C16:$C662,1006,Пр11!G16:G662)</f>
        <v>15965520</v>
      </c>
      <c r="D102" s="65">
        <f>SUMIF(Пр11!$C16:$C662,1006,Пр11!H16:H662)</f>
        <v>0</v>
      </c>
      <c r="E102" s="65">
        <f>SUMIF(Пр11!$C16:$C662,1006,Пр11!I16:I662)</f>
        <v>15965520</v>
      </c>
      <c r="F102" s="65">
        <f>SUMIF(Пр11!$C16:$C662,1006,Пр11!J16:J662)</f>
        <v>15695520</v>
      </c>
      <c r="G102" s="65">
        <f>SUMIF(Пр11!$C16:$C662,1006,Пр11!K16:K662)</f>
        <v>0</v>
      </c>
      <c r="H102" s="65">
        <f>SUMIF(Пр11!$C16:$C662,1006,Пр11!L16:L662)</f>
        <v>15695520</v>
      </c>
    </row>
    <row r="103" spans="1:8" ht="16.5" thickBot="1" x14ac:dyDescent="0.25">
      <c r="A103" s="60">
        <v>1100</v>
      </c>
      <c r="B103" s="799" t="s">
        <v>230</v>
      </c>
      <c r="C103" s="80">
        <f>SUM(C104:C108)</f>
        <v>41138908</v>
      </c>
      <c r="D103" s="80">
        <f t="shared" ref="D103:E103" si="28">SUM(D104:D108)</f>
        <v>0</v>
      </c>
      <c r="E103" s="80">
        <f t="shared" si="28"/>
        <v>41138908</v>
      </c>
      <c r="F103" s="80">
        <f t="shared" ref="F103" si="29">SUM(F104:F108)</f>
        <v>292613735</v>
      </c>
      <c r="G103" s="80">
        <f t="shared" ref="G103" si="30">SUM(G104:G108)</f>
        <v>0</v>
      </c>
      <c r="H103" s="80">
        <f t="shared" ref="H103" si="31">SUM(H104:H108)</f>
        <v>292613735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SUMIF(Пр11!$C10:$C655,1101,Пр11!G10:G655)</f>
        <v>0</v>
      </c>
      <c r="D104" s="65">
        <f>SUMIF(Пр11!$C10:$C655,1101,Пр11!H10:H655)</f>
        <v>0</v>
      </c>
      <c r="E104" s="65">
        <f>SUMIF(Пр11!$C10:$C655,1101,Пр11!I10:I655)</f>
        <v>0</v>
      </c>
      <c r="F104" s="65">
        <f>SUMIF(Пр11!$C10:$C655,1101,Пр11!J10:J655)</f>
        <v>0</v>
      </c>
      <c r="G104" s="65">
        <f>SUMIF(Пр11!$C10:$C655,1101,Пр11!K10:K655)</f>
        <v>0</v>
      </c>
      <c r="H104" s="65">
        <f>SUMIF(Пр11!$C10:$C655,1101,Пр11!L10:L655)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SUMIF(Пр11!$C11:$C655,1102,Пр11!G11:G655)</f>
        <v>41138908</v>
      </c>
      <c r="D105" s="65">
        <f>SUMIF(Пр11!$C11:$C655,1102,Пр11!H11:H655)</f>
        <v>0</v>
      </c>
      <c r="E105" s="65">
        <f>SUMIF(Пр11!$C11:$C655,1102,Пр11!I11:I655)</f>
        <v>41138908</v>
      </c>
      <c r="F105" s="65">
        <f>SUMIF(Пр11!$C11:$C655,1102,Пр11!J11:J655)</f>
        <v>292613735</v>
      </c>
      <c r="G105" s="65">
        <f>SUMIF(Пр11!$C11:$C655,1102,Пр11!K11:K655)</f>
        <v>0</v>
      </c>
      <c r="H105" s="65">
        <f>SUMIF(Пр11!$C11:$C655,1102,Пр11!L11:L655)</f>
        <v>292613735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SUMIF(Пр11!$C12:$C659,1103,Пр11!G12:G659)</f>
        <v>0</v>
      </c>
      <c r="D106" s="65">
        <f>SUMIF(Пр11!$C12:$C659,1103,Пр11!H12:H659)</f>
        <v>0</v>
      </c>
      <c r="E106" s="65">
        <f>SUMIF(Пр11!$C12:$C659,1103,Пр11!I12:I659)</f>
        <v>0</v>
      </c>
      <c r="F106" s="65">
        <f>SUMIF(Пр11!$C12:$C659,1103,Пр11!J12:J659)</f>
        <v>0</v>
      </c>
      <c r="G106" s="65">
        <f>SUMIF(Пр11!$C12:$C659,1103,Пр11!K12:K659)</f>
        <v>0</v>
      </c>
      <c r="H106" s="65">
        <f>SUMIF(Пр11!$C12:$C659,1103,Пр11!L12:L659)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SUMIF(Пр11!$C14:$C660,1104,Пр11!G14:G660)</f>
        <v>0</v>
      </c>
      <c r="D107" s="65">
        <f>SUMIF(Пр11!$C14:$C660,1104,Пр11!H14:H660)</f>
        <v>0</v>
      </c>
      <c r="E107" s="65">
        <f>SUMIF(Пр11!$C14:$C660,1104,Пр11!I14:I660)</f>
        <v>0</v>
      </c>
      <c r="F107" s="65">
        <f>SUMIF(Пр11!$C14:$C660,1104,Пр11!J14:J660)</f>
        <v>0</v>
      </c>
      <c r="G107" s="65">
        <f>SUMIF(Пр11!$C14:$C660,1104,Пр11!K14:K660)</f>
        <v>0</v>
      </c>
      <c r="H107" s="65">
        <f>SUMIF(Пр11!$C14:$C660,1104,Пр11!L14:L660)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SUMIF(Пр11!$C15:$C661,1105,Пр11!G15:G661)</f>
        <v>0</v>
      </c>
      <c r="D108" s="65">
        <f>SUMIF(Пр11!$C15:$C661,1105,Пр11!H15:H661)</f>
        <v>0</v>
      </c>
      <c r="E108" s="65">
        <f>SUMIF(Пр11!$C15:$C661,1105,Пр11!I15:I661)</f>
        <v>0</v>
      </c>
      <c r="F108" s="65">
        <f>SUMIF(Пр11!$C15:$C661,1105,Пр11!J15:J661)</f>
        <v>0</v>
      </c>
      <c r="G108" s="65">
        <f>SUMIF(Пр11!$C15:$C661,1105,Пр11!K15:K661)</f>
        <v>0</v>
      </c>
      <c r="H108" s="65">
        <f>SUMIF(Пр11!$C15:$C661,1105,Пр11!L15:L661)</f>
        <v>0</v>
      </c>
    </row>
    <row r="109" spans="1:8" ht="22.7" customHeight="1" thickBot="1" x14ac:dyDescent="0.25">
      <c r="A109" s="60">
        <v>1200</v>
      </c>
      <c r="B109" s="799" t="s">
        <v>236</v>
      </c>
      <c r="C109" s="80">
        <f>SUM(C110:C113)</f>
        <v>2500000</v>
      </c>
      <c r="D109" s="80">
        <f t="shared" ref="D109:E109" si="32">SUM(D110:D113)</f>
        <v>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SUMIF(Пр11!$C10:$C655,1201,Пр11!G10:G655)</f>
        <v>0</v>
      </c>
      <c r="D110" s="65">
        <f>SUMIF(Пр11!$C10:$C655,1201,Пр11!H10:H655)</f>
        <v>0</v>
      </c>
      <c r="E110" s="65">
        <f>SUMIF(Пр11!$C10:$C655,1201,Пр11!I10:I655)</f>
        <v>0</v>
      </c>
      <c r="F110" s="65">
        <f>SUMIF(Пр11!$C10:$C655,1201,Пр11!J10:J655)</f>
        <v>0</v>
      </c>
      <c r="G110" s="65">
        <f>SUMIF(Пр11!$C10:$C655,1201,Пр11!K10:K655)</f>
        <v>0</v>
      </c>
      <c r="H110" s="65">
        <f>SUMIF(Пр11!$C10:$C655,1201,Пр11!L10:L655)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SUMIF(Пр11!$C11:$C655,1202,Пр11!G11:G655)</f>
        <v>2500000</v>
      </c>
      <c r="D111" s="65">
        <f>SUMIF(Пр11!$C11:$C655,1202,Пр11!H11:H655)</f>
        <v>0</v>
      </c>
      <c r="E111" s="65">
        <f>SUMIF(Пр11!$C11:$C655,1202,Пр11!I11:I655)</f>
        <v>2500000</v>
      </c>
      <c r="F111" s="65">
        <f>SUMIF(Пр11!$C11:$C655,1202,Пр11!J11:J655)</f>
        <v>0</v>
      </c>
      <c r="G111" s="65">
        <f>SUMIF(Пр11!$C11:$C655,1202,Пр11!K11:K655)</f>
        <v>0</v>
      </c>
      <c r="H111" s="65">
        <f>SUMIF(Пр11!$C11:$C655,1202,Пр11!L11:L655)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SUMIF(Пр11!$C12:$C659,1203,Пр11!G12:G659)</f>
        <v>0</v>
      </c>
      <c r="D112" s="65">
        <f>SUMIF(Пр11!$C12:$C659,1203,Пр11!H12:H659)</f>
        <v>0</v>
      </c>
      <c r="E112" s="65">
        <f>SUMIF(Пр11!$C12:$C659,1203,Пр11!I12:I659)</f>
        <v>0</v>
      </c>
      <c r="F112" s="65">
        <f>SUMIF(Пр11!$C12:$C659,1203,Пр11!J12:J659)</f>
        <v>0</v>
      </c>
      <c r="G112" s="65">
        <f>SUMIF(Пр11!$C12:$C659,1203,Пр11!K12:K659)</f>
        <v>0</v>
      </c>
      <c r="H112" s="65">
        <f>SUMIF(Пр11!$C12:$C659,1203,Пр11!L12:L659)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SUMIF(Пр11!$C14:$C660,1204,Пр11!G14:G660)</f>
        <v>0</v>
      </c>
      <c r="D113" s="65">
        <f>SUMIF(Пр11!$C14:$C660,1204,Пр11!H14:H660)</f>
        <v>0</v>
      </c>
      <c r="E113" s="65">
        <f>SUMIF(Пр11!$C14:$C660,1204,Пр11!I14:I660)</f>
        <v>0</v>
      </c>
      <c r="F113" s="65">
        <f>SUMIF(Пр11!$C14:$C660,1204,Пр11!J14:J660)</f>
        <v>0</v>
      </c>
      <c r="G113" s="65">
        <f>SUMIF(Пр11!$C14:$C660,1204,Пр11!K14:K660)</f>
        <v>0</v>
      </c>
      <c r="H113" s="65">
        <f>SUMIF(Пр11!$C14:$C660,1204,Пр11!L14:L660)</f>
        <v>0</v>
      </c>
    </row>
    <row r="114" spans="1:8" ht="32.25" thickBot="1" x14ac:dyDescent="0.25">
      <c r="A114" s="60">
        <v>1300</v>
      </c>
      <c r="B114" s="799" t="s">
        <v>241</v>
      </c>
      <c r="C114" s="80">
        <f>SUM(C115:C116)</f>
        <v>100000</v>
      </c>
      <c r="D114" s="80">
        <f t="shared" ref="D114:E114" si="34">SUM(D115:D116)</f>
        <v>0</v>
      </c>
      <c r="E114" s="80">
        <f t="shared" si="34"/>
        <v>100000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thickBot="1" x14ac:dyDescent="0.3">
      <c r="A115" s="63">
        <v>1301</v>
      </c>
      <c r="B115" s="90" t="s">
        <v>1566</v>
      </c>
      <c r="C115" s="65">
        <f>SUMIF(Пр11!$C10:$C655,1301,Пр11!G10:G655)</f>
        <v>100000</v>
      </c>
      <c r="D115" s="65">
        <f>SUMIF(Пр11!$C10:$C655,1301,Пр11!H10:H655)</f>
        <v>0</v>
      </c>
      <c r="E115" s="65">
        <f>SUMIF(Пр11!$C10:$C655,1301,Пр11!I10:I655)</f>
        <v>100000</v>
      </c>
      <c r="F115" s="65">
        <f>SUMIF(Пр11!$C10:$C655,1301,Пр11!J10:J655)</f>
        <v>0</v>
      </c>
      <c r="G115" s="65">
        <f>SUMIF(Пр11!$C10:$C655,1301,Пр11!K10:K655)</f>
        <v>0</v>
      </c>
      <c r="H115" s="65">
        <f>SUMIF(Пр11!$C10:$C655,1301,Пр11!L10:L655)</f>
        <v>0</v>
      </c>
    </row>
    <row r="116" spans="1:8" ht="32.25" hidden="1" thickBot="1" x14ac:dyDescent="0.3">
      <c r="A116" s="63">
        <v>1302</v>
      </c>
      <c r="B116" s="90" t="s">
        <v>1567</v>
      </c>
      <c r="C116" s="65">
        <f>SUMIF(Пр11!$C11:$C655,1302,Пр11!G11:G655)</f>
        <v>0</v>
      </c>
      <c r="D116" s="65">
        <f>SUMIF(Пр11!$C11:$C655,1302,Пр11!H11:H655)</f>
        <v>0</v>
      </c>
      <c r="E116" s="65">
        <f>SUMIF(Пр11!$C11:$C655,1302,Пр11!I11:I655)</f>
        <v>0</v>
      </c>
      <c r="F116" s="65">
        <f>SUMIF(Пр11!$C11:$C655,1302,Пр11!J11:J655)</f>
        <v>0</v>
      </c>
      <c r="G116" s="65">
        <f>SUMIF(Пр11!$C11:$C655,1302,Пр11!K11:K655)</f>
        <v>0</v>
      </c>
      <c r="H116" s="65">
        <f>SUMIF(Пр11!$C11:$C655,1302,Пр11!L11:L655)</f>
        <v>0</v>
      </c>
    </row>
    <row r="117" spans="1:8" ht="63.75" hidden="1" thickBot="1" x14ac:dyDescent="0.25">
      <c r="A117" s="60">
        <v>1400</v>
      </c>
      <c r="B117" s="799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SUMIF(Пр11!$C10:$C655,1401,Пр11!G10:G655)</f>
        <v>0</v>
      </c>
      <c r="D118" s="65">
        <f>SUMIF(Пр11!$C10:$C655,1401,Пр11!H10:H655)</f>
        <v>0</v>
      </c>
      <c r="E118" s="65">
        <f>SUMIF(Пр11!$C10:$C655,1401,Пр11!I10:I655)</f>
        <v>0</v>
      </c>
      <c r="F118" s="65">
        <f>SUMIF(Пр11!$C10:$C655,1401,Пр11!J10:J655)</f>
        <v>0</v>
      </c>
      <c r="G118" s="65">
        <f>SUMIF(Пр11!$C10:$C655,1401,Пр11!K10:K655)</f>
        <v>0</v>
      </c>
      <c r="H118" s="65">
        <f>SUMIF(Пр11!$C10:$C655,1401,Пр11!L10:L655)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SUMIF(Пр11!$C11:$C655,1402,Пр11!G11:G655)</f>
        <v>0</v>
      </c>
      <c r="D119" s="65">
        <f>SUMIF(Пр11!$C11:$C655,1402,Пр11!H11:H655)</f>
        <v>0</v>
      </c>
      <c r="E119" s="65">
        <f>SUMIF(Пр11!$C11:$C655,1402,Пр11!I11:I655)</f>
        <v>0</v>
      </c>
      <c r="F119" s="65">
        <f>SUMIF(Пр11!$C11:$C655,1402,Пр11!J11:J655)</f>
        <v>0</v>
      </c>
      <c r="G119" s="65">
        <f>SUMIF(Пр11!$C11:$C655,1402,Пр11!K11:K655)</f>
        <v>0</v>
      </c>
      <c r="H119" s="65">
        <f>SUMIF(Пр11!$C11:$C655,1402,Пр11!L11:L655)</f>
        <v>0</v>
      </c>
    </row>
    <row r="120" spans="1:8" ht="32.25" hidden="1" thickBot="1" x14ac:dyDescent="0.3">
      <c r="A120" s="63">
        <v>1403</v>
      </c>
      <c r="B120" s="90" t="s">
        <v>1568</v>
      </c>
      <c r="C120" s="65">
        <f>SUMIF(Пр11!$C12:$C659,1403,Пр11!G12:G659)</f>
        <v>0</v>
      </c>
      <c r="D120" s="65">
        <f>SUMIF(Пр11!$C12:$C659,1403,Пр11!H12:H659)</f>
        <v>0</v>
      </c>
      <c r="E120" s="65">
        <f>SUMIF(Пр11!$C12:$C659,1403,Пр11!I12:I659)</f>
        <v>0</v>
      </c>
      <c r="F120" s="65">
        <f>SUMIF(Пр11!$C12:$C659,1403,Пр11!J12:J659)</f>
        <v>0</v>
      </c>
      <c r="G120" s="65">
        <f>SUMIF(Пр11!$C12:$C659,1403,Пр11!K12:K659)</f>
        <v>0</v>
      </c>
      <c r="H120" s="65">
        <f>SUMIF(Пр11!$C12:$C659,1403,Пр11!L12:L659)</f>
        <v>0</v>
      </c>
    </row>
    <row r="121" spans="1:8" ht="16.5" thickBot="1" x14ac:dyDescent="0.3">
      <c r="A121" s="932" t="s">
        <v>129</v>
      </c>
      <c r="B121" s="932"/>
      <c r="C121" s="796">
        <f ca="1">C9+C23+C33+C46+C59+C65+C71+C81+C86+C96+C103+C109+C114+C117</f>
        <v>2251115068</v>
      </c>
      <c r="D121" s="796">
        <f t="shared" ref="D121:H121" ca="1" si="38">D9+D23+D33+D46+D59+D65+D71+D81+D86+D96+D103+D109+D114+D117</f>
        <v>0</v>
      </c>
      <c r="E121" s="796">
        <f ca="1">E9+E23+E33+E46+E59+E65+E71+E81+E86+E96+E103+E109+E114+E117</f>
        <v>2251115068</v>
      </c>
      <c r="F121" s="796">
        <f t="shared" ca="1" si="38"/>
        <v>2220028024</v>
      </c>
      <c r="G121" s="796">
        <f t="shared" ca="1" si="38"/>
        <v>0</v>
      </c>
      <c r="H121" s="796">
        <f t="shared" ca="1" si="38"/>
        <v>2220028024</v>
      </c>
    </row>
    <row r="122" spans="1:8" ht="16.5" thickBot="1" x14ac:dyDescent="0.3">
      <c r="A122" s="932" t="s">
        <v>246</v>
      </c>
      <c r="B122" s="932"/>
      <c r="C122" s="800">
        <v>13500000</v>
      </c>
      <c r="D122" s="800">
        <f>Пр11!H660</f>
        <v>0</v>
      </c>
      <c r="E122" s="800">
        <v>13500000</v>
      </c>
      <c r="F122" s="800">
        <v>17500000</v>
      </c>
      <c r="G122" s="800">
        <f>Пр11!K660</f>
        <v>0</v>
      </c>
      <c r="H122" s="800">
        <v>17500000</v>
      </c>
    </row>
    <row r="123" spans="1:8" ht="16.5" thickBot="1" x14ac:dyDescent="0.3">
      <c r="A123" s="932" t="s">
        <v>245</v>
      </c>
      <c r="B123" s="932"/>
      <c r="C123" s="796">
        <f ca="1">Пр2!J126-C121-C122</f>
        <v>0</v>
      </c>
      <c r="D123" s="796">
        <f ca="1">Пр2!K126-D121-D122</f>
        <v>0</v>
      </c>
      <c r="E123" s="796">
        <f ca="1">Пр2!L126-Пр4!E121-Пр4!E122</f>
        <v>0</v>
      </c>
      <c r="F123" s="796">
        <f ca="1">Пр2!M126-F121-F122</f>
        <v>0</v>
      </c>
      <c r="G123" s="796">
        <f ca="1">Пр2!N126-G121-G122</f>
        <v>0</v>
      </c>
      <c r="H123" s="796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8" sqref="B8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920" t="s">
        <v>1768</v>
      </c>
      <c r="B1" s="920"/>
      <c r="C1" s="920"/>
      <c r="D1" s="920"/>
      <c r="E1" s="920"/>
    </row>
    <row r="2" spans="1:5" ht="15.75" x14ac:dyDescent="0.25">
      <c r="A2" s="920" t="s">
        <v>1</v>
      </c>
      <c r="B2" s="920"/>
      <c r="C2" s="920"/>
      <c r="D2" s="920"/>
      <c r="E2" s="920"/>
    </row>
    <row r="3" spans="1:5" ht="15.75" x14ac:dyDescent="0.25">
      <c r="A3" s="920" t="s">
        <v>2</v>
      </c>
      <c r="B3" s="920"/>
      <c r="C3" s="920"/>
      <c r="D3" s="920"/>
      <c r="E3" s="920"/>
    </row>
    <row r="4" spans="1:5" ht="15.75" x14ac:dyDescent="0.25">
      <c r="A4" s="920" t="s">
        <v>1790</v>
      </c>
      <c r="B4" s="920"/>
      <c r="C4" s="920"/>
      <c r="D4" s="920"/>
      <c r="E4" s="920"/>
    </row>
    <row r="6" spans="1:5" ht="15.75" x14ac:dyDescent="0.25">
      <c r="A6" s="73"/>
      <c r="B6" s="1"/>
    </row>
    <row r="7" spans="1:5" ht="33" customHeight="1" x14ac:dyDescent="0.2">
      <c r="A7" s="921" t="s">
        <v>1622</v>
      </c>
      <c r="B7" s="921"/>
      <c r="C7" s="921"/>
      <c r="D7" s="921"/>
      <c r="E7" s="921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247</v>
      </c>
      <c r="C9" s="58" t="s">
        <v>140</v>
      </c>
      <c r="D9" s="58" t="s">
        <v>140</v>
      </c>
      <c r="E9" s="74" t="s">
        <v>140</v>
      </c>
    </row>
    <row r="10" spans="1:5" ht="32.25" hidden="1" thickBot="1" x14ac:dyDescent="0.25">
      <c r="A10" s="75" t="s">
        <v>248</v>
      </c>
      <c r="B10" s="61" t="s">
        <v>249</v>
      </c>
      <c r="C10" s="76">
        <f>C11-C13</f>
        <v>0</v>
      </c>
      <c r="D10" s="76">
        <f>D11-D13</f>
        <v>0</v>
      </c>
      <c r="E10" s="76">
        <f>SUM(C10:D10)</f>
        <v>0</v>
      </c>
    </row>
    <row r="11" spans="1:5" ht="32.25" hidden="1" thickBot="1" x14ac:dyDescent="0.25">
      <c r="A11" s="77" t="s">
        <v>250</v>
      </c>
      <c r="B11" s="64" t="s">
        <v>251</v>
      </c>
      <c r="C11" s="78">
        <f>C12</f>
        <v>7000000</v>
      </c>
      <c r="D11" s="78">
        <f t="shared" ref="D11" si="0">D12</f>
        <v>-7000000</v>
      </c>
      <c r="E11" s="78">
        <f>SUM(C11:D11)</f>
        <v>0</v>
      </c>
    </row>
    <row r="12" spans="1:5" ht="48" hidden="1" thickBot="1" x14ac:dyDescent="0.25">
      <c r="A12" s="77" t="s">
        <v>252</v>
      </c>
      <c r="B12" s="64" t="s">
        <v>253</v>
      </c>
      <c r="C12" s="78">
        <v>7000000</v>
      </c>
      <c r="D12" s="78">
        <v>-7000000</v>
      </c>
      <c r="E12" s="78">
        <f t="shared" ref="E12:E26" si="1">SUM(C12:D12)</f>
        <v>0</v>
      </c>
    </row>
    <row r="13" spans="1:5" ht="48" hidden="1" thickBot="1" x14ac:dyDescent="0.25">
      <c r="A13" s="77" t="s">
        <v>254</v>
      </c>
      <c r="B13" s="64" t="s">
        <v>255</v>
      </c>
      <c r="C13" s="78">
        <f>C14</f>
        <v>7000000</v>
      </c>
      <c r="D13" s="78">
        <f t="shared" ref="D13" si="2">D14</f>
        <v>-7000000</v>
      </c>
      <c r="E13" s="78">
        <f t="shared" si="1"/>
        <v>0</v>
      </c>
    </row>
    <row r="14" spans="1:5" ht="48" hidden="1" thickBot="1" x14ac:dyDescent="0.25">
      <c r="A14" s="77" t="s">
        <v>256</v>
      </c>
      <c r="B14" s="64" t="s">
        <v>257</v>
      </c>
      <c r="C14" s="78">
        <v>7000000</v>
      </c>
      <c r="D14" s="78">
        <v>-7000000</v>
      </c>
      <c r="E14" s="78">
        <f t="shared" si="1"/>
        <v>0</v>
      </c>
    </row>
    <row r="15" spans="1:5" ht="32.25" thickBot="1" x14ac:dyDescent="0.25">
      <c r="A15" s="75" t="s">
        <v>258</v>
      </c>
      <c r="B15" s="61" t="s">
        <v>259</v>
      </c>
      <c r="C15" s="76">
        <f>-C18+C16</f>
        <v>0</v>
      </c>
      <c r="D15" s="76">
        <f t="shared" ref="D15" si="3">D18+D16</f>
        <v>6150000</v>
      </c>
      <c r="E15" s="76">
        <f t="shared" si="1"/>
        <v>6150000</v>
      </c>
    </row>
    <row r="16" spans="1:5" ht="63.75" thickBot="1" x14ac:dyDescent="0.25">
      <c r="A16" s="79" t="s">
        <v>260</v>
      </c>
      <c r="B16" s="64" t="s">
        <v>261</v>
      </c>
      <c r="C16" s="78">
        <f>C17</f>
        <v>0</v>
      </c>
      <c r="D16" s="78">
        <f t="shared" ref="D16" si="4">D17</f>
        <v>6150000</v>
      </c>
      <c r="E16" s="78">
        <f t="shared" si="1"/>
        <v>6150000</v>
      </c>
    </row>
    <row r="17" spans="1:5" ht="63.75" thickBot="1" x14ac:dyDescent="0.25">
      <c r="A17" s="79" t="s">
        <v>262</v>
      </c>
      <c r="B17" s="64" t="s">
        <v>263</v>
      </c>
      <c r="C17" s="78">
        <v>0</v>
      </c>
      <c r="D17" s="78">
        <v>6150000</v>
      </c>
      <c r="E17" s="78">
        <f t="shared" si="1"/>
        <v>6150000</v>
      </c>
    </row>
    <row r="18" spans="1:5" ht="63.75" hidden="1" thickBot="1" x14ac:dyDescent="0.25">
      <c r="A18" s="77" t="s">
        <v>264</v>
      </c>
      <c r="B18" s="64" t="s">
        <v>265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266</v>
      </c>
      <c r="B19" s="64" t="s">
        <v>267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268</v>
      </c>
      <c r="B20" s="61" t="s">
        <v>269</v>
      </c>
      <c r="C20" s="76">
        <f>C22-C21</f>
        <v>27150000.029999733</v>
      </c>
      <c r="D20" s="76">
        <f>D22-D21</f>
        <v>-6149999.9999999925</v>
      </c>
      <c r="E20" s="76">
        <f t="shared" si="1"/>
        <v>21000000.02999974</v>
      </c>
    </row>
    <row r="21" spans="1:5" ht="32.25" thickBot="1" x14ac:dyDescent="0.25">
      <c r="A21" s="77" t="s">
        <v>270</v>
      </c>
      <c r="B21" s="64" t="s">
        <v>271</v>
      </c>
      <c r="C21" s="78">
        <f>(Пр1!J148+C12+C25)</f>
        <v>2699369759</v>
      </c>
      <c r="D21" s="78">
        <f>(Пр1!K148+D12+D25+D16)</f>
        <v>49122153</v>
      </c>
      <c r="E21" s="78">
        <f>SUM(C21:D21)</f>
        <v>2748491912</v>
      </c>
    </row>
    <row r="22" spans="1:5" ht="32.25" thickBot="1" x14ac:dyDescent="0.25">
      <c r="A22" s="77" t="s">
        <v>272</v>
      </c>
      <c r="B22" s="64" t="s">
        <v>273</v>
      </c>
      <c r="C22" s="78">
        <f>Пр_3!C121+C19+C14</f>
        <v>2726519759.0299997</v>
      </c>
      <c r="D22" s="78">
        <f>Пр_3!D121+D14</f>
        <v>42972153.000000007</v>
      </c>
      <c r="E22" s="78">
        <f t="shared" si="1"/>
        <v>2769491912.0299997</v>
      </c>
    </row>
    <row r="23" spans="1:5" ht="48" hidden="1" thickBot="1" x14ac:dyDescent="0.25">
      <c r="A23" s="75" t="s">
        <v>274</v>
      </c>
      <c r="B23" s="61" t="s">
        <v>275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276</v>
      </c>
      <c r="B24" s="64" t="s">
        <v>277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278</v>
      </c>
      <c r="B25" s="64" t="s">
        <v>279</v>
      </c>
      <c r="C25" s="78"/>
      <c r="D25" s="78"/>
      <c r="E25" s="78">
        <f t="shared" si="1"/>
        <v>0</v>
      </c>
    </row>
    <row r="26" spans="1:5" ht="16.5" thickBot="1" x14ac:dyDescent="0.25">
      <c r="A26" s="935" t="s">
        <v>280</v>
      </c>
      <c r="B26" s="935"/>
      <c r="C26" s="80">
        <f>C20+C10+C23+C15</f>
        <v>27150000.029999733</v>
      </c>
      <c r="D26" s="80">
        <f t="shared" ref="D26" si="7">D20+D10+D23+D15</f>
        <v>7.4505805969238281E-9</v>
      </c>
      <c r="E26" s="76">
        <f t="shared" si="1"/>
        <v>27150000.02999974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6" sqref="A6:H7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920" t="s">
        <v>1789</v>
      </c>
      <c r="B1" s="920"/>
      <c r="C1" s="920"/>
      <c r="D1" s="920"/>
      <c r="E1" s="920"/>
      <c r="F1" s="920"/>
      <c r="G1" s="920"/>
      <c r="H1" s="920"/>
    </row>
    <row r="2" spans="1:8" ht="15.75" x14ac:dyDescent="0.25">
      <c r="A2" s="920" t="s">
        <v>1</v>
      </c>
      <c r="B2" s="920"/>
      <c r="C2" s="920"/>
      <c r="D2" s="920"/>
      <c r="E2" s="920"/>
      <c r="F2" s="920"/>
      <c r="G2" s="920"/>
      <c r="H2" s="920"/>
    </row>
    <row r="3" spans="1:8" ht="15.75" x14ac:dyDescent="0.25">
      <c r="A3" s="920" t="s">
        <v>2</v>
      </c>
      <c r="B3" s="920"/>
      <c r="C3" s="920"/>
      <c r="D3" s="920"/>
      <c r="E3" s="920"/>
      <c r="F3" s="920"/>
      <c r="G3" s="920"/>
      <c r="H3" s="920"/>
    </row>
    <row r="4" spans="1:8" ht="15" customHeight="1" x14ac:dyDescent="0.25">
      <c r="A4" s="920" t="s">
        <v>1790</v>
      </c>
      <c r="B4" s="920"/>
      <c r="C4" s="920"/>
      <c r="D4" s="920"/>
      <c r="E4" s="920"/>
      <c r="F4" s="920"/>
      <c r="G4" s="920"/>
      <c r="H4" s="920"/>
    </row>
    <row r="5" spans="1:8" hidden="1" x14ac:dyDescent="0.2">
      <c r="C5" s="82"/>
      <c r="D5" s="49"/>
    </row>
    <row r="6" spans="1:8" ht="15" customHeight="1" x14ac:dyDescent="0.2">
      <c r="A6" s="937" t="s">
        <v>1623</v>
      </c>
      <c r="B6" s="937"/>
      <c r="C6" s="937"/>
      <c r="D6" s="937"/>
      <c r="E6" s="937"/>
      <c r="F6" s="937"/>
      <c r="G6" s="937"/>
      <c r="H6" s="937"/>
    </row>
    <row r="7" spans="1:8" ht="46.5" customHeight="1" x14ac:dyDescent="0.2">
      <c r="A7" s="937"/>
      <c r="B7" s="937"/>
      <c r="C7" s="937"/>
      <c r="D7" s="937"/>
      <c r="E7" s="937"/>
      <c r="F7" s="937"/>
      <c r="G7" s="937"/>
      <c r="H7" s="937"/>
    </row>
    <row r="8" spans="1:8" ht="19.5" thickBot="1" x14ac:dyDescent="0.25">
      <c r="A8" s="8"/>
      <c r="B8" s="1"/>
      <c r="C8" s="82"/>
      <c r="D8" s="938"/>
      <c r="E8" s="938"/>
      <c r="F8" s="938"/>
      <c r="G8" s="938"/>
      <c r="H8" s="938"/>
    </row>
    <row r="9" spans="1:8" ht="32.25" thickBot="1" x14ac:dyDescent="0.25">
      <c r="A9" s="58" t="s">
        <v>138</v>
      </c>
      <c r="B9" s="58" t="s">
        <v>247</v>
      </c>
      <c r="C9" s="58" t="s">
        <v>1541</v>
      </c>
      <c r="D9" s="58" t="s">
        <v>658</v>
      </c>
      <c r="E9" s="58" t="s">
        <v>1541</v>
      </c>
      <c r="F9" s="58" t="s">
        <v>1618</v>
      </c>
      <c r="G9" s="58" t="s">
        <v>658</v>
      </c>
      <c r="H9" s="58" t="s">
        <v>1618</v>
      </c>
    </row>
    <row r="10" spans="1:8" ht="32.25" thickBot="1" x14ac:dyDescent="0.25">
      <c r="A10" s="83" t="s">
        <v>282</v>
      </c>
      <c r="B10" s="84" t="s">
        <v>249</v>
      </c>
      <c r="C10" s="76">
        <f>C11-C13</f>
        <v>0</v>
      </c>
      <c r="D10" s="76">
        <f>D11-D13</f>
        <v>6150000</v>
      </c>
      <c r="E10" s="76">
        <f t="shared" ref="E10:H10" si="0">E11-E13</f>
        <v>6150000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thickBot="1" x14ac:dyDescent="0.25">
      <c r="A11" s="83" t="s">
        <v>250</v>
      </c>
      <c r="B11" s="85" t="s">
        <v>251</v>
      </c>
      <c r="C11" s="78">
        <f>C12</f>
        <v>7000000</v>
      </c>
      <c r="D11" s="78">
        <f t="shared" ref="D11" si="1">D12</f>
        <v>-850000</v>
      </c>
      <c r="E11" s="78">
        <f>SUM(C11:D11)</f>
        <v>6150000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thickBot="1" x14ac:dyDescent="0.25">
      <c r="A12" s="83" t="s">
        <v>252</v>
      </c>
      <c r="B12" s="85" t="s">
        <v>283</v>
      </c>
      <c r="C12" s="78">
        <v>7000000</v>
      </c>
      <c r="D12" s="78">
        <v>-850000</v>
      </c>
      <c r="E12" s="78">
        <f t="shared" ref="E12:E24" si="4">SUM(C12:D12)</f>
        <v>6150000</v>
      </c>
      <c r="F12" s="86">
        <v>0</v>
      </c>
      <c r="G12" s="86"/>
      <c r="H12" s="78">
        <f t="shared" si="3"/>
        <v>0</v>
      </c>
    </row>
    <row r="13" spans="1:8" ht="48" hidden="1" thickBot="1" x14ac:dyDescent="0.25">
      <c r="A13" s="83" t="s">
        <v>254</v>
      </c>
      <c r="B13" s="85" t="s">
        <v>255</v>
      </c>
      <c r="C13" s="78">
        <f>C14</f>
        <v>7000000</v>
      </c>
      <c r="D13" s="78">
        <f t="shared" ref="D13" si="5">D14</f>
        <v>-7000000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3" t="s">
        <v>256</v>
      </c>
      <c r="B14" s="85" t="s">
        <v>284</v>
      </c>
      <c r="C14" s="78">
        <v>7000000</v>
      </c>
      <c r="D14" s="78">
        <v>-7000000</v>
      </c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8" thickBot="1" x14ac:dyDescent="0.25">
      <c r="A15" s="83" t="s">
        <v>285</v>
      </c>
      <c r="B15" s="84" t="s">
        <v>259</v>
      </c>
      <c r="C15" s="76">
        <f>C16</f>
        <v>0</v>
      </c>
      <c r="D15" s="76">
        <f>-D16</f>
        <v>-6150000</v>
      </c>
      <c r="E15" s="76">
        <f t="shared" si="4"/>
        <v>-6150000</v>
      </c>
      <c r="F15" s="76">
        <f>F16</f>
        <v>0</v>
      </c>
      <c r="G15" s="76">
        <f t="shared" ref="G15:G16" si="7">G16</f>
        <v>0</v>
      </c>
      <c r="H15" s="76">
        <f t="shared" si="3"/>
        <v>0</v>
      </c>
    </row>
    <row r="16" spans="1:8" ht="79.5" thickBot="1" x14ac:dyDescent="0.25">
      <c r="A16" s="83" t="s">
        <v>264</v>
      </c>
      <c r="B16" s="85" t="s">
        <v>265</v>
      </c>
      <c r="C16" s="78"/>
      <c r="D16" s="78">
        <f t="shared" ref="D16" si="8">D17</f>
        <v>6150000</v>
      </c>
      <c r="E16" s="78">
        <f t="shared" si="4"/>
        <v>6150000</v>
      </c>
      <c r="F16" s="86">
        <f>F17</f>
        <v>0</v>
      </c>
      <c r="G16" s="86">
        <f t="shared" si="7"/>
        <v>0</v>
      </c>
      <c r="H16" s="78">
        <f t="shared" si="3"/>
        <v>0</v>
      </c>
    </row>
    <row r="17" spans="1:8" ht="79.5" thickBot="1" x14ac:dyDescent="0.25">
      <c r="A17" s="83" t="s">
        <v>266</v>
      </c>
      <c r="B17" s="85" t="s">
        <v>286</v>
      </c>
      <c r="C17" s="78"/>
      <c r="D17" s="78">
        <v>6150000</v>
      </c>
      <c r="E17" s="78">
        <f t="shared" si="4"/>
        <v>6150000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287</v>
      </c>
      <c r="B18" s="84" t="s">
        <v>269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2.75" customHeight="1" thickBot="1" x14ac:dyDescent="0.25">
      <c r="A19" s="83" t="s">
        <v>270</v>
      </c>
      <c r="B19" s="85" t="s">
        <v>288</v>
      </c>
      <c r="C19" s="78">
        <f>Пр2!J126+C12</f>
        <v>2271615068</v>
      </c>
      <c r="D19" s="78">
        <f>Пр2!K126+D12+D23</f>
        <v>-850000</v>
      </c>
      <c r="E19" s="78">
        <f t="shared" si="4"/>
        <v>2270765068</v>
      </c>
      <c r="F19" s="78">
        <f>Пр2!M126+F12</f>
        <v>2237528024</v>
      </c>
      <c r="G19" s="78">
        <f>Пр2!N126+G11</f>
        <v>0</v>
      </c>
      <c r="H19" s="78">
        <f t="shared" si="3"/>
        <v>2237528024</v>
      </c>
    </row>
    <row r="20" spans="1:8" ht="48" thickBot="1" x14ac:dyDescent="0.25">
      <c r="A20" s="83" t="s">
        <v>272</v>
      </c>
      <c r="B20" s="72" t="s">
        <v>289</v>
      </c>
      <c r="C20" s="78">
        <f ca="1">Пр4!C121+Пр4!C122+C14</f>
        <v>2271615068</v>
      </c>
      <c r="D20" s="78">
        <f ca="1">Пр4!D121+Пр4!D122+D14+D17</f>
        <v>-850000</v>
      </c>
      <c r="E20" s="78">
        <f t="shared" ca="1" si="4"/>
        <v>2270765068</v>
      </c>
      <c r="F20" s="78">
        <f ca="1">Пр4!F121+Пр4!F122</f>
        <v>2237528024</v>
      </c>
      <c r="G20" s="78">
        <f ca="1">Пр4!G121+Пр4!G122+G14+G17</f>
        <v>0</v>
      </c>
      <c r="H20" s="78">
        <f t="shared" ca="1" si="3"/>
        <v>2237528024</v>
      </c>
    </row>
    <row r="21" spans="1:8" ht="48" hidden="1" thickBot="1" x14ac:dyDescent="0.25">
      <c r="A21" s="83" t="s">
        <v>290</v>
      </c>
      <c r="B21" s="84" t="s">
        <v>275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276</v>
      </c>
      <c r="B22" s="85" t="s">
        <v>277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278</v>
      </c>
      <c r="B23" s="85" t="s">
        <v>279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36" t="s">
        <v>280</v>
      </c>
      <c r="B24" s="936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zoomScaleSheetLayoutView="100" workbookViewId="0">
      <selection activeCell="A5" sqref="A5:E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920" t="s">
        <v>1612</v>
      </c>
      <c r="B1" s="920"/>
      <c r="C1" s="920"/>
      <c r="D1" s="958"/>
      <c r="E1" s="958"/>
    </row>
    <row r="2" spans="1:5" ht="16.5" customHeight="1" x14ac:dyDescent="0.25">
      <c r="A2" s="920" t="s">
        <v>1</v>
      </c>
      <c r="B2" s="920"/>
      <c r="C2" s="920"/>
      <c r="D2" s="958"/>
      <c r="E2" s="958"/>
    </row>
    <row r="3" spans="1:5" ht="16.5" customHeight="1" x14ac:dyDescent="0.25">
      <c r="A3" s="920" t="s">
        <v>2</v>
      </c>
      <c r="B3" s="920"/>
      <c r="C3" s="920"/>
      <c r="D3" s="958"/>
      <c r="E3" s="958"/>
    </row>
    <row r="4" spans="1:5" ht="16.5" customHeight="1" x14ac:dyDescent="0.25">
      <c r="A4" s="920" t="s">
        <v>1790</v>
      </c>
      <c r="B4" s="920"/>
      <c r="C4" s="920"/>
      <c r="D4" s="920"/>
      <c r="E4" s="920"/>
    </row>
    <row r="5" spans="1:5" ht="12.75" customHeight="1" x14ac:dyDescent="0.25">
      <c r="A5" s="920"/>
      <c r="B5" s="958"/>
      <c r="C5" s="958"/>
      <c r="D5" s="958"/>
      <c r="E5" s="958"/>
    </row>
    <row r="6" spans="1:5" ht="15.75" hidden="1" x14ac:dyDescent="0.25">
      <c r="A6" s="959"/>
      <c r="B6" s="960"/>
      <c r="C6" s="960"/>
      <c r="D6" s="960"/>
      <c r="E6" s="960"/>
    </row>
    <row r="7" spans="1:5" ht="35.25" customHeight="1" x14ac:dyDescent="0.2">
      <c r="A7" s="961" t="s">
        <v>1624</v>
      </c>
      <c r="B7" s="962"/>
      <c r="C7" s="962"/>
      <c r="D7" s="962"/>
      <c r="E7" s="962"/>
    </row>
    <row r="8" spans="1:5" ht="17.25" customHeight="1" x14ac:dyDescent="0.25">
      <c r="A8" s="5"/>
      <c r="B8" s="1"/>
      <c r="C8" s="1"/>
      <c r="D8" s="1"/>
      <c r="E8" s="501" t="s">
        <v>1408</v>
      </c>
    </row>
    <row r="9" spans="1:5" ht="15.75" hidden="1" x14ac:dyDescent="0.25">
      <c r="A9" s="963"/>
      <c r="B9" s="960"/>
      <c r="C9" s="960"/>
      <c r="D9" s="960"/>
      <c r="E9" s="960"/>
    </row>
    <row r="10" spans="1:5" ht="33.75" customHeight="1" x14ac:dyDescent="0.2">
      <c r="A10" s="964" t="s">
        <v>1625</v>
      </c>
      <c r="B10" s="965"/>
      <c r="C10" s="965"/>
      <c r="D10" s="965"/>
      <c r="E10" s="965"/>
    </row>
    <row r="11" spans="1:5" ht="0.95" hidden="1" customHeight="1" x14ac:dyDescent="0.25">
      <c r="A11" s="966"/>
      <c r="B11" s="967"/>
      <c r="C11" s="967"/>
      <c r="D11" s="967"/>
      <c r="E11" s="967"/>
    </row>
    <row r="12" spans="1:5" ht="33" customHeight="1" x14ac:dyDescent="0.2">
      <c r="A12" s="944" t="s">
        <v>1403</v>
      </c>
      <c r="B12" s="944"/>
      <c r="C12" s="496" t="s">
        <v>1404</v>
      </c>
      <c r="D12" s="496" t="s">
        <v>1542</v>
      </c>
      <c r="E12" s="496" t="s">
        <v>1626</v>
      </c>
    </row>
    <row r="13" spans="1:5" ht="20.25" customHeight="1" x14ac:dyDescent="0.25">
      <c r="A13" s="968" t="s">
        <v>291</v>
      </c>
      <c r="B13" s="968"/>
      <c r="C13" s="497"/>
      <c r="D13" s="497"/>
      <c r="E13" s="497"/>
    </row>
    <row r="14" spans="1:5" ht="20.25" customHeight="1" x14ac:dyDescent="0.25">
      <c r="A14" s="951" t="s">
        <v>292</v>
      </c>
      <c r="B14" s="951"/>
      <c r="C14" s="497">
        <v>0</v>
      </c>
      <c r="D14" s="497">
        <f>Пр6!E11</f>
        <v>6150000</v>
      </c>
      <c r="E14" s="497">
        <v>0</v>
      </c>
    </row>
    <row r="15" spans="1:5" ht="18.95" customHeight="1" x14ac:dyDescent="0.25">
      <c r="A15" s="951" t="s">
        <v>293</v>
      </c>
      <c r="B15" s="951"/>
      <c r="C15" s="497">
        <v>0</v>
      </c>
      <c r="D15" s="497">
        <f>Пр6!E14</f>
        <v>0</v>
      </c>
      <c r="E15" s="497">
        <v>0</v>
      </c>
    </row>
    <row r="16" spans="1:5" ht="15.75" x14ac:dyDescent="0.25">
      <c r="A16" s="968" t="s">
        <v>294</v>
      </c>
      <c r="B16" s="968"/>
      <c r="C16" s="497"/>
      <c r="D16" s="497"/>
      <c r="E16" s="497"/>
    </row>
    <row r="17" spans="1:5" ht="18" customHeight="1" x14ac:dyDescent="0.25">
      <c r="A17" s="951" t="s">
        <v>1405</v>
      </c>
      <c r="B17" s="951"/>
      <c r="C17" s="497">
        <v>6150000</v>
      </c>
      <c r="D17" s="497"/>
      <c r="E17" s="497"/>
    </row>
    <row r="18" spans="1:5" ht="15.75" x14ac:dyDescent="0.25">
      <c r="A18" s="952" t="s">
        <v>293</v>
      </c>
      <c r="B18" s="952"/>
      <c r="C18" s="497">
        <f>Пр5!C18</f>
        <v>0</v>
      </c>
      <c r="D18" s="497">
        <v>6150000</v>
      </c>
      <c r="E18" s="497"/>
    </row>
    <row r="19" spans="1:5" ht="15.75" x14ac:dyDescent="0.25">
      <c r="A19" s="953" t="s">
        <v>295</v>
      </c>
      <c r="B19" s="953"/>
      <c r="C19" s="497"/>
      <c r="D19" s="497"/>
      <c r="E19" s="497"/>
    </row>
    <row r="20" spans="1:5" ht="15.75" x14ac:dyDescent="0.25">
      <c r="A20" s="954" t="s">
        <v>296</v>
      </c>
      <c r="B20" s="954"/>
      <c r="C20" s="497">
        <f t="shared" ref="C20:E21" si="0">C14+C17</f>
        <v>6150000</v>
      </c>
      <c r="D20" s="497">
        <f t="shared" si="0"/>
        <v>6150000</v>
      </c>
      <c r="E20" s="497">
        <f t="shared" si="0"/>
        <v>0</v>
      </c>
    </row>
    <row r="21" spans="1:5" ht="15.75" x14ac:dyDescent="0.25">
      <c r="A21" s="954" t="s">
        <v>297</v>
      </c>
      <c r="B21" s="954"/>
      <c r="C21" s="497">
        <f t="shared" si="0"/>
        <v>0</v>
      </c>
      <c r="D21" s="497">
        <f t="shared" si="0"/>
        <v>6150000</v>
      </c>
      <c r="E21" s="497">
        <f t="shared" si="0"/>
        <v>0</v>
      </c>
    </row>
    <row r="22" spans="1:5" s="272" customFormat="1" ht="63" customHeight="1" x14ac:dyDescent="0.2">
      <c r="A22" s="955" t="s">
        <v>1575</v>
      </c>
      <c r="B22" s="956"/>
      <c r="C22" s="956"/>
      <c r="D22" s="956"/>
      <c r="E22" s="957"/>
    </row>
    <row r="23" spans="1:5" ht="33" customHeight="1" x14ac:dyDescent="0.2">
      <c r="A23" s="946" t="s">
        <v>1406</v>
      </c>
      <c r="B23" s="947"/>
      <c r="C23" s="947"/>
      <c r="D23" s="947"/>
      <c r="E23" s="948"/>
    </row>
    <row r="24" spans="1:5" s="272" customFormat="1" ht="33" customHeight="1" x14ac:dyDescent="0.2">
      <c r="A24" s="500" t="s">
        <v>1404</v>
      </c>
      <c r="B24" s="946" t="s">
        <v>1542</v>
      </c>
      <c r="C24" s="948"/>
      <c r="D24" s="946" t="s">
        <v>1626</v>
      </c>
      <c r="E24" s="948"/>
    </row>
    <row r="25" spans="1:5" s="272" customFormat="1" ht="33" customHeight="1" x14ac:dyDescent="0.2">
      <c r="A25" s="767">
        <v>0</v>
      </c>
      <c r="B25" s="949">
        <f>Пр4!E115</f>
        <v>100000</v>
      </c>
      <c r="C25" s="950"/>
      <c r="D25" s="949">
        <v>0</v>
      </c>
      <c r="E25" s="950"/>
    </row>
    <row r="26" spans="1:5" ht="32.25" customHeight="1" x14ac:dyDescent="0.2">
      <c r="A26" s="939" t="s">
        <v>1407</v>
      </c>
      <c r="B26" s="940"/>
      <c r="C26" s="940"/>
      <c r="D26" s="940"/>
      <c r="E26" s="941"/>
    </row>
    <row r="27" spans="1:5" ht="15.75" x14ac:dyDescent="0.25">
      <c r="A27" s="944" t="s">
        <v>1403</v>
      </c>
      <c r="B27" s="945" t="s">
        <v>1598</v>
      </c>
      <c r="C27" s="945"/>
      <c r="D27" s="945"/>
      <c r="E27" s="945"/>
    </row>
    <row r="28" spans="1:5" ht="47.25" x14ac:dyDescent="0.25">
      <c r="A28" s="944"/>
      <c r="B28" s="502" t="s">
        <v>1780</v>
      </c>
      <c r="C28" s="502" t="s">
        <v>1599</v>
      </c>
      <c r="D28" s="502" t="s">
        <v>1600</v>
      </c>
      <c r="E28" s="502" t="s">
        <v>1627</v>
      </c>
    </row>
    <row r="29" spans="1:5" ht="31.7" customHeight="1" x14ac:dyDescent="0.25">
      <c r="A29" s="498" t="s">
        <v>298</v>
      </c>
      <c r="B29" s="495">
        <v>0</v>
      </c>
      <c r="C29" s="495">
        <v>0</v>
      </c>
      <c r="D29" s="157">
        <v>0</v>
      </c>
      <c r="E29" s="495">
        <v>0</v>
      </c>
    </row>
    <row r="30" spans="1:5" ht="15.75" x14ac:dyDescent="0.25">
      <c r="A30" s="498" t="s">
        <v>299</v>
      </c>
      <c r="B30" s="495">
        <v>0</v>
      </c>
      <c r="C30" s="495">
        <v>6150000</v>
      </c>
      <c r="D30" s="495">
        <v>0</v>
      </c>
      <c r="E30" s="495">
        <v>0</v>
      </c>
    </row>
    <row r="31" spans="1:5" ht="15.75" customHeight="1" x14ac:dyDescent="0.25">
      <c r="A31" s="498" t="s">
        <v>300</v>
      </c>
      <c r="B31" s="495">
        <f>Пр.8!C11</f>
        <v>12500000</v>
      </c>
      <c r="C31" s="495">
        <f>Пр.8!D11</f>
        <v>4500000</v>
      </c>
      <c r="D31" s="495">
        <f>Пр.8!E11</f>
        <v>0</v>
      </c>
      <c r="E31" s="495">
        <f>Пр.8!F11</f>
        <v>0</v>
      </c>
    </row>
    <row r="32" spans="1:5" ht="30.75" customHeight="1" x14ac:dyDescent="0.25">
      <c r="A32" s="498" t="s">
        <v>301</v>
      </c>
      <c r="B32" s="157">
        <f>B29+B30+B31</f>
        <v>12500000</v>
      </c>
      <c r="C32" s="157">
        <f t="shared" ref="C32:E32" si="1">C29+C30+C31</f>
        <v>10650000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42"/>
      <c r="B33" s="943"/>
      <c r="C33" s="943"/>
      <c r="D33" s="943"/>
      <c r="E33" s="943"/>
    </row>
    <row r="34" spans="1:5" x14ac:dyDescent="0.2">
      <c r="A34" s="88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2" customWidth="1"/>
    <col min="6" max="6" width="16.7109375" customWidth="1"/>
    <col min="7" max="7" width="108" customWidth="1"/>
  </cols>
  <sheetData>
    <row r="1" spans="1:6" ht="15.75" x14ac:dyDescent="0.25">
      <c r="A1" s="931" t="s">
        <v>1652</v>
      </c>
      <c r="B1" s="931"/>
      <c r="C1" s="931"/>
      <c r="D1" s="931"/>
      <c r="E1" s="931"/>
      <c r="F1" s="931"/>
    </row>
    <row r="2" spans="1:6" ht="15.75" x14ac:dyDescent="0.25">
      <c r="A2" s="931" t="s">
        <v>1</v>
      </c>
      <c r="B2" s="931"/>
      <c r="C2" s="931"/>
      <c r="D2" s="931"/>
      <c r="E2" s="931"/>
      <c r="F2" s="931"/>
    </row>
    <row r="3" spans="1:6" ht="15.75" x14ac:dyDescent="0.25">
      <c r="A3" s="931" t="s">
        <v>2</v>
      </c>
      <c r="B3" s="931"/>
      <c r="C3" s="931"/>
      <c r="D3" s="931"/>
      <c r="E3" s="931"/>
      <c r="F3" s="931"/>
    </row>
    <row r="4" spans="1:6" ht="15.75" x14ac:dyDescent="0.25">
      <c r="A4" s="931" t="s">
        <v>1596</v>
      </c>
      <c r="B4" s="931"/>
      <c r="C4" s="931"/>
      <c r="D4" s="931"/>
      <c r="E4" s="931"/>
      <c r="F4" s="931"/>
    </row>
    <row r="5" spans="1:6" x14ac:dyDescent="0.2">
      <c r="A5" s="273"/>
      <c r="B5" s="273"/>
      <c r="C5" s="273"/>
      <c r="D5" s="273"/>
      <c r="E5" s="273"/>
      <c r="F5" s="273"/>
    </row>
    <row r="6" spans="1:6" ht="36" customHeight="1" x14ac:dyDescent="0.2">
      <c r="A6" s="969" t="s">
        <v>1628</v>
      </c>
      <c r="B6" s="969"/>
      <c r="C6" s="969"/>
      <c r="D6" s="969"/>
      <c r="E6" s="969"/>
      <c r="F6" s="969"/>
    </row>
    <row r="7" spans="1:6" ht="161.25" customHeight="1" x14ac:dyDescent="0.2">
      <c r="A7" s="970" t="s">
        <v>1629</v>
      </c>
      <c r="B7" s="971"/>
      <c r="C7" s="971"/>
      <c r="D7" s="971"/>
      <c r="E7" s="971"/>
      <c r="F7" s="971"/>
    </row>
    <row r="8" spans="1:6" ht="33" customHeight="1" x14ac:dyDescent="0.2">
      <c r="A8" s="982" t="s">
        <v>1551</v>
      </c>
      <c r="B8" s="982"/>
      <c r="C8" s="982"/>
      <c r="D8" s="982"/>
      <c r="E8" s="982"/>
      <c r="F8" s="982"/>
    </row>
    <row r="9" spans="1:6" s="272" customFormat="1" ht="66" customHeight="1" x14ac:dyDescent="0.2">
      <c r="A9" s="983" t="s">
        <v>1539</v>
      </c>
      <c r="B9" s="984"/>
      <c r="C9" s="750" t="s">
        <v>1546</v>
      </c>
      <c r="D9" s="750" t="s">
        <v>1547</v>
      </c>
      <c r="E9" s="750" t="s">
        <v>1548</v>
      </c>
      <c r="F9" s="749" t="s">
        <v>1630</v>
      </c>
    </row>
    <row r="10" spans="1:6" s="272" customFormat="1" ht="27" customHeight="1" x14ac:dyDescent="0.2">
      <c r="A10" s="972"/>
      <c r="B10" s="973"/>
      <c r="C10" s="750"/>
      <c r="D10" s="750"/>
      <c r="E10" s="750"/>
      <c r="F10" s="749"/>
    </row>
    <row r="11" spans="1:6" ht="45" customHeight="1" x14ac:dyDescent="0.25">
      <c r="A11" s="979" t="s">
        <v>1553</v>
      </c>
      <c r="B11" s="980"/>
      <c r="C11" s="823">
        <v>12500000</v>
      </c>
      <c r="D11" s="741">
        <v>4500000</v>
      </c>
      <c r="E11" s="741">
        <v>0</v>
      </c>
      <c r="F11" s="740">
        <v>0</v>
      </c>
    </row>
    <row r="12" spans="1:6" ht="15.75" x14ac:dyDescent="0.25">
      <c r="A12" s="730"/>
      <c r="B12" s="731"/>
      <c r="C12" s="731"/>
      <c r="D12" s="731"/>
      <c r="E12" s="731"/>
      <c r="F12" s="732"/>
    </row>
    <row r="13" spans="1:6" s="272" customFormat="1" ht="35.25" customHeight="1" x14ac:dyDescent="0.2">
      <c r="A13" s="978" t="s">
        <v>1549</v>
      </c>
      <c r="B13" s="978"/>
      <c r="C13" s="978"/>
      <c r="D13" s="978"/>
      <c r="E13" s="978"/>
      <c r="F13" s="978"/>
    </row>
    <row r="14" spans="1:6" ht="18" customHeight="1" x14ac:dyDescent="0.25">
      <c r="A14" s="981" t="s">
        <v>1550</v>
      </c>
      <c r="B14" s="981"/>
      <c r="C14" s="981"/>
      <c r="D14" s="981"/>
      <c r="E14" s="981"/>
      <c r="F14" s="981"/>
    </row>
    <row r="15" spans="1:6" ht="14.25" customHeight="1" x14ac:dyDescent="0.2">
      <c r="A15" s="974" t="s">
        <v>1633</v>
      </c>
      <c r="B15" s="974"/>
      <c r="C15" s="974"/>
      <c r="D15" s="974"/>
      <c r="E15" s="974"/>
      <c r="F15" s="974"/>
    </row>
    <row r="16" spans="1:6" ht="15.75" x14ac:dyDescent="0.25">
      <c r="A16" s="975" t="s">
        <v>1552</v>
      </c>
      <c r="B16" s="976"/>
      <c r="C16" s="976"/>
      <c r="D16" s="976"/>
      <c r="E16" s="976"/>
      <c r="F16" s="976"/>
    </row>
    <row r="17" spans="1:6" ht="15.75" x14ac:dyDescent="0.2">
      <c r="A17" s="977" t="s">
        <v>1632</v>
      </c>
      <c r="B17" s="977"/>
      <c r="C17" s="977"/>
      <c r="D17" s="977"/>
      <c r="E17" s="977"/>
      <c r="F17" s="977"/>
    </row>
    <row r="18" spans="1:6" ht="18.95" customHeight="1" x14ac:dyDescent="0.2">
      <c r="A18" s="751" t="s">
        <v>1631</v>
      </c>
      <c r="B18" s="733"/>
      <c r="C18" s="733"/>
      <c r="D18" s="733"/>
      <c r="E18" s="733"/>
      <c r="F18" s="733"/>
    </row>
    <row r="19" spans="1:6" ht="15.75" x14ac:dyDescent="0.25">
      <c r="A19" s="735"/>
      <c r="B19" s="734"/>
      <c r="C19" s="734"/>
      <c r="D19" s="734"/>
      <c r="E19" s="734"/>
      <c r="F19" s="736"/>
    </row>
    <row r="20" spans="1:6" ht="15.75" x14ac:dyDescent="0.25">
      <c r="A20" s="728"/>
      <c r="B20" s="729"/>
      <c r="C20" s="729"/>
      <c r="D20" s="729"/>
      <c r="E20" s="729"/>
      <c r="F20" s="729"/>
    </row>
    <row r="21" spans="1:6" ht="15.75" x14ac:dyDescent="0.25">
      <c r="A21" s="730"/>
      <c r="B21" s="731"/>
      <c r="C21" s="731"/>
      <c r="D21" s="731"/>
      <c r="E21" s="731"/>
      <c r="F21" s="732"/>
    </row>
    <row r="22" spans="1:6" ht="15.75" x14ac:dyDescent="0.25">
      <c r="A22" s="730"/>
      <c r="B22" s="731"/>
      <c r="C22" s="731"/>
      <c r="D22" s="731"/>
      <c r="E22" s="731"/>
      <c r="F22" s="732"/>
    </row>
    <row r="23" spans="1:6" ht="15.75" x14ac:dyDescent="0.25">
      <c r="A23" s="730"/>
      <c r="B23" s="731"/>
      <c r="C23" s="731"/>
      <c r="D23" s="731"/>
      <c r="E23" s="731"/>
      <c r="F23" s="732"/>
    </row>
    <row r="24" spans="1:6" ht="15.75" x14ac:dyDescent="0.25">
      <c r="A24" s="730"/>
      <c r="B24" s="731"/>
      <c r="C24" s="731"/>
      <c r="D24" s="731"/>
      <c r="E24" s="731"/>
      <c r="F24" s="732"/>
    </row>
    <row r="25" spans="1:6" x14ac:dyDescent="0.2">
      <c r="A25" s="737"/>
      <c r="B25" s="738"/>
      <c r="C25" s="738"/>
      <c r="D25" s="738"/>
      <c r="E25" s="738"/>
      <c r="F25" s="739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7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86" t="s">
        <v>1537</v>
      </c>
      <c r="C1" s="986"/>
      <c r="D1" s="986"/>
      <c r="E1" s="987"/>
      <c r="F1" s="987"/>
    </row>
    <row r="2" spans="1:6" ht="15.75" x14ac:dyDescent="0.25">
      <c r="B2" s="986" t="s">
        <v>1</v>
      </c>
      <c r="C2" s="986"/>
      <c r="D2" s="986"/>
      <c r="E2" s="987"/>
      <c r="F2" s="987"/>
    </row>
    <row r="3" spans="1:6" ht="15.75" x14ac:dyDescent="0.25">
      <c r="B3" s="986" t="s">
        <v>2</v>
      </c>
      <c r="C3" s="986"/>
      <c r="D3" s="986"/>
      <c r="E3" s="987"/>
      <c r="F3" s="987"/>
    </row>
    <row r="4" spans="1:6" ht="15.75" x14ac:dyDescent="0.25">
      <c r="B4" s="986" t="s">
        <v>1688</v>
      </c>
      <c r="C4" s="986"/>
      <c r="D4" s="986"/>
      <c r="E4" s="987"/>
      <c r="F4" s="987"/>
    </row>
    <row r="5" spans="1:6" ht="15.75" x14ac:dyDescent="0.25">
      <c r="B5" s="986"/>
      <c r="C5" s="987"/>
      <c r="D5" s="987"/>
      <c r="E5" s="987"/>
      <c r="F5" s="987"/>
    </row>
    <row r="6" spans="1:6" hidden="1" x14ac:dyDescent="0.2">
      <c r="B6" s="681"/>
      <c r="C6" s="681"/>
      <c r="D6" s="681"/>
      <c r="E6" s="681"/>
      <c r="F6" s="93"/>
    </row>
    <row r="7" spans="1:6" ht="52.5" customHeight="1" x14ac:dyDescent="0.2">
      <c r="A7" s="985" t="s">
        <v>1689</v>
      </c>
      <c r="B7" s="985"/>
      <c r="C7" s="985"/>
      <c r="D7" s="985"/>
      <c r="E7" s="985"/>
      <c r="F7" s="93"/>
    </row>
    <row r="8" spans="1:6" ht="48" customHeight="1" x14ac:dyDescent="0.2">
      <c r="A8" s="680" t="s">
        <v>1466</v>
      </c>
      <c r="B8" s="357" t="s">
        <v>1465</v>
      </c>
      <c r="C8" s="680" t="s">
        <v>1467</v>
      </c>
      <c r="D8" s="680" t="s">
        <v>1464</v>
      </c>
      <c r="E8" s="680" t="s">
        <v>1463</v>
      </c>
      <c r="F8" s="93"/>
    </row>
    <row r="9" spans="1:6" ht="155.25" customHeight="1" x14ac:dyDescent="0.2">
      <c r="A9" s="682" t="s">
        <v>1468</v>
      </c>
      <c r="B9" s="683" t="s">
        <v>1409</v>
      </c>
      <c r="C9" s="682">
        <v>100</v>
      </c>
      <c r="D9" s="682"/>
      <c r="E9" s="682"/>
      <c r="F9" s="93"/>
    </row>
    <row r="10" spans="1:6" ht="153" x14ac:dyDescent="0.2">
      <c r="A10" s="682" t="s">
        <v>1469</v>
      </c>
      <c r="B10" s="200" t="s">
        <v>1470</v>
      </c>
      <c r="C10" s="682"/>
      <c r="D10" s="682">
        <v>100</v>
      </c>
      <c r="E10" s="682"/>
      <c r="F10" s="93"/>
    </row>
    <row r="11" spans="1:6" ht="153" x14ac:dyDescent="0.2">
      <c r="A11" s="682" t="s">
        <v>1472</v>
      </c>
      <c r="B11" s="200" t="s">
        <v>1471</v>
      </c>
      <c r="C11" s="682"/>
      <c r="D11" s="682"/>
      <c r="E11" s="682">
        <v>100</v>
      </c>
      <c r="F11" s="93"/>
    </row>
    <row r="12" spans="1:6" ht="140.25" x14ac:dyDescent="0.2">
      <c r="A12" s="682" t="s">
        <v>1473</v>
      </c>
      <c r="B12" s="200" t="s">
        <v>1410</v>
      </c>
      <c r="C12" s="682">
        <v>100</v>
      </c>
      <c r="D12" s="682"/>
      <c r="E12" s="682"/>
      <c r="F12" s="93"/>
    </row>
    <row r="13" spans="1:6" ht="140.25" x14ac:dyDescent="0.2">
      <c r="A13" s="682" t="s">
        <v>1474</v>
      </c>
      <c r="B13" s="200" t="s">
        <v>1475</v>
      </c>
      <c r="C13" s="682"/>
      <c r="D13" s="682">
        <v>100</v>
      </c>
      <c r="E13" s="682"/>
      <c r="F13" s="93"/>
    </row>
    <row r="14" spans="1:6" ht="140.25" x14ac:dyDescent="0.2">
      <c r="A14" s="682" t="s">
        <v>1476</v>
      </c>
      <c r="B14" s="200" t="s">
        <v>1477</v>
      </c>
      <c r="C14" s="682"/>
      <c r="D14" s="682"/>
      <c r="E14" s="682">
        <v>100</v>
      </c>
      <c r="F14" s="93"/>
    </row>
    <row r="15" spans="1:6" ht="103.7" customHeight="1" x14ac:dyDescent="0.2">
      <c r="A15" s="682" t="s">
        <v>1478</v>
      </c>
      <c r="B15" s="683" t="s">
        <v>1386</v>
      </c>
      <c r="C15" s="682">
        <v>100</v>
      </c>
      <c r="D15" s="682"/>
      <c r="E15" s="682"/>
      <c r="F15" s="93"/>
    </row>
    <row r="16" spans="1:6" ht="102" x14ac:dyDescent="0.2">
      <c r="A16" s="682" t="s">
        <v>1479</v>
      </c>
      <c r="B16" s="200" t="s">
        <v>1480</v>
      </c>
      <c r="C16" s="682"/>
      <c r="D16" s="682">
        <v>100</v>
      </c>
      <c r="E16" s="682"/>
      <c r="F16" s="93"/>
    </row>
    <row r="17" spans="1:6" ht="102" x14ac:dyDescent="0.2">
      <c r="A17" s="682" t="s">
        <v>1481</v>
      </c>
      <c r="B17" s="200" t="s">
        <v>1482</v>
      </c>
      <c r="C17" s="682"/>
      <c r="D17" s="682"/>
      <c r="E17" s="682">
        <v>100</v>
      </c>
      <c r="F17" s="93"/>
    </row>
    <row r="18" spans="1:6" s="272" customFormat="1" ht="67.7" customHeight="1" x14ac:dyDescent="0.2">
      <c r="A18" s="682" t="s">
        <v>1488</v>
      </c>
      <c r="B18" s="200" t="s">
        <v>1387</v>
      </c>
      <c r="C18" s="682">
        <v>100</v>
      </c>
      <c r="D18" s="682"/>
      <c r="E18" s="682"/>
      <c r="F18" s="93"/>
    </row>
    <row r="19" spans="1:6" s="272" customFormat="1" ht="67.7" customHeight="1" x14ac:dyDescent="0.2">
      <c r="A19" s="682" t="s">
        <v>1489</v>
      </c>
      <c r="B19" s="200" t="s">
        <v>1490</v>
      </c>
      <c r="C19" s="682"/>
      <c r="D19" s="682">
        <v>100</v>
      </c>
      <c r="E19" s="682"/>
      <c r="F19" s="93"/>
    </row>
    <row r="20" spans="1:6" s="272" customFormat="1" ht="69" customHeight="1" x14ac:dyDescent="0.2">
      <c r="A20" s="682" t="s">
        <v>1491</v>
      </c>
      <c r="B20" s="200" t="s">
        <v>1492</v>
      </c>
      <c r="C20" s="682"/>
      <c r="D20" s="682"/>
      <c r="E20" s="682">
        <v>100</v>
      </c>
      <c r="F20" s="93"/>
    </row>
    <row r="21" spans="1:6" ht="51" x14ac:dyDescent="0.2">
      <c r="A21" s="682" t="s">
        <v>1483</v>
      </c>
      <c r="B21" s="200" t="s">
        <v>1447</v>
      </c>
      <c r="C21" s="682">
        <v>100</v>
      </c>
      <c r="D21" s="682"/>
      <c r="E21" s="682"/>
      <c r="F21" s="93"/>
    </row>
    <row r="22" spans="1:6" ht="51" x14ac:dyDescent="0.2">
      <c r="A22" s="682" t="s">
        <v>1484</v>
      </c>
      <c r="B22" s="200" t="s">
        <v>1485</v>
      </c>
      <c r="C22" s="682"/>
      <c r="D22" s="682">
        <v>100</v>
      </c>
      <c r="E22" s="682"/>
      <c r="F22" s="93"/>
    </row>
    <row r="23" spans="1:6" ht="51" x14ac:dyDescent="0.2">
      <c r="A23" s="682" t="s">
        <v>1486</v>
      </c>
      <c r="B23" s="200" t="s">
        <v>1487</v>
      </c>
      <c r="C23" s="682"/>
      <c r="D23" s="682"/>
      <c r="E23" s="682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50</vt:i4>
      </vt:variant>
    </vt:vector>
  </HeadingPairs>
  <TitlesOfParts>
    <vt:vector size="85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Лист12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2022-09-30T12:53:59Z</cp:lastPrinted>
  <dcterms:created xsi:type="dcterms:W3CDTF">2016-11-11T16:27:02Z</dcterms:created>
  <dcterms:modified xsi:type="dcterms:W3CDTF">2022-09-30T12:58:30Z</dcterms:modified>
</cp:coreProperties>
</file>