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365" windowHeight="13755" tabRatio="730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.8" sheetId="60" state="hidden" r:id="rId8"/>
    <sheet name="Пр9" sheetId="58" state="hidden" r:id="rId9"/>
    <sheet name="Пр.10" sheetId="14" r:id="rId10"/>
    <sheet name="Лист12" sheetId="72" state="hidden" r:id="rId11"/>
    <sheet name="Пр11" sheetId="15" state="hidden" r:id="rId12"/>
    <sheet name="Пр.12" sheetId="16" r:id="rId13"/>
    <sheet name="Пр13" sheetId="21" state="hidden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  <sheet name="Лист15" sheetId="75" state="hidden" r:id="rId36"/>
    <sheet name="Лист16" sheetId="76" state="hidden" r:id="rId37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Пр.10!$B$1:$B$1260</definedName>
    <definedName name="_xlnm._FilterDatabase" localSheetId="12">Пр.12!$C$1:$D$261</definedName>
    <definedName name="_xlnm._FilterDatabase" localSheetId="0" hidden="1">Пр1!$A$9:$L$149</definedName>
    <definedName name="_xlnm._FilterDatabase" localSheetId="11" hidden="1">Пр11!$A$8:$L$661</definedName>
    <definedName name="_xlnm._FilterDatabase" localSheetId="13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Пр.10!$A$9:$F$1233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Пр.10!$A$9:$F$1233</definedName>
    <definedName name="Z_91923F83_3A6B_4204_9891_178562AB34F1_.wvu.PrintArea" localSheetId="9">Пр.10!$A$1:$F$1233</definedName>
    <definedName name="Z_91923F83_3A6B_4204_9891_178562AB34F1_.wvu.PrintArea" localSheetId="2">Пр_3!$A$1:$B$120</definedName>
    <definedName name="Z_91923F83_3A6B_4204_9891_178562AB34F1_.wvu.PrintArea" localSheetId="0">Пр1!$A$1:$I$149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Пр.10!$A$9:$F$1233</definedName>
    <definedName name="Z_A5E41FC9_89B1_40D2_B587_57BC4C5E4715_.wvu.PrintArea" localSheetId="9">Пр.10!$A$1:$F$1233</definedName>
    <definedName name="Z_A5E41FC9_89B1_40D2_B587_57BC4C5E4715_.wvu.PrintArea" localSheetId="2">Пр_3!$A$1:$B$120</definedName>
    <definedName name="Z_A5E41FC9_89B1_40D2_B587_57BC4C5E4715_.wvu.PrintArea" localSheetId="0">Пр1!$A$1:$I$149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Пр.10!$A$9:$F$1233</definedName>
    <definedName name="Z_B3311466_F005_49F1_A579_3E6CECE305A8_.wvu.PrintArea" localSheetId="9">Пр.10!$A$1:$F$1233</definedName>
    <definedName name="Z_B3311466_F005_49F1_A579_3E6CECE305A8_.wvu.PrintArea" localSheetId="2">Пр_3!$A$1:$B$120</definedName>
    <definedName name="Z_B3311466_F005_49F1_A579_3E6CECE305A8_.wvu.PrintArea" localSheetId="0">Пр1!$A$1:$I$149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Пр.10!$A$9:$F$1233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Пр.10!$A$9:$F$1233</definedName>
    <definedName name="Z_E5662E33_D4B0_43EA_9B06_C8DA9DFDBEF6_.wvu.PrintArea" localSheetId="9">Пр.10!$A$1:$F$1233</definedName>
    <definedName name="Z_E5662E33_D4B0_43EA_9B06_C8DA9DFDBEF6_.wvu.PrintArea" localSheetId="2">Пр_3!$A$1:$B$120</definedName>
    <definedName name="Z_E5662E33_D4B0_43EA_9B06_C8DA9DFDBEF6_.wvu.PrintArea" localSheetId="0">Пр1!$A$1:$I$149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Пр.10!$A$9:$F$1233</definedName>
    <definedName name="Z_F3607253_7816_4CF7_9CFD_2ADFFAD916F8_.wvu.PrintArea" localSheetId="9">Пр.10!$A$1:$F$1233</definedName>
    <definedName name="Z_F3607253_7816_4CF7_9CFD_2ADFFAD916F8_.wvu.PrintArea" localSheetId="2">Пр_3!$A$1:$B$120</definedName>
    <definedName name="Z_F3607253_7816_4CF7_9CFD_2ADFFAD916F8_.wvu.PrintArea" localSheetId="0">Пр1!$A$1:$I$149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Пр.10!$A$1:$I$1256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Пр11!$A$1:$L$661</definedName>
    <definedName name="_xlnm.Print_Area" localSheetId="13">Пр13!$A$1:$I$174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</workbook>
</file>

<file path=xl/calcChain.xml><?xml version="1.0" encoding="utf-8"?>
<calcChain xmlns="http://schemas.openxmlformats.org/spreadsheetml/2006/main">
  <c r="H48" i="14" l="1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240" i="14"/>
  <c r="A241" i="14"/>
  <c r="A242" i="14"/>
  <c r="A243" i="14"/>
  <c r="A244" i="14"/>
  <c r="A245" i="14"/>
  <c r="A246" i="14"/>
  <c r="A247" i="14"/>
  <c r="A248" i="14"/>
  <c r="A29" i="14"/>
  <c r="A1033" i="14"/>
  <c r="H93" i="14"/>
  <c r="H1198" i="14"/>
  <c r="H1129" i="14"/>
  <c r="H23" i="14"/>
  <c r="H20" i="14"/>
  <c r="H36" i="14"/>
  <c r="H472" i="14" l="1"/>
  <c r="H97" i="14"/>
  <c r="H98" i="14" l="1"/>
  <c r="H100" i="14"/>
  <c r="H14" i="14"/>
  <c r="H420" i="14"/>
  <c r="H401" i="14"/>
  <c r="H376" i="14"/>
  <c r="H91" i="14"/>
  <c r="H521" i="14"/>
  <c r="I533" i="14"/>
  <c r="H532" i="14"/>
  <c r="I532" i="14" s="1"/>
  <c r="I398" i="14"/>
  <c r="I397" i="14"/>
  <c r="H395" i="14"/>
  <c r="H140" i="14"/>
  <c r="H1194" i="14"/>
  <c r="H1195" i="14"/>
  <c r="H484" i="14"/>
  <c r="H1010" i="14"/>
  <c r="H985" i="14"/>
  <c r="H281" i="14" l="1"/>
  <c r="I301" i="14"/>
  <c r="I300" i="14" s="1"/>
  <c r="H300" i="14"/>
  <c r="H173" i="14"/>
  <c r="H204" i="14"/>
  <c r="I205" i="14"/>
  <c r="I204" i="14" s="1"/>
  <c r="A398" i="14" l="1"/>
  <c r="A397" i="14"/>
  <c r="A301" i="14"/>
  <c r="H749" i="14"/>
  <c r="H625" i="14"/>
  <c r="H526" i="14"/>
  <c r="H949" i="14" l="1"/>
  <c r="I950" i="14"/>
  <c r="I949" i="14" s="1"/>
  <c r="I941" i="14"/>
  <c r="I942" i="14"/>
  <c r="H998" i="14" l="1"/>
  <c r="H1002" i="14"/>
  <c r="H988" i="14"/>
  <c r="H986" i="14"/>
  <c r="H479" i="14" l="1"/>
  <c r="H477" i="14"/>
  <c r="K112" i="1" l="1"/>
  <c r="K83" i="1"/>
  <c r="L59" i="1"/>
  <c r="I475" i="14" l="1"/>
  <c r="H1165" i="14" l="1"/>
  <c r="A770" i="14" l="1"/>
  <c r="A771" i="14"/>
  <c r="H770" i="14"/>
  <c r="I771" i="14"/>
  <c r="I770" i="14" s="1"/>
  <c r="A446" i="14"/>
  <c r="A447" i="14"/>
  <c r="H446" i="14"/>
  <c r="I447" i="14"/>
  <c r="I446" i="14" s="1"/>
  <c r="H425" i="14"/>
  <c r="H416" i="14"/>
  <c r="H415" i="14" s="1"/>
  <c r="H414" i="14" s="1"/>
  <c r="H413" i="14" s="1"/>
  <c r="I417" i="14"/>
  <c r="I416" i="14" s="1"/>
  <c r="I415" i="14" s="1"/>
  <c r="I414" i="14" s="1"/>
  <c r="I413" i="14" s="1"/>
  <c r="A413" i="14"/>
  <c r="A414" i="14"/>
  <c r="A415" i="14"/>
  <c r="A416" i="14"/>
  <c r="A417" i="14"/>
  <c r="H393" i="14"/>
  <c r="H400" i="14"/>
  <c r="H399" i="14" s="1"/>
  <c r="A389" i="14"/>
  <c r="A390" i="14"/>
  <c r="A391" i="14"/>
  <c r="A392" i="14"/>
  <c r="A393" i="14"/>
  <c r="A394" i="14"/>
  <c r="A395" i="14"/>
  <c r="A396" i="14"/>
  <c r="A399" i="14"/>
  <c r="A400" i="14"/>
  <c r="A401" i="14"/>
  <c r="I401" i="14"/>
  <c r="I400" i="14" s="1"/>
  <c r="I399" i="14" s="1"/>
  <c r="I396" i="14"/>
  <c r="I395" i="14" s="1"/>
  <c r="I394" i="14"/>
  <c r="I393" i="14" s="1"/>
  <c r="H186" i="14"/>
  <c r="I187" i="14"/>
  <c r="I186" i="14" s="1"/>
  <c r="A204" i="14"/>
  <c r="A205" i="14"/>
  <c r="A186" i="14"/>
  <c r="A187" i="14"/>
  <c r="I392" i="14" l="1"/>
  <c r="I391" i="14" s="1"/>
  <c r="I390" i="14" s="1"/>
  <c r="I389" i="14" s="1"/>
  <c r="H392" i="14"/>
  <c r="H391" i="14" s="1"/>
  <c r="H390" i="14" s="1"/>
  <c r="H389" i="14" s="1"/>
  <c r="I108" i="14"/>
  <c r="H107" i="14"/>
  <c r="A107" i="14"/>
  <c r="A108" i="14"/>
  <c r="I93" i="14"/>
  <c r="H90" i="14"/>
  <c r="A90" i="14"/>
  <c r="A91" i="14"/>
  <c r="H24" i="14"/>
  <c r="I24" i="14" s="1"/>
  <c r="A24" i="14"/>
  <c r="A25" i="14"/>
  <c r="H15" i="14"/>
  <c r="I15" i="14" s="1"/>
  <c r="A15" i="14"/>
  <c r="A16" i="14"/>
  <c r="H490" i="14"/>
  <c r="E17" i="6"/>
  <c r="A1204" i="14"/>
  <c r="A1205" i="14"/>
  <c r="H1204" i="14"/>
  <c r="I1205" i="14"/>
  <c r="I1204" i="14" s="1"/>
  <c r="H1086" i="14"/>
  <c r="I1087" i="14"/>
  <c r="I1086" i="14" s="1"/>
  <c r="A1086" i="14"/>
  <c r="A1087" i="14"/>
  <c r="H964" i="14"/>
  <c r="A964" i="14"/>
  <c r="A965" i="14"/>
  <c r="H909" i="14"/>
  <c r="I910" i="14"/>
  <c r="I909" i="14" s="1"/>
  <c r="A909" i="14"/>
  <c r="A910" i="14"/>
  <c r="A1014" i="14"/>
  <c r="A1015" i="14"/>
  <c r="H1014" i="14"/>
  <c r="H989" i="14"/>
  <c r="A989" i="14"/>
  <c r="A990" i="14"/>
  <c r="A490" i="14"/>
  <c r="A491" i="14"/>
  <c r="I491" i="14"/>
  <c r="I490" i="14" s="1"/>
  <c r="I1015" i="14" l="1"/>
  <c r="I1014" i="14" s="1"/>
  <c r="I990" i="14"/>
  <c r="I989" i="14" s="1"/>
  <c r="I107" i="14"/>
  <c r="I91" i="14"/>
  <c r="I90" i="14" s="1"/>
  <c r="I25" i="14"/>
  <c r="I16" i="14"/>
  <c r="I965" i="14"/>
  <c r="I964" i="14" s="1"/>
  <c r="K16" i="1"/>
  <c r="K28" i="1"/>
  <c r="L31" i="1"/>
  <c r="H254" i="14" l="1"/>
  <c r="A369" i="14" l="1"/>
  <c r="A370" i="14"/>
  <c r="A371" i="14"/>
  <c r="A372" i="14"/>
  <c r="A373" i="14"/>
  <c r="A374" i="14"/>
  <c r="A375" i="14"/>
  <c r="A376" i="14"/>
  <c r="A377" i="14"/>
  <c r="A378" i="14"/>
  <c r="H372" i="14"/>
  <c r="H371" i="14" s="1"/>
  <c r="H370" i="14" s="1"/>
  <c r="I373" i="14"/>
  <c r="I372" i="14" s="1"/>
  <c r="I371" i="14" s="1"/>
  <c r="I370" i="14" s="1"/>
  <c r="H375" i="14"/>
  <c r="I376" i="14"/>
  <c r="I375" i="14" s="1"/>
  <c r="H377" i="14"/>
  <c r="I378" i="14"/>
  <c r="I377" i="14" s="1"/>
  <c r="I255" i="14"/>
  <c r="I254" i="14" s="1"/>
  <c r="A254" i="14"/>
  <c r="A255" i="14"/>
  <c r="I374" i="14" l="1"/>
  <c r="I369" i="14" s="1"/>
  <c r="H374" i="14"/>
  <c r="H369" i="14" s="1"/>
  <c r="J209" i="15"/>
  <c r="G209" i="15"/>
  <c r="A136" i="15" l="1"/>
  <c r="A135" i="15"/>
  <c r="A133" i="15"/>
  <c r="A131" i="15"/>
  <c r="A134" i="15"/>
  <c r="A132" i="15"/>
  <c r="A130" i="15"/>
  <c r="L58" i="1" l="1"/>
  <c r="K49" i="1"/>
  <c r="L56" i="1"/>
  <c r="L20" i="1"/>
  <c r="L19" i="1" s="1"/>
  <c r="K19" i="1"/>
  <c r="G46" i="15" l="1"/>
  <c r="A1054" i="14" l="1"/>
  <c r="A653" i="15" l="1"/>
  <c r="I653" i="15"/>
  <c r="L653" i="15"/>
  <c r="I40" i="15"/>
  <c r="H39" i="15"/>
  <c r="I39" i="15" s="1"/>
  <c r="A1203" i="14" l="1"/>
  <c r="I1203" i="14"/>
  <c r="I426" i="14" l="1"/>
  <c r="A426" i="14"/>
  <c r="I821" i="14"/>
  <c r="H820" i="14"/>
  <c r="H819" i="14" s="1"/>
  <c r="A819" i="14"/>
  <c r="A820" i="14"/>
  <c r="A821" i="14"/>
  <c r="A39" i="15"/>
  <c r="A40" i="15"/>
  <c r="E14" i="6"/>
  <c r="D13" i="5"/>
  <c r="A1169" i="14" l="1"/>
  <c r="A1170" i="14"/>
  <c r="I819" i="14" l="1"/>
  <c r="I820" i="14"/>
  <c r="H325" i="14" l="1"/>
  <c r="I191" i="14"/>
  <c r="I190" i="14" s="1"/>
  <c r="A191" i="14"/>
  <c r="H190" i="14"/>
  <c r="A190" i="14"/>
  <c r="I207" i="14"/>
  <c r="I206" i="14" s="1"/>
  <c r="A207" i="14"/>
  <c r="H206" i="14"/>
  <c r="A206" i="14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142" i="14"/>
  <c r="A1143" i="14"/>
  <c r="H1142" i="14"/>
  <c r="I1143" i="14"/>
  <c r="I1142" i="14" s="1"/>
  <c r="A905" i="14"/>
  <c r="A906" i="14"/>
  <c r="I906" i="14"/>
  <c r="I905" i="14" s="1"/>
  <c r="H905" i="14"/>
  <c r="A800" i="14"/>
  <c r="A801" i="14"/>
  <c r="A802" i="14"/>
  <c r="A803" i="14"/>
  <c r="A804" i="14"/>
  <c r="H803" i="14"/>
  <c r="H802" i="14" s="1"/>
  <c r="H801" i="14" s="1"/>
  <c r="H800" i="14" s="1"/>
  <c r="I804" i="14"/>
  <c r="I803" i="14" s="1"/>
  <c r="I802" i="14" s="1"/>
  <c r="I801" i="14" s="1"/>
  <c r="I800" i="14" s="1"/>
  <c r="A581" i="14"/>
  <c r="A582" i="14"/>
  <c r="I582" i="14"/>
  <c r="I581" i="14" s="1"/>
  <c r="H581" i="14"/>
  <c r="I572" i="14"/>
  <c r="I571" i="14" s="1"/>
  <c r="H571" i="14"/>
  <c r="A571" i="14"/>
  <c r="A572" i="14"/>
  <c r="I567" i="14"/>
  <c r="I566" i="14" s="1"/>
  <c r="I565" i="14" s="1"/>
  <c r="I564" i="14" s="1"/>
  <c r="I563" i="14" s="1"/>
  <c r="H566" i="14"/>
  <c r="H565" i="14" s="1"/>
  <c r="H564" i="14" s="1"/>
  <c r="H563" i="14" s="1"/>
  <c r="A563" i="14"/>
  <c r="A564" i="14"/>
  <c r="A565" i="14"/>
  <c r="A566" i="14"/>
  <c r="A567" i="14"/>
  <c r="A536" i="14"/>
  <c r="A537" i="14"/>
  <c r="A538" i="14"/>
  <c r="I538" i="14"/>
  <c r="I537" i="14"/>
  <c r="H536" i="14"/>
  <c r="I455" i="14"/>
  <c r="H454" i="14"/>
  <c r="A454" i="14"/>
  <c r="A455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54" i="14"/>
  <c r="I536" i="14"/>
  <c r="J107" i="15"/>
  <c r="J102" i="15" s="1"/>
  <c r="H302" i="14"/>
  <c r="I303" i="14"/>
  <c r="I302" i="14" s="1"/>
  <c r="A302" i="14"/>
  <c r="A303" i="14"/>
  <c r="H211" i="14"/>
  <c r="I212" i="14"/>
  <c r="I211" i="14" s="1"/>
  <c r="A211" i="14"/>
  <c r="A212" i="14"/>
  <c r="K35" i="1" l="1"/>
  <c r="L35" i="1" s="1"/>
  <c r="K140" i="1"/>
  <c r="L140" i="1" s="1"/>
  <c r="L145" i="1"/>
  <c r="L146" i="1"/>
  <c r="L63" i="1"/>
  <c r="L64" i="1"/>
  <c r="L55" i="1" l="1"/>
  <c r="A368" i="14" l="1"/>
  <c r="H367" i="14"/>
  <c r="H366" i="14" s="1"/>
  <c r="I368" i="14"/>
  <c r="H480" i="14"/>
  <c r="A482" i="14"/>
  <c r="I482" i="14"/>
  <c r="D22" i="56"/>
  <c r="B16" i="56"/>
  <c r="B46" i="16" l="1"/>
  <c r="B47" i="16"/>
  <c r="H1172" i="14"/>
  <c r="I1173" i="14"/>
  <c r="I1172" i="14" s="1"/>
  <c r="A1172" i="14"/>
  <c r="A1173" i="14"/>
  <c r="H1168" i="14"/>
  <c r="I1169" i="14"/>
  <c r="I1168" i="14" s="1"/>
  <c r="A1168" i="14"/>
  <c r="H1163" i="14"/>
  <c r="I1164" i="14"/>
  <c r="I1163" i="14" s="1"/>
  <c r="A1163" i="14"/>
  <c r="A1164" i="14"/>
  <c r="H1120" i="14"/>
  <c r="H1119" i="14" s="1"/>
  <c r="H1118" i="14" s="1"/>
  <c r="I1121" i="14"/>
  <c r="I1120" i="14" s="1"/>
  <c r="I1119" i="14" s="1"/>
  <c r="I1118" i="14" s="1"/>
  <c r="A822" i="14"/>
  <c r="A823" i="14"/>
  <c r="A824" i="14"/>
  <c r="A825" i="14"/>
  <c r="H824" i="14"/>
  <c r="H823" i="14" s="1"/>
  <c r="H822" i="14" s="1"/>
  <c r="E46" i="16" s="1"/>
  <c r="D46" i="16"/>
  <c r="I825" i="14"/>
  <c r="A706" i="14"/>
  <c r="A707" i="14"/>
  <c r="H706" i="14"/>
  <c r="I707" i="14"/>
  <c r="I706" i="14" s="1"/>
  <c r="H622" i="14"/>
  <c r="I623" i="14"/>
  <c r="I622" i="14" s="1"/>
  <c r="A622" i="14"/>
  <c r="A623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98" i="14"/>
  <c r="I599" i="14"/>
  <c r="I598" i="14" s="1"/>
  <c r="A598" i="14"/>
  <c r="A599" i="14"/>
  <c r="I546" i="14"/>
  <c r="A546" i="14"/>
  <c r="H544" i="14"/>
  <c r="H527" i="14"/>
  <c r="A529" i="14"/>
  <c r="I529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52" i="14"/>
  <c r="I453" i="14"/>
  <c r="A450" i="14"/>
  <c r="A451" i="14"/>
  <c r="A452" i="14"/>
  <c r="A453" i="14"/>
  <c r="H441" i="14"/>
  <c r="H440" i="14" s="1"/>
  <c r="I442" i="14"/>
  <c r="I441" i="14" s="1"/>
  <c r="I440" i="14" s="1"/>
  <c r="A439" i="14"/>
  <c r="A440" i="14"/>
  <c r="A441" i="14"/>
  <c r="A442" i="14"/>
  <c r="I63" i="14"/>
  <c r="H62" i="14"/>
  <c r="H451" i="14" l="1"/>
  <c r="H450" i="14" s="1"/>
  <c r="I450" i="14" s="1"/>
  <c r="I439" i="14"/>
  <c r="H439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822" i="14"/>
  <c r="F46" i="16" s="1"/>
  <c r="I824" i="14"/>
  <c r="I823" i="14"/>
  <c r="F47" i="16" s="1"/>
  <c r="I452" i="14"/>
  <c r="I1013" i="14"/>
  <c r="H1012" i="14"/>
  <c r="I1012" i="14" s="1"/>
  <c r="A63" i="14"/>
  <c r="A1118" i="14"/>
  <c r="A1119" i="14"/>
  <c r="A1120" i="14"/>
  <c r="A1121" i="14"/>
  <c r="I451" i="14" l="1"/>
  <c r="H1138" i="14"/>
  <c r="A1012" i="14"/>
  <c r="A1013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4" i="1" l="1"/>
  <c r="O120" i="2" l="1"/>
  <c r="L120" i="2"/>
  <c r="O119" i="2"/>
  <c r="L119" i="2"/>
  <c r="O118" i="2"/>
  <c r="L118" i="2"/>
  <c r="O117" i="2"/>
  <c r="L117" i="2"/>
  <c r="C21" i="5" l="1"/>
  <c r="K117" i="1"/>
  <c r="L132" i="1"/>
  <c r="L117" i="1" l="1"/>
  <c r="D76" i="16" l="1"/>
  <c r="E76" i="16"/>
  <c r="F76" i="16"/>
  <c r="D77" i="16"/>
  <c r="B77" i="16"/>
  <c r="H308" i="14"/>
  <c r="A308" i="14"/>
  <c r="A309" i="14"/>
  <c r="I309" i="14"/>
  <c r="I308" i="14" s="1"/>
  <c r="L144" i="1" l="1"/>
  <c r="L54" i="1"/>
  <c r="A356" i="14" l="1"/>
  <c r="A367" i="14"/>
  <c r="A366" i="14"/>
  <c r="I367" i="14"/>
  <c r="I366" i="14" s="1"/>
  <c r="A359" i="14"/>
  <c r="A360" i="14"/>
  <c r="H359" i="14"/>
  <c r="I360" i="14"/>
  <c r="I359" i="14" s="1"/>
  <c r="H330" i="14"/>
  <c r="I322" i="14" l="1"/>
  <c r="I324" i="14"/>
  <c r="A324" i="14"/>
  <c r="A322" i="14"/>
  <c r="H321" i="14" l="1"/>
  <c r="H181" i="14"/>
  <c r="H222" i="14"/>
  <c r="H226" i="14"/>
  <c r="H178" i="14"/>
  <c r="A208" i="14"/>
  <c r="A209" i="14"/>
  <c r="H208" i="14"/>
  <c r="I208" i="14" s="1"/>
  <c r="I209" i="14"/>
  <c r="H202" i="14"/>
  <c r="H200" i="14"/>
  <c r="I198" i="14"/>
  <c r="I199" i="14"/>
  <c r="A198" i="14"/>
  <c r="A199" i="14"/>
  <c r="H196" i="14"/>
  <c r="H194" i="14"/>
  <c r="H192" i="14"/>
  <c r="I193" i="14"/>
  <c r="I192" i="14" s="1"/>
  <c r="A192" i="14"/>
  <c r="A193" i="14"/>
  <c r="H184" i="14"/>
  <c r="H188" i="14"/>
  <c r="A182" i="14"/>
  <c r="I182" i="14"/>
  <c r="H180" i="14" l="1"/>
  <c r="D183" i="16"/>
  <c r="B183" i="16"/>
  <c r="B182" i="16"/>
  <c r="B181" i="16"/>
  <c r="D181" i="16" l="1"/>
  <c r="D182" i="16"/>
  <c r="H382" i="14"/>
  <c r="I384" i="14"/>
  <c r="A384" i="14"/>
  <c r="I152" i="14" l="1"/>
  <c r="I151" i="14" s="1"/>
  <c r="I150" i="14" s="1"/>
  <c r="F183" i="16" s="1"/>
  <c r="I149" i="14"/>
  <c r="I148" i="14" s="1"/>
  <c r="I147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704" i="14"/>
  <c r="I705" i="14"/>
  <c r="I704" i="14" s="1"/>
  <c r="A704" i="14"/>
  <c r="A705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46" i="14"/>
  <c r="L277" i="15"/>
  <c r="L276" i="15" s="1"/>
  <c r="H276" i="15"/>
  <c r="L333" i="15"/>
  <c r="I333" i="15"/>
  <c r="F181" i="16" l="1"/>
  <c r="L217" i="15"/>
  <c r="L216" i="15" s="1"/>
  <c r="K216" i="15"/>
  <c r="A1084" i="14" l="1"/>
  <c r="A1085" i="14"/>
  <c r="A1088" i="14"/>
  <c r="A1089" i="14"/>
  <c r="A1090" i="14"/>
  <c r="A1091" i="14"/>
  <c r="A1092" i="14"/>
  <c r="A1093" i="14"/>
  <c r="A1094" i="14"/>
  <c r="A1095" i="14"/>
  <c r="H1084" i="14"/>
  <c r="I1085" i="14"/>
  <c r="I1084" i="14" s="1"/>
  <c r="H530" i="14" l="1"/>
  <c r="H547" i="14"/>
  <c r="H295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8" i="14" l="1"/>
  <c r="H147" i="14" s="1"/>
  <c r="E182" i="16" s="1"/>
  <c r="H151" i="14"/>
  <c r="H150" i="14" s="1"/>
  <c r="E183" i="16" s="1"/>
  <c r="A146" i="14"/>
  <c r="A147" i="14"/>
  <c r="A148" i="14"/>
  <c r="A149" i="14"/>
  <c r="A150" i="14"/>
  <c r="A151" i="14"/>
  <c r="A152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46" i="14" l="1"/>
  <c r="H255" i="15"/>
  <c r="E181" i="16" l="1"/>
  <c r="I1059" i="14"/>
  <c r="I1058" i="14" s="1"/>
  <c r="A1058" i="14"/>
  <c r="A105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2" i="1" l="1"/>
  <c r="L73" i="1"/>
  <c r="H593" i="14"/>
  <c r="A1167" i="14" l="1"/>
  <c r="A1171" i="14"/>
  <c r="H623" i="15"/>
  <c r="A623" i="15"/>
  <c r="A624" i="15"/>
  <c r="H1170" i="14" l="1"/>
  <c r="H1167" i="14" s="1"/>
  <c r="I1171" i="14"/>
  <c r="I1170" i="14" s="1"/>
  <c r="I1167" i="14" s="1"/>
  <c r="K40" i="2" l="1"/>
  <c r="I284" i="15" l="1"/>
  <c r="K474" i="15"/>
  <c r="I14" i="14"/>
  <c r="I13" i="14" s="1"/>
  <c r="I20" i="14"/>
  <c r="I21" i="14"/>
  <c r="I22" i="14"/>
  <c r="I23" i="14"/>
  <c r="I27" i="14"/>
  <c r="I28" i="14"/>
  <c r="I32" i="14"/>
  <c r="I31" i="14" s="1"/>
  <c r="I30" i="14" s="1"/>
  <c r="I29" i="14" s="1"/>
  <c r="I36" i="14"/>
  <c r="I35" i="14" s="1"/>
  <c r="I34" i="14" s="1"/>
  <c r="I33" i="14" s="1"/>
  <c r="I41" i="14"/>
  <c r="I40" i="14" s="1"/>
  <c r="I39" i="14" s="1"/>
  <c r="I38" i="14" s="1"/>
  <c r="I45" i="14"/>
  <c r="I44" i="14" s="1"/>
  <c r="I43" i="14" s="1"/>
  <c r="I48" i="14"/>
  <c r="I49" i="14"/>
  <c r="I53" i="14"/>
  <c r="I52" i="14" s="1"/>
  <c r="I51" i="14" s="1"/>
  <c r="I56" i="14"/>
  <c r="I55" i="14" s="1"/>
  <c r="I54" i="14" s="1"/>
  <c r="I60" i="14"/>
  <c r="I61" i="14"/>
  <c r="I64" i="14"/>
  <c r="I62" i="14" s="1"/>
  <c r="I66" i="14"/>
  <c r="I69" i="14"/>
  <c r="I73" i="14"/>
  <c r="I74" i="14"/>
  <c r="I78" i="14"/>
  <c r="I82" i="14"/>
  <c r="I81" i="14" s="1"/>
  <c r="I84" i="14"/>
  <c r="I88" i="14"/>
  <c r="I94" i="14"/>
  <c r="I95" i="14"/>
  <c r="I97" i="14"/>
  <c r="I98" i="14"/>
  <c r="I99" i="14"/>
  <c r="I100" i="14"/>
  <c r="I101" i="14"/>
  <c r="I103" i="14"/>
  <c r="I104" i="14"/>
  <c r="I106" i="14"/>
  <c r="I105" i="14" s="1"/>
  <c r="I110" i="14"/>
  <c r="I112" i="14"/>
  <c r="I114" i="14"/>
  <c r="I116" i="14"/>
  <c r="I117" i="14"/>
  <c r="I119" i="14"/>
  <c r="I120" i="14"/>
  <c r="I122" i="14"/>
  <c r="I123" i="14"/>
  <c r="I125" i="14"/>
  <c r="I126" i="14"/>
  <c r="I129" i="14"/>
  <c r="I132" i="14"/>
  <c r="I134" i="14"/>
  <c r="I136" i="14"/>
  <c r="I140" i="14"/>
  <c r="I141" i="14"/>
  <c r="I144" i="14"/>
  <c r="I155" i="14"/>
  <c r="I160" i="14"/>
  <c r="I159" i="14" s="1"/>
  <c r="I162" i="14"/>
  <c r="I161" i="14" s="1"/>
  <c r="I165" i="14"/>
  <c r="I170" i="14"/>
  <c r="I169" i="14" s="1"/>
  <c r="I168" i="14" s="1"/>
  <c r="I173" i="14"/>
  <c r="I177" i="14"/>
  <c r="I176" i="14" s="1"/>
  <c r="I179" i="14"/>
  <c r="I178" i="14" s="1"/>
  <c r="I183" i="14"/>
  <c r="I181" i="14" s="1"/>
  <c r="I185" i="14"/>
  <c r="I184" i="14" s="1"/>
  <c r="I189" i="14"/>
  <c r="I188" i="14" s="1"/>
  <c r="I195" i="14"/>
  <c r="I194" i="14" s="1"/>
  <c r="I197" i="14"/>
  <c r="I196" i="14" s="1"/>
  <c r="I201" i="14"/>
  <c r="I200" i="14" s="1"/>
  <c r="I203" i="14"/>
  <c r="I202" i="14" s="1"/>
  <c r="I214" i="14"/>
  <c r="I216" i="14"/>
  <c r="I218" i="14"/>
  <c r="I221" i="14"/>
  <c r="I220" i="14" s="1"/>
  <c r="I223" i="14"/>
  <c r="I222" i="14" s="1"/>
  <c r="I225" i="14"/>
  <c r="I227" i="14"/>
  <c r="I226" i="14" s="1"/>
  <c r="I230" i="14"/>
  <c r="I229" i="14" s="1"/>
  <c r="I228" i="14" s="1"/>
  <c r="I235" i="14"/>
  <c r="I234" i="14" s="1"/>
  <c r="I237" i="14"/>
  <c r="I239" i="14"/>
  <c r="I243" i="14"/>
  <c r="I245" i="14"/>
  <c r="I247" i="14"/>
  <c r="I252" i="14"/>
  <c r="I251" i="14" s="1"/>
  <c r="I250" i="14" s="1"/>
  <c r="I249" i="14" s="1"/>
  <c r="I257" i="14"/>
  <c r="I263" i="14"/>
  <c r="I262" i="14" s="1"/>
  <c r="I265" i="14"/>
  <c r="I264" i="14" s="1"/>
  <c r="I267" i="14"/>
  <c r="I266" i="14" s="1"/>
  <c r="I271" i="14"/>
  <c r="I272" i="14"/>
  <c r="I274" i="14"/>
  <c r="I275" i="14"/>
  <c r="I278" i="14"/>
  <c r="I282" i="14"/>
  <c r="I281" i="14" s="1"/>
  <c r="I280" i="14" s="1"/>
  <c r="I285" i="14"/>
  <c r="I290" i="14"/>
  <c r="I296" i="14"/>
  <c r="I295" i="14" s="1"/>
  <c r="I299" i="14"/>
  <c r="I305" i="14"/>
  <c r="I307" i="14"/>
  <c r="I306" i="14" s="1"/>
  <c r="I312" i="14"/>
  <c r="I311" i="14" s="1"/>
  <c r="I310" i="14" s="1"/>
  <c r="I318" i="14"/>
  <c r="I317" i="14" s="1"/>
  <c r="I316" i="14" s="1"/>
  <c r="I315" i="14" s="1"/>
  <c r="I323" i="14"/>
  <c r="I321" i="14" s="1"/>
  <c r="I326" i="14"/>
  <c r="I325" i="14" s="1"/>
  <c r="I329" i="14"/>
  <c r="I328" i="14" s="1"/>
  <c r="I331" i="14"/>
  <c r="I332" i="14"/>
  <c r="I334" i="14"/>
  <c r="I333" i="14" s="1"/>
  <c r="I337" i="14"/>
  <c r="I336" i="14" s="1"/>
  <c r="I339" i="14"/>
  <c r="I341" i="14"/>
  <c r="I343" i="14"/>
  <c r="I347" i="14"/>
  <c r="I351" i="14"/>
  <c r="I355" i="14"/>
  <c r="I354" i="14" s="1"/>
  <c r="I353" i="14" s="1"/>
  <c r="I358" i="14"/>
  <c r="I357" i="14" s="1"/>
  <c r="I356" i="14" s="1"/>
  <c r="I363" i="14"/>
  <c r="I365" i="14"/>
  <c r="I383" i="14"/>
  <c r="I382" i="14" s="1"/>
  <c r="I386" i="14"/>
  <c r="I388" i="14"/>
  <c r="I407" i="14"/>
  <c r="I408" i="14"/>
  <c r="I411" i="14"/>
  <c r="I420" i="14"/>
  <c r="I427" i="14"/>
  <c r="I425" i="14" s="1"/>
  <c r="I429" i="14"/>
  <c r="I431" i="14"/>
  <c r="I433" i="14"/>
  <c r="I438" i="14"/>
  <c r="I445" i="14"/>
  <c r="I459" i="14"/>
  <c r="I458" i="14" s="1"/>
  <c r="I457" i="14" s="1"/>
  <c r="I462" i="14"/>
  <c r="I466" i="14"/>
  <c r="I465" i="14" s="1"/>
  <c r="I464" i="14" s="1"/>
  <c r="I469" i="14"/>
  <c r="I472" i="14"/>
  <c r="I473" i="14"/>
  <c r="I474" i="14"/>
  <c r="I477" i="14"/>
  <c r="I479" i="14"/>
  <c r="I481" i="14"/>
  <c r="I480" i="14" s="1"/>
  <c r="I484" i="14"/>
  <c r="I483" i="14" s="1"/>
  <c r="I486" i="14"/>
  <c r="I488" i="14"/>
  <c r="I489" i="14"/>
  <c r="I495" i="14"/>
  <c r="I494" i="14" s="1"/>
  <c r="I497" i="14"/>
  <c r="I496" i="14" s="1"/>
  <c r="I501" i="14"/>
  <c r="I500" i="14" s="1"/>
  <c r="I503" i="14"/>
  <c r="I502" i="14" s="1"/>
  <c r="I505" i="14"/>
  <c r="I504" i="14" s="1"/>
  <c r="I509" i="14"/>
  <c r="I516" i="14"/>
  <c r="I522" i="14"/>
  <c r="I523" i="14"/>
  <c r="I524" i="14"/>
  <c r="I526" i="14"/>
  <c r="I525" i="14" s="1"/>
  <c r="I528" i="14"/>
  <c r="I527" i="14" s="1"/>
  <c r="I531" i="14"/>
  <c r="I535" i="14"/>
  <c r="I540" i="14"/>
  <c r="I541" i="14"/>
  <c r="I543" i="14"/>
  <c r="I545" i="14"/>
  <c r="I544" i="14" s="1"/>
  <c r="I548" i="14"/>
  <c r="I549" i="14"/>
  <c r="I554" i="14"/>
  <c r="I555" i="14"/>
  <c r="I558" i="14"/>
  <c r="I561" i="14"/>
  <c r="I574" i="14"/>
  <c r="I573" i="14" s="1"/>
  <c r="I576" i="14"/>
  <c r="I575" i="14" s="1"/>
  <c r="I578" i="14"/>
  <c r="I580" i="14"/>
  <c r="I579" i="14" s="1"/>
  <c r="I584" i="14"/>
  <c r="I583" i="14" s="1"/>
  <c r="I586" i="14"/>
  <c r="I585" i="14" s="1"/>
  <c r="I588" i="14"/>
  <c r="I590" i="14"/>
  <c r="I592" i="14"/>
  <c r="I594" i="14"/>
  <c r="I597" i="14"/>
  <c r="I602" i="14"/>
  <c r="I606" i="14"/>
  <c r="I611" i="14"/>
  <c r="I614" i="14"/>
  <c r="I620" i="14"/>
  <c r="I621" i="14"/>
  <c r="I625" i="14"/>
  <c r="I624" i="14" s="1"/>
  <c r="I627" i="14"/>
  <c r="I629" i="14"/>
  <c r="I631" i="14"/>
  <c r="I633" i="14"/>
  <c r="I638" i="14"/>
  <c r="I644" i="14"/>
  <c r="I650" i="14"/>
  <c r="I655" i="14"/>
  <c r="I654" i="14" s="1"/>
  <c r="I657" i="14"/>
  <c r="I659" i="14"/>
  <c r="I660" i="14"/>
  <c r="I662" i="14"/>
  <c r="I661" i="14" s="1"/>
  <c r="I664" i="14"/>
  <c r="I665" i="14"/>
  <c r="I667" i="14"/>
  <c r="I666" i="14" s="1"/>
  <c r="I670" i="14"/>
  <c r="I676" i="14"/>
  <c r="I678" i="14"/>
  <c r="I682" i="14"/>
  <c r="I684" i="14"/>
  <c r="I689" i="14"/>
  <c r="I690" i="14"/>
  <c r="I691" i="14"/>
  <c r="I692" i="14"/>
  <c r="I695" i="14"/>
  <c r="I694" i="14" s="1"/>
  <c r="I697" i="14"/>
  <c r="I696" i="14" s="1"/>
  <c r="I700" i="14"/>
  <c r="I701" i="14"/>
  <c r="I703" i="14"/>
  <c r="I709" i="14"/>
  <c r="I712" i="14"/>
  <c r="I714" i="14"/>
  <c r="I717" i="14"/>
  <c r="I718" i="14"/>
  <c r="I719" i="14"/>
  <c r="I721" i="14"/>
  <c r="I723" i="14"/>
  <c r="I724" i="14"/>
  <c r="I725" i="14"/>
  <c r="I726" i="14"/>
  <c r="I728" i="14"/>
  <c r="I729" i="14"/>
  <c r="I731" i="14"/>
  <c r="I732" i="14"/>
  <c r="I733" i="14"/>
  <c r="I737" i="14"/>
  <c r="I736" i="14" s="1"/>
  <c r="I742" i="14"/>
  <c r="I745" i="14"/>
  <c r="I749" i="14"/>
  <c r="I750" i="14"/>
  <c r="I754" i="14"/>
  <c r="I757" i="14"/>
  <c r="I756" i="14" s="1"/>
  <c r="I755" i="14" s="1"/>
  <c r="I763" i="14"/>
  <c r="I769" i="14"/>
  <c r="I768" i="14" s="1"/>
  <c r="I773" i="14"/>
  <c r="I776" i="14"/>
  <c r="I778" i="14"/>
  <c r="I780" i="14"/>
  <c r="I779" i="14" s="1"/>
  <c r="I782" i="14"/>
  <c r="I783" i="14"/>
  <c r="I785" i="14"/>
  <c r="I786" i="14"/>
  <c r="I788" i="14"/>
  <c r="I789" i="14"/>
  <c r="I790" i="14"/>
  <c r="I791" i="14"/>
  <c r="I794" i="14"/>
  <c r="I795" i="14"/>
  <c r="I798" i="14"/>
  <c r="I809" i="14"/>
  <c r="I808" i="14" s="1"/>
  <c r="I811" i="14"/>
  <c r="I810" i="14" s="1"/>
  <c r="I813" i="14"/>
  <c r="I815" i="14"/>
  <c r="I818" i="14"/>
  <c r="I830" i="14"/>
  <c r="I837" i="14"/>
  <c r="I838" i="14"/>
  <c r="I840" i="14"/>
  <c r="I841" i="14"/>
  <c r="I847" i="14"/>
  <c r="I846" i="14" s="1"/>
  <c r="I845" i="14" s="1"/>
  <c r="I850" i="14"/>
  <c r="I856" i="14"/>
  <c r="I857" i="14"/>
  <c r="I859" i="14"/>
  <c r="I860" i="14"/>
  <c r="I862" i="14"/>
  <c r="I861" i="14" s="1"/>
  <c r="I864" i="14"/>
  <c r="I865" i="14"/>
  <c r="I867" i="14"/>
  <c r="I869" i="14"/>
  <c r="I871" i="14"/>
  <c r="I872" i="14"/>
  <c r="I874" i="14"/>
  <c r="I875" i="14"/>
  <c r="I877" i="14"/>
  <c r="I878" i="14"/>
  <c r="I880" i="14"/>
  <c r="I881" i="14"/>
  <c r="I883" i="14"/>
  <c r="I884" i="14"/>
  <c r="I886" i="14"/>
  <c r="I885" i="14" s="1"/>
  <c r="I888" i="14"/>
  <c r="I889" i="14"/>
  <c r="I891" i="14"/>
  <c r="I892" i="14"/>
  <c r="I894" i="14"/>
  <c r="I896" i="14"/>
  <c r="I899" i="14"/>
  <c r="I898" i="14" s="1"/>
  <c r="I901" i="14"/>
  <c r="I902" i="14"/>
  <c r="I904" i="14"/>
  <c r="I908" i="14"/>
  <c r="I913" i="14"/>
  <c r="I915" i="14"/>
  <c r="I921" i="14"/>
  <c r="I920" i="14" s="1"/>
  <c r="I923" i="14"/>
  <c r="I922" i="14" s="1"/>
  <c r="I925" i="14"/>
  <c r="I924" i="14" s="1"/>
  <c r="I927" i="14"/>
  <c r="I929" i="14"/>
  <c r="I930" i="14"/>
  <c r="I932" i="14"/>
  <c r="I934" i="14"/>
  <c r="I935" i="14"/>
  <c r="I937" i="14"/>
  <c r="I939" i="14"/>
  <c r="I940" i="14"/>
  <c r="I945" i="14"/>
  <c r="I948" i="14"/>
  <c r="I947" i="14" s="1"/>
  <c r="I952" i="14"/>
  <c r="I954" i="14"/>
  <c r="I960" i="14"/>
  <c r="I961" i="14"/>
  <c r="I963" i="14"/>
  <c r="I962" i="14" s="1"/>
  <c r="I967" i="14"/>
  <c r="I968" i="14"/>
  <c r="I969" i="14"/>
  <c r="I972" i="14"/>
  <c r="I971" i="14" s="1"/>
  <c r="I970" i="14" s="1"/>
  <c r="I976" i="14"/>
  <c r="I980" i="14"/>
  <c r="I985" i="14"/>
  <c r="I986" i="14"/>
  <c r="I987" i="14"/>
  <c r="I988" i="14"/>
  <c r="I995" i="14"/>
  <c r="I994" i="14" s="1"/>
  <c r="I993" i="14" s="1"/>
  <c r="I998" i="14"/>
  <c r="I1002" i="14"/>
  <c r="I1001" i="14" s="1"/>
  <c r="I1000" i="14" s="1"/>
  <c r="I1005" i="14"/>
  <c r="I1004" i="14" s="1"/>
  <c r="I1003" i="14" s="1"/>
  <c r="I1008" i="14"/>
  <c r="I1010" i="14"/>
  <c r="I1011" i="14"/>
  <c r="I1020" i="14"/>
  <c r="I1023" i="14"/>
  <c r="I1027" i="14"/>
  <c r="I1026" i="14" s="1"/>
  <c r="I1025" i="14" s="1"/>
  <c r="I1024" i="14" s="1"/>
  <c r="I1031" i="14"/>
  <c r="I1030" i="14" s="1"/>
  <c r="I1029" i="14" s="1"/>
  <c r="I1028" i="14" s="1"/>
  <c r="I1037" i="14"/>
  <c r="I1043" i="14"/>
  <c r="I1045" i="14"/>
  <c r="I1049" i="14"/>
  <c r="I1055" i="14"/>
  <c r="I1054" i="14" s="1"/>
  <c r="I1057" i="14"/>
  <c r="I1056" i="14" s="1"/>
  <c r="I1061" i="14"/>
  <c r="I1064" i="14"/>
  <c r="I1069" i="14"/>
  <c r="I1072" i="14"/>
  <c r="I1071" i="14" s="1"/>
  <c r="I1070" i="14" s="1"/>
  <c r="I1075" i="14"/>
  <c r="I1074" i="14" s="1"/>
  <c r="I1073" i="14" s="1"/>
  <c r="I1081" i="14"/>
  <c r="I1083" i="14"/>
  <c r="I1082" i="14" s="1"/>
  <c r="I1089" i="14"/>
  <c r="I1091" i="14"/>
  <c r="I1093" i="14"/>
  <c r="I1095" i="14"/>
  <c r="I1098" i="14"/>
  <c r="I1097" i="14" s="1"/>
  <c r="I1100" i="14"/>
  <c r="I1104" i="14"/>
  <c r="I1103" i="14" s="1"/>
  <c r="I1106" i="14"/>
  <c r="I1110" i="14"/>
  <c r="I1109" i="14" s="1"/>
  <c r="I1108" i="14" s="1"/>
  <c r="I1107" i="14" s="1"/>
  <c r="I1115" i="14"/>
  <c r="I1125" i="14"/>
  <c r="I1124" i="14" s="1"/>
  <c r="I1127" i="14"/>
  <c r="I1126" i="14" s="1"/>
  <c r="I1129" i="14"/>
  <c r="I1128" i="14" s="1"/>
  <c r="I1131" i="14"/>
  <c r="I1133" i="14"/>
  <c r="I1135" i="14"/>
  <c r="I1134" i="14" s="1"/>
  <c r="I1137" i="14"/>
  <c r="I1139" i="14"/>
  <c r="I1141" i="14"/>
  <c r="I1145" i="14"/>
  <c r="I1147" i="14"/>
  <c r="I1146" i="14" s="1"/>
  <c r="I1149" i="14"/>
  <c r="I1152" i="14"/>
  <c r="I1151" i="14" s="1"/>
  <c r="I1154" i="14"/>
  <c r="I1153" i="14" s="1"/>
  <c r="I1156" i="14"/>
  <c r="I1158" i="14"/>
  <c r="I1160" i="14"/>
  <c r="I1162" i="14"/>
  <c r="I1166" i="14"/>
  <c r="I1178" i="14"/>
  <c r="I1177" i="14" s="1"/>
  <c r="I1176" i="14" s="1"/>
  <c r="I1181" i="14"/>
  <c r="I1184" i="14"/>
  <c r="I1183" i="14" s="1"/>
  <c r="I1182" i="14" s="1"/>
  <c r="I1188" i="14"/>
  <c r="I1194" i="14"/>
  <c r="I1195" i="14"/>
  <c r="I1196" i="14"/>
  <c r="I1198" i="14"/>
  <c r="I1199" i="14"/>
  <c r="I1200" i="14"/>
  <c r="I1202" i="14"/>
  <c r="I1210" i="14"/>
  <c r="I1215" i="14"/>
  <c r="I1219" i="14"/>
  <c r="I1223" i="14"/>
  <c r="I1227" i="14"/>
  <c r="I1226" i="14" s="1"/>
  <c r="I1225" i="14" s="1"/>
  <c r="I1224" i="14" s="1"/>
  <c r="I1233" i="14"/>
  <c r="I1238" i="14"/>
  <c r="I1239" i="14"/>
  <c r="I1240" i="14"/>
  <c r="I1241" i="14"/>
  <c r="I1243" i="14"/>
  <c r="I1242" i="14" s="1"/>
  <c r="I1245" i="14"/>
  <c r="I1246" i="14"/>
  <c r="I1251" i="14"/>
  <c r="I1255" i="14"/>
  <c r="K37" i="1"/>
  <c r="I180" i="14" l="1"/>
  <c r="I12" i="14"/>
  <c r="I11" i="14" s="1"/>
  <c r="I175" i="14"/>
  <c r="I330" i="14"/>
  <c r="I327" i="14" s="1"/>
  <c r="I900" i="14"/>
  <c r="I873" i="14"/>
  <c r="I139" i="14"/>
  <c r="I138" i="14" s="1"/>
  <c r="I121" i="14"/>
  <c r="I115" i="14"/>
  <c r="I858" i="14"/>
  <c r="I699" i="14"/>
  <c r="I261" i="14"/>
  <c r="I260" i="14" s="1"/>
  <c r="I876" i="14"/>
  <c r="I1193" i="14"/>
  <c r="I966" i="14"/>
  <c r="I855" i="14"/>
  <c r="I748" i="14"/>
  <c r="I747" i="14" s="1"/>
  <c r="I746" i="14" s="1"/>
  <c r="I722" i="14"/>
  <c r="I716" i="14"/>
  <c r="I693" i="14"/>
  <c r="I688" i="14"/>
  <c r="I663" i="14"/>
  <c r="I26" i="14"/>
  <c r="I959" i="14"/>
  <c r="I270" i="14"/>
  <c r="I124" i="14"/>
  <c r="I1237" i="14"/>
  <c r="I1197" i="14"/>
  <c r="I793" i="14"/>
  <c r="I792" i="14" s="1"/>
  <c r="I273" i="14"/>
  <c r="I735" i="14"/>
  <c r="I734" i="14"/>
  <c r="I493" i="14"/>
  <c r="I492" i="14" s="1"/>
  <c r="I499" i="14"/>
  <c r="I498" i="14" s="1"/>
  <c r="I50" i="14"/>
  <c r="I730" i="14"/>
  <c r="I687" i="14"/>
  <c r="I999" i="14"/>
  <c r="I938" i="14"/>
  <c r="I870" i="14"/>
  <c r="I539" i="14"/>
  <c r="I158" i="14"/>
  <c r="I1244" i="14"/>
  <c r="I19" i="14"/>
  <c r="I787" i="14"/>
  <c r="I784" i="14"/>
  <c r="I836" i="14"/>
  <c r="I879" i="14"/>
  <c r="I863" i="14"/>
  <c r="I92" i="14"/>
  <c r="A179" i="14"/>
  <c r="H406" i="14"/>
  <c r="A407" i="14"/>
  <c r="H1140" i="14"/>
  <c r="I1140" i="14"/>
  <c r="A1140" i="14"/>
  <c r="A1141" i="14"/>
  <c r="H632" i="14"/>
  <c r="H589" i="14"/>
  <c r="I589" i="14"/>
  <c r="A589" i="14"/>
  <c r="A590" i="14"/>
  <c r="A587" i="14"/>
  <c r="A588" i="14"/>
  <c r="H587" i="14"/>
  <c r="I587" i="14"/>
  <c r="H577" i="14"/>
  <c r="I577" i="14"/>
  <c r="A577" i="14"/>
  <c r="A578" i="14"/>
  <c r="A547" i="14"/>
  <c r="A548" i="14"/>
  <c r="A549" i="14"/>
  <c r="A531" i="14"/>
  <c r="H487" i="14"/>
  <c r="A489" i="14"/>
  <c r="A325" i="14"/>
  <c r="A326" i="14"/>
  <c r="A133" i="14"/>
  <c r="A134" i="14"/>
  <c r="H133" i="14"/>
  <c r="I133" i="14"/>
  <c r="I18" i="14" l="1"/>
  <c r="I958" i="14"/>
  <c r="I957" i="14" s="1"/>
  <c r="I956" i="14" s="1"/>
  <c r="I269" i="14"/>
  <c r="I1236" i="14"/>
  <c r="I1235" i="14" s="1"/>
  <c r="I547" i="14"/>
  <c r="I320" i="14"/>
  <c r="I17" i="14" l="1"/>
  <c r="H1250" i="14"/>
  <c r="H1249" i="14" s="1"/>
  <c r="H1248" i="14" s="1"/>
  <c r="H1247" i="14" s="1"/>
  <c r="I1250" i="14"/>
  <c r="I1249" i="14" s="1"/>
  <c r="I1248" i="14" s="1"/>
  <c r="I1247" i="14" s="1"/>
  <c r="A1247" i="14"/>
  <c r="A1248" i="14"/>
  <c r="A1249" i="14"/>
  <c r="A1250" i="14"/>
  <c r="A1251" i="14"/>
  <c r="D24" i="16"/>
  <c r="H887" i="14"/>
  <c r="A888" i="14"/>
  <c r="H96" i="14" l="1"/>
  <c r="B19" i="56" l="1"/>
  <c r="B24" i="56" s="1"/>
  <c r="C19" i="56"/>
  <c r="D9" i="56"/>
  <c r="B180" i="16" l="1"/>
  <c r="B179" i="16"/>
  <c r="H294" i="14"/>
  <c r="H293" i="14" s="1"/>
  <c r="E179" i="16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E180" i="16" l="1"/>
  <c r="I294" i="14"/>
  <c r="I293" i="14" s="1"/>
  <c r="F179" i="16" s="1"/>
  <c r="D180" i="16"/>
  <c r="D179" i="16"/>
  <c r="F180" i="16" l="1"/>
  <c r="D16" i="56"/>
  <c r="C9" i="56" l="1"/>
  <c r="N50" i="2" l="1"/>
  <c r="N61" i="2"/>
  <c r="K61" i="2"/>
  <c r="N40" i="2" l="1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130" i="14" l="1"/>
  <c r="I1130" i="14"/>
  <c r="A1130" i="14"/>
  <c r="A1131" i="14"/>
  <c r="H658" i="14"/>
  <c r="A659" i="14"/>
  <c r="H405" i="14"/>
  <c r="A405" i="14"/>
  <c r="A406" i="14"/>
  <c r="A408" i="14"/>
  <c r="H437" i="14"/>
  <c r="H436" i="14" s="1"/>
  <c r="H435" i="14" s="1"/>
  <c r="I437" i="14"/>
  <c r="I436" i="14" s="1"/>
  <c r="I435" i="14" s="1"/>
  <c r="A435" i="14"/>
  <c r="A436" i="14"/>
  <c r="A437" i="14"/>
  <c r="A438" i="14"/>
  <c r="H984" i="14"/>
  <c r="H983" i="14" s="1"/>
  <c r="I406" i="14" l="1"/>
  <c r="I405" i="14" s="1"/>
  <c r="A987" i="14"/>
  <c r="I487" i="14"/>
  <c r="A487" i="14"/>
  <c r="A488" i="14"/>
  <c r="A99" i="14"/>
  <c r="K171" i="15" l="1"/>
  <c r="N107" i="2" l="1"/>
  <c r="N106" i="2" s="1"/>
  <c r="N47" i="2" s="1"/>
  <c r="N46" i="2" s="1"/>
  <c r="N126" i="2" s="1"/>
  <c r="K107" i="2"/>
  <c r="K106" i="2" s="1"/>
  <c r="K138" i="1"/>
  <c r="K116" i="1" s="1"/>
  <c r="L143" i="1"/>
  <c r="L122" i="1"/>
  <c r="L120" i="1"/>
  <c r="K76" i="1"/>
  <c r="L76" i="1" s="1"/>
  <c r="K57" i="1"/>
  <c r="K33" i="1"/>
  <c r="L53" i="1"/>
  <c r="L34" i="1"/>
  <c r="L33" i="1" s="1"/>
  <c r="K48" i="1" l="1"/>
  <c r="L138" i="1"/>
  <c r="L116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62" i="14"/>
  <c r="A362" i="14"/>
  <c r="A363" i="14"/>
  <c r="K126" i="2" l="1"/>
  <c r="D19" i="6" s="1"/>
  <c r="I362" i="14"/>
  <c r="A342" i="14"/>
  <c r="A343" i="14"/>
  <c r="A338" i="14"/>
  <c r="A339" i="14"/>
  <c r="H338" i="14"/>
  <c r="I338" i="14"/>
  <c r="I342" i="14"/>
  <c r="H342" i="14"/>
  <c r="A331" i="14"/>
  <c r="A332" i="14"/>
  <c r="A328" i="14"/>
  <c r="A329" i="14"/>
  <c r="A330" i="14"/>
  <c r="H328" i="14"/>
  <c r="A210" i="14" l="1"/>
  <c r="A213" i="14"/>
  <c r="A214" i="14"/>
  <c r="A215" i="14"/>
  <c r="A216" i="14"/>
  <c r="A217" i="14"/>
  <c r="A218" i="14"/>
  <c r="H213" i="14"/>
  <c r="H215" i="14"/>
  <c r="H217" i="14"/>
  <c r="I213" i="14"/>
  <c r="I215" i="14"/>
  <c r="I217" i="14"/>
  <c r="H210" i="14" l="1"/>
  <c r="E175" i="16" s="1"/>
  <c r="I210" i="14"/>
  <c r="F175" i="16" s="1"/>
  <c r="H164" i="14"/>
  <c r="L61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63" i="14" l="1"/>
  <c r="H1062" i="14" s="1"/>
  <c r="I1063" i="14"/>
  <c r="I1062" i="14" s="1"/>
  <c r="A1062" i="14"/>
  <c r="A1063" i="14"/>
  <c r="A1064" i="14"/>
  <c r="H907" i="14" l="1"/>
  <c r="I907" i="14"/>
  <c r="A907" i="14"/>
  <c r="A908" i="14"/>
  <c r="I410" i="14" l="1"/>
  <c r="I409" i="14" s="1"/>
  <c r="A402" i="14"/>
  <c r="A403" i="14"/>
  <c r="A404" i="14"/>
  <c r="A409" i="14"/>
  <c r="A410" i="14"/>
  <c r="A411" i="14"/>
  <c r="I404" i="14" l="1"/>
  <c r="I403" i="14" s="1"/>
  <c r="I402" i="14" s="1"/>
  <c r="H410" i="14"/>
  <c r="H409" i="14" s="1"/>
  <c r="H404" i="14" s="1"/>
  <c r="H403" i="14" l="1"/>
  <c r="H402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50" i="14" l="1"/>
  <c r="H748" i="14"/>
  <c r="H128" i="14"/>
  <c r="H127" i="14" s="1"/>
  <c r="E188" i="16" s="1"/>
  <c r="D188" i="16"/>
  <c r="I128" i="14"/>
  <c r="I127" i="14" s="1"/>
  <c r="F188" i="16" s="1"/>
  <c r="A127" i="14"/>
  <c r="A128" i="14"/>
  <c r="A129" i="14"/>
  <c r="B188" i="16"/>
  <c r="A118" i="14"/>
  <c r="A119" i="14"/>
  <c r="A120" i="14"/>
  <c r="A49" i="14"/>
  <c r="H47" i="14"/>
  <c r="I118" i="14" l="1"/>
  <c r="H118" i="14"/>
  <c r="H336" i="14"/>
  <c r="H340" i="14"/>
  <c r="I340" i="14"/>
  <c r="I335" i="14" s="1"/>
  <c r="I319" i="14" s="1"/>
  <c r="H335" i="14" l="1"/>
  <c r="L111" i="1"/>
  <c r="F142" i="16" l="1"/>
  <c r="E142" i="16"/>
  <c r="L110" i="1" l="1"/>
  <c r="H256" i="14" l="1"/>
  <c r="H253" i="14" s="1"/>
  <c r="I256" i="14"/>
  <c r="A253" i="14"/>
  <c r="A256" i="14"/>
  <c r="A257" i="14"/>
  <c r="A335" i="14"/>
  <c r="A336" i="14"/>
  <c r="A337" i="14"/>
  <c r="A340" i="14"/>
  <c r="A341" i="14"/>
  <c r="H224" i="14"/>
  <c r="I224" i="14"/>
  <c r="I219" i="14" s="1"/>
  <c r="I174" i="14" s="1"/>
  <c r="A224" i="14"/>
  <c r="A225" i="14"/>
  <c r="I253" i="14" l="1"/>
  <c r="I248" i="14" s="1"/>
  <c r="C76" i="3"/>
  <c r="B114" i="16" l="1"/>
  <c r="H461" i="14"/>
  <c r="H460" i="14" s="1"/>
  <c r="A460" i="14"/>
  <c r="A461" i="14"/>
  <c r="A462" i="14"/>
  <c r="I461" i="14"/>
  <c r="I460" i="14" s="1"/>
  <c r="I456" i="14" s="1"/>
  <c r="I997" i="14"/>
  <c r="I996" i="14" s="1"/>
  <c r="I992" i="14" s="1"/>
  <c r="H46" i="14"/>
  <c r="D114" i="16"/>
  <c r="A46" i="14"/>
  <c r="A47" i="14"/>
  <c r="A48" i="14"/>
  <c r="A996" i="14"/>
  <c r="A997" i="14"/>
  <c r="A998" i="14"/>
  <c r="D75" i="3"/>
  <c r="A1252" i="14"/>
  <c r="A1253" i="14"/>
  <c r="A1254" i="14"/>
  <c r="A1255" i="14"/>
  <c r="H1254" i="14"/>
  <c r="H1253" i="14" s="1"/>
  <c r="H1252" i="14" s="1"/>
  <c r="I1254" i="14"/>
  <c r="I1253" i="14" s="1"/>
  <c r="I1252" i="14" s="1"/>
  <c r="I1234" i="14" s="1"/>
  <c r="I1148" i="14"/>
  <c r="H1148" i="14"/>
  <c r="A1148" i="14"/>
  <c r="A1149" i="14"/>
  <c r="A1042" i="14"/>
  <c r="A1043" i="14"/>
  <c r="H1042" i="14"/>
  <c r="I1042" i="14"/>
  <c r="A903" i="14"/>
  <c r="A904" i="14"/>
  <c r="I903" i="14"/>
  <c r="I897" i="14" s="1"/>
  <c r="H903" i="14"/>
  <c r="A593" i="14"/>
  <c r="A594" i="14"/>
  <c r="I593" i="14"/>
  <c r="I113" i="14"/>
  <c r="H113" i="14"/>
  <c r="A113" i="14"/>
  <c r="A114" i="14"/>
  <c r="I47" i="14" l="1"/>
  <c r="I46" i="14" s="1"/>
  <c r="I42" i="14" s="1"/>
  <c r="H997" i="14"/>
  <c r="H996" i="14" s="1"/>
  <c r="H161" i="14" l="1"/>
  <c r="L142" i="1" l="1"/>
  <c r="L109" i="1" l="1"/>
  <c r="L104" i="1"/>
  <c r="L103" i="1"/>
  <c r="L69" i="1"/>
  <c r="L68" i="1"/>
  <c r="L66" i="1"/>
  <c r="L65" i="1"/>
  <c r="L60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808" i="14"/>
  <c r="A809" i="14"/>
  <c r="H808" i="14"/>
  <c r="H430" i="14"/>
  <c r="H432" i="14"/>
  <c r="I430" i="14"/>
  <c r="I432" i="14"/>
  <c r="A430" i="14"/>
  <c r="A431" i="14"/>
  <c r="A432" i="14"/>
  <c r="A433" i="14"/>
  <c r="H428" i="14"/>
  <c r="I428" i="14"/>
  <c r="A428" i="14"/>
  <c r="A429" i="14"/>
  <c r="A1159" i="14"/>
  <c r="A1160" i="14"/>
  <c r="H1159" i="14"/>
  <c r="I1159" i="14"/>
  <c r="A1136" i="14"/>
  <c r="A1137" i="14"/>
  <c r="H1136" i="14"/>
  <c r="I1136" i="14"/>
  <c r="H1074" i="14"/>
  <c r="H1073" i="14" s="1"/>
  <c r="A1073" i="14"/>
  <c r="A1074" i="14"/>
  <c r="A1075" i="14"/>
  <c r="A1067" i="14"/>
  <c r="A1068" i="14"/>
  <c r="A1069" i="14"/>
  <c r="H1068" i="14"/>
  <c r="H1067" i="14" s="1"/>
  <c r="I1044" i="14"/>
  <c r="H1044" i="14"/>
  <c r="H1041" i="14" s="1"/>
  <c r="A1038" i="14"/>
  <c r="A1039" i="14"/>
  <c r="A1040" i="14"/>
  <c r="A1041" i="14"/>
  <c r="A1044" i="14"/>
  <c r="A1045" i="14"/>
  <c r="A953" i="14"/>
  <c r="A954" i="14"/>
  <c r="I953" i="14"/>
  <c r="H953" i="14"/>
  <c r="A620" i="14"/>
  <c r="I1041" i="14" l="1"/>
  <c r="I1040" i="14" s="1"/>
  <c r="I1039" i="14" s="1"/>
  <c r="I1038" i="14" s="1"/>
  <c r="H1040" i="14"/>
  <c r="H1039" i="14" s="1"/>
  <c r="H1038" i="14" s="1"/>
  <c r="I1067" i="14"/>
  <c r="I1068" i="14"/>
  <c r="H619" i="14"/>
  <c r="I596" i="14"/>
  <c r="H596" i="14"/>
  <c r="D38" i="16"/>
  <c r="A595" i="14"/>
  <c r="A596" i="14"/>
  <c r="A597" i="14"/>
  <c r="H553" i="14"/>
  <c r="A555" i="14"/>
  <c r="I515" i="14"/>
  <c r="I514" i="14" s="1"/>
  <c r="I513" i="14" s="1"/>
  <c r="I512" i="14" s="1"/>
  <c r="I511" i="14" s="1"/>
  <c r="H515" i="14"/>
  <c r="H514" i="14" s="1"/>
  <c r="H513" i="14" s="1"/>
  <c r="H512" i="14" s="1"/>
  <c r="H511" i="14" s="1"/>
  <c r="A511" i="14"/>
  <c r="A512" i="14"/>
  <c r="A513" i="14"/>
  <c r="A514" i="14"/>
  <c r="A515" i="14"/>
  <c r="A516" i="14"/>
  <c r="I595" i="14" l="1"/>
  <c r="F38" i="16" s="1"/>
  <c r="H595" i="14"/>
  <c r="E38" i="16" s="1"/>
  <c r="E47" i="3"/>
  <c r="D47" i="3"/>
  <c r="H385" i="14" l="1"/>
  <c r="D178" i="16"/>
  <c r="B178" i="16"/>
  <c r="D177" i="16"/>
  <c r="B177" i="16"/>
  <c r="A327" i="14"/>
  <c r="H273" i="14"/>
  <c r="A274" i="14"/>
  <c r="L121" i="1"/>
  <c r="L75" i="1" l="1"/>
  <c r="D106" i="16" l="1"/>
  <c r="B106" i="16"/>
  <c r="D105" i="16"/>
  <c r="B105" i="16"/>
  <c r="A236" i="14"/>
  <c r="A237" i="14"/>
  <c r="H236" i="14"/>
  <c r="I236" i="14"/>
  <c r="H304" i="14"/>
  <c r="I291" i="14"/>
  <c r="H291" i="14"/>
  <c r="H289" i="14"/>
  <c r="I289" i="14" s="1"/>
  <c r="I172" i="14"/>
  <c r="I171" i="14" s="1"/>
  <c r="I167" i="14" s="1"/>
  <c r="I166" i="14" s="1"/>
  <c r="H288" i="14" l="1"/>
  <c r="I288" i="14" s="1"/>
  <c r="F106" i="16" s="1"/>
  <c r="E106" i="16" l="1"/>
  <c r="H287" i="14"/>
  <c r="H286" i="14" s="1"/>
  <c r="I286" i="14" s="1"/>
  <c r="E105" i="16" l="1"/>
  <c r="I287" i="14"/>
  <c r="F105" i="16" s="1"/>
  <c r="L275" i="15"/>
  <c r="I275" i="15"/>
  <c r="I385" i="14"/>
  <c r="I387" i="14"/>
  <c r="I304" i="14"/>
  <c r="D16" i="16"/>
  <c r="I381" i="14" l="1"/>
  <c r="I380" i="14" s="1"/>
  <c r="I379" i="14" s="1"/>
  <c r="D39" i="16"/>
  <c r="H601" i="14"/>
  <c r="H600" i="14" s="1"/>
  <c r="I601" i="14"/>
  <c r="I600" i="14" s="1"/>
  <c r="F39" i="16" s="1"/>
  <c r="L131" i="1"/>
  <c r="A423" i="14"/>
  <c r="A424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20" i="14"/>
  <c r="A220" i="14"/>
  <c r="A221" i="14"/>
  <c r="A195" i="14"/>
  <c r="H92" i="14"/>
  <c r="A94" i="14"/>
  <c r="A95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46" i="14"/>
  <c r="I345" i="14" s="1"/>
  <c r="I350" i="14"/>
  <c r="I349" i="14" s="1"/>
  <c r="L106" i="2"/>
  <c r="L139" i="1"/>
  <c r="L141" i="1"/>
  <c r="L148" i="1"/>
  <c r="L118" i="1"/>
  <c r="L119" i="1"/>
  <c r="O47" i="2" l="1"/>
  <c r="O106" i="2"/>
  <c r="L47" i="2"/>
  <c r="I348" i="14"/>
  <c r="F145" i="16" s="1"/>
  <c r="F146" i="16"/>
  <c r="I344" i="14"/>
  <c r="F144" i="16"/>
  <c r="B16" i="16"/>
  <c r="F143" i="16" l="1"/>
  <c r="I314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87" i="14" l="1"/>
  <c r="A385" i="14"/>
  <c r="A386" i="14"/>
  <c r="A387" i="14"/>
  <c r="A388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26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600" i="14" l="1"/>
  <c r="A601" i="14"/>
  <c r="A602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49" i="14"/>
  <c r="A345" i="14"/>
  <c r="B143" i="16"/>
  <c r="B144" i="16"/>
  <c r="B145" i="16"/>
  <c r="B146" i="16"/>
  <c r="H346" i="14"/>
  <c r="A346" i="14"/>
  <c r="A347" i="14"/>
  <c r="H350" i="14"/>
  <c r="H349" i="14" s="1"/>
  <c r="A350" i="14"/>
  <c r="A351" i="14"/>
  <c r="A348" i="14"/>
  <c r="A344" i="14"/>
  <c r="H262" i="14"/>
  <c r="A304" i="14"/>
  <c r="A305" i="14"/>
  <c r="I221" i="15" l="1"/>
  <c r="I220" i="15" s="1"/>
  <c r="L221" i="15"/>
  <c r="L220" i="15" s="1"/>
  <c r="I23" i="21"/>
  <c r="D23" i="21"/>
  <c r="H348" i="14"/>
  <c r="E145" i="16" s="1"/>
  <c r="E146" i="16"/>
  <c r="H345" i="14"/>
  <c r="A167" i="14"/>
  <c r="A168" i="14"/>
  <c r="A169" i="14"/>
  <c r="A170" i="14"/>
  <c r="A171" i="14"/>
  <c r="A172" i="14"/>
  <c r="A173" i="14"/>
  <c r="H172" i="14"/>
  <c r="H171" i="14" s="1"/>
  <c r="H169" i="14"/>
  <c r="H168" i="14" s="1"/>
  <c r="A227" i="14"/>
  <c r="A183" i="14"/>
  <c r="A223" i="14"/>
  <c r="H219" i="14" l="1"/>
  <c r="H344" i="14"/>
  <c r="E143" i="16" s="1"/>
  <c r="E144" i="16"/>
  <c r="H167" i="14"/>
  <c r="F176" i="16" l="1"/>
  <c r="E176" i="16"/>
  <c r="H885" i="14" l="1"/>
  <c r="H234" i="14"/>
  <c r="H129" i="15" l="1"/>
  <c r="H159" i="14" l="1"/>
  <c r="H264" i="14"/>
  <c r="A263" i="14" l="1"/>
  <c r="H519" i="15" l="1"/>
  <c r="D71" i="16" l="1"/>
  <c r="B71" i="16"/>
  <c r="K147" i="1"/>
  <c r="K47" i="1" l="1"/>
  <c r="L147" i="1"/>
  <c r="B76" i="16"/>
  <c r="H298" i="14"/>
  <c r="I298" i="14"/>
  <c r="I297" i="14" s="1"/>
  <c r="A298" i="14"/>
  <c r="A299" i="14"/>
  <c r="H141" i="15" l="1"/>
  <c r="H138" i="15" s="1"/>
  <c r="E163" i="21" s="1"/>
  <c r="G163" i="21"/>
  <c r="D163" i="21" l="1"/>
  <c r="H284" i="14"/>
  <c r="H283" i="14" s="1"/>
  <c r="E77" i="16" s="1"/>
  <c r="I284" i="14"/>
  <c r="I283" i="14" s="1"/>
  <c r="F77" i="16" s="1"/>
  <c r="A474" i="14"/>
  <c r="A475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77" i="14"/>
  <c r="H276" i="14" s="1"/>
  <c r="E71" i="16" s="1"/>
  <c r="I277" i="14"/>
  <c r="I276" i="14" s="1"/>
  <c r="H242" i="14"/>
  <c r="H246" i="14"/>
  <c r="I246" i="14"/>
  <c r="H244" i="14"/>
  <c r="I244" i="14"/>
  <c r="A238" i="14"/>
  <c r="A239" i="14"/>
  <c r="H238" i="14"/>
  <c r="H233" i="14" s="1"/>
  <c r="I238" i="14"/>
  <c r="I233" i="14" s="1"/>
  <c r="D94" i="16"/>
  <c r="A219" i="14"/>
  <c r="A222" i="14"/>
  <c r="I232" i="14" l="1"/>
  <c r="F184" i="16" s="1"/>
  <c r="F185" i="16"/>
  <c r="F71" i="16"/>
  <c r="I268" i="14"/>
  <c r="I279" i="14"/>
  <c r="L141" i="15"/>
  <c r="L138" i="15" s="1"/>
  <c r="I163" i="21" s="1"/>
  <c r="H241" i="14"/>
  <c r="H240" i="14" s="1"/>
  <c r="H151" i="15"/>
  <c r="H150" i="15" s="1"/>
  <c r="H149" i="15" s="1"/>
  <c r="I151" i="15"/>
  <c r="I150" i="15" s="1"/>
  <c r="I149" i="15" s="1"/>
  <c r="E94" i="16"/>
  <c r="F94" i="16"/>
  <c r="I259" i="14" l="1"/>
  <c r="I258" i="14" s="1"/>
  <c r="I111" i="14"/>
  <c r="H111" i="14"/>
  <c r="A111" i="14"/>
  <c r="A112" i="14"/>
  <c r="A812" i="14"/>
  <c r="A813" i="14"/>
  <c r="H812" i="14"/>
  <c r="I812" i="14"/>
  <c r="A83" i="14" l="1"/>
  <c r="A84" i="14"/>
  <c r="H83" i="14"/>
  <c r="I83" i="14"/>
  <c r="I80" i="14" s="1"/>
  <c r="I79" i="14" s="1"/>
  <c r="H52" i="14"/>
  <c r="A60" i="14"/>
  <c r="H59" i="14"/>
  <c r="H471" i="14"/>
  <c r="H51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81" i="14"/>
  <c r="A1228" i="14" l="1"/>
  <c r="A1229" i="14"/>
  <c r="A1230" i="14"/>
  <c r="A1231" i="14"/>
  <c r="A1232" i="14"/>
  <c r="A1233" i="14"/>
  <c r="H1232" i="14"/>
  <c r="H1231" i="14" s="1"/>
  <c r="H1230" i="14" s="1"/>
  <c r="H1229" i="14" s="1"/>
  <c r="H1228" i="14" s="1"/>
  <c r="I1232" i="14"/>
  <c r="I1231" i="14" s="1"/>
  <c r="I1230" i="14" s="1"/>
  <c r="I1229" i="14" s="1"/>
  <c r="I1228" i="14" s="1"/>
  <c r="A1161" i="14"/>
  <c r="A1162" i="14"/>
  <c r="H1161" i="14"/>
  <c r="I1161" i="14"/>
  <c r="A1144" i="14"/>
  <c r="A1145" i="14"/>
  <c r="H1144" i="14"/>
  <c r="I1144" i="14"/>
  <c r="A1105" i="14"/>
  <c r="A1106" i="14"/>
  <c r="H1105" i="14"/>
  <c r="I1105" i="14"/>
  <c r="I1102" i="14" s="1"/>
  <c r="I1101" i="14" s="1"/>
  <c r="I1094" i="14"/>
  <c r="H1094" i="14"/>
  <c r="H1090" i="14"/>
  <c r="I1090" i="14"/>
  <c r="I914" i="14"/>
  <c r="H914" i="14"/>
  <c r="A914" i="14"/>
  <c r="A915" i="14"/>
  <c r="A814" i="14"/>
  <c r="A815" i="14"/>
  <c r="H814" i="14"/>
  <c r="I814" i="14"/>
  <c r="I807" i="14" s="1"/>
  <c r="H677" i="14"/>
  <c r="I677" i="14"/>
  <c r="A646" i="14"/>
  <c r="A647" i="14"/>
  <c r="A648" i="14"/>
  <c r="A649" i="14"/>
  <c r="A650" i="14"/>
  <c r="H649" i="14"/>
  <c r="H648" i="14" s="1"/>
  <c r="H647" i="14" s="1"/>
  <c r="H646" i="14" s="1"/>
  <c r="I649" i="14"/>
  <c r="I648" i="14" s="1"/>
  <c r="I647" i="14" s="1"/>
  <c r="I646" i="14" s="1"/>
  <c r="A630" i="14"/>
  <c r="A631" i="14"/>
  <c r="H630" i="14"/>
  <c r="I630" i="14"/>
  <c r="H591" i="14"/>
  <c r="I591" i="14"/>
  <c r="I570" i="14" s="1"/>
  <c r="A591" i="14"/>
  <c r="A592" i="14"/>
  <c r="I542" i="14"/>
  <c r="A542" i="14"/>
  <c r="A543" i="14"/>
  <c r="A434" i="14"/>
  <c r="A443" i="14"/>
  <c r="A444" i="14"/>
  <c r="A445" i="14"/>
  <c r="H444" i="14"/>
  <c r="I444" i="14"/>
  <c r="I443" i="14" l="1"/>
  <c r="I434" i="14" s="1"/>
  <c r="H443" i="14"/>
  <c r="H434" i="14" s="1"/>
  <c r="I569" i="14"/>
  <c r="G159" i="21"/>
  <c r="H542" i="14"/>
  <c r="A65" i="14"/>
  <c r="A66" i="14"/>
  <c r="H65" i="14"/>
  <c r="H58" i="14" s="1"/>
  <c r="I65" i="14"/>
  <c r="K41" i="1" l="1"/>
  <c r="L62" i="1"/>
  <c r="A412" i="14" l="1"/>
  <c r="A418" i="14"/>
  <c r="A419" i="14"/>
  <c r="A420" i="14"/>
  <c r="H109" i="14"/>
  <c r="A109" i="14"/>
  <c r="A110" i="14"/>
  <c r="B44" i="16"/>
  <c r="I109" i="14" l="1"/>
  <c r="D23" i="56"/>
  <c r="D21" i="56"/>
  <c r="D20" i="56"/>
  <c r="A1179" i="14"/>
  <c r="A1180" i="14"/>
  <c r="A1181" i="14"/>
  <c r="H1180" i="14"/>
  <c r="H1179" i="14" s="1"/>
  <c r="I1180" i="14"/>
  <c r="I1179" i="14" s="1"/>
  <c r="I1175" i="14" s="1"/>
  <c r="I1174" i="14" s="1"/>
  <c r="D19" i="56" l="1"/>
  <c r="B58" i="16"/>
  <c r="I1138" i="14" l="1"/>
  <c r="A1138" i="14"/>
  <c r="A1139" i="14"/>
  <c r="A1165" i="14" l="1"/>
  <c r="A1166" i="14"/>
  <c r="I1165" i="14"/>
  <c r="A1155" i="14"/>
  <c r="A1156" i="14"/>
  <c r="H1155" i="14"/>
  <c r="I1155" i="14"/>
  <c r="A1132" i="14"/>
  <c r="A1133" i="14"/>
  <c r="H1132" i="14"/>
  <c r="I1132" i="14"/>
  <c r="I1123" i="14" s="1"/>
  <c r="I1022" i="14"/>
  <c r="I1021" i="14" s="1"/>
  <c r="H1022" i="14"/>
  <c r="H1021" i="14" s="1"/>
  <c r="I1019" i="14"/>
  <c r="I1018" i="14" s="1"/>
  <c r="I1017" i="14" s="1"/>
  <c r="H1019" i="14"/>
  <c r="H1018" i="14" s="1"/>
  <c r="H1017" i="14" s="1"/>
  <c r="A1016" i="14"/>
  <c r="A1017" i="14"/>
  <c r="A1018" i="14"/>
  <c r="A1019" i="14"/>
  <c r="A1020" i="14"/>
  <c r="A1021" i="14"/>
  <c r="A1022" i="14"/>
  <c r="A1023" i="14"/>
  <c r="A702" i="14"/>
  <c r="A703" i="14"/>
  <c r="A708" i="14"/>
  <c r="A709" i="14"/>
  <c r="H708" i="14"/>
  <c r="H702" i="14"/>
  <c r="I702" i="14"/>
  <c r="I708" i="14"/>
  <c r="A632" i="14"/>
  <c r="A633" i="14"/>
  <c r="I632" i="14"/>
  <c r="A628" i="14"/>
  <c r="A629" i="14"/>
  <c r="H628" i="14"/>
  <c r="A544" i="14"/>
  <c r="A545" i="14"/>
  <c r="A527" i="14"/>
  <c r="A528" i="14"/>
  <c r="H135" i="14"/>
  <c r="A135" i="14"/>
  <c r="A136" i="14"/>
  <c r="I135" i="14"/>
  <c r="I698" i="14" l="1"/>
  <c r="H1016" i="14"/>
  <c r="I1016" i="14"/>
  <c r="I628" i="14"/>
  <c r="A361" i="14" l="1"/>
  <c r="A364" i="14"/>
  <c r="A365" i="14"/>
  <c r="H364" i="14"/>
  <c r="H361" i="14" s="1"/>
  <c r="I364" i="14"/>
  <c r="I361" i="14" s="1"/>
  <c r="I352" i="14" s="1"/>
  <c r="I313" i="14" s="1"/>
  <c r="A502" i="14"/>
  <c r="A503" i="14"/>
  <c r="H502" i="14"/>
  <c r="B169" i="16"/>
  <c r="B170" i="16"/>
  <c r="B171" i="16"/>
  <c r="I242" i="14"/>
  <c r="I241" i="14" s="1"/>
  <c r="I240" i="14" s="1"/>
  <c r="I231" i="14" s="1"/>
  <c r="E171" i="16" l="1"/>
  <c r="F169" i="16"/>
  <c r="F170" i="16"/>
  <c r="D169" i="16"/>
  <c r="D170" i="16"/>
  <c r="E169" i="16"/>
  <c r="E170" i="16"/>
  <c r="H713" i="14" l="1"/>
  <c r="H1007" i="14"/>
  <c r="H102" i="14"/>
  <c r="D72" i="16" l="1"/>
  <c r="D73" i="16"/>
  <c r="B160" i="16" l="1"/>
  <c r="D134" i="16"/>
  <c r="B134" i="16"/>
  <c r="I658" i="14"/>
  <c r="A656" i="14"/>
  <c r="A657" i="14"/>
  <c r="A658" i="14"/>
  <c r="A660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6" i="56"/>
  <c r="I65" i="15" l="1"/>
  <c r="I64" i="15" s="1"/>
  <c r="I63" i="15" s="1"/>
  <c r="I62" i="15" s="1"/>
  <c r="L506" i="15"/>
  <c r="I506" i="15"/>
  <c r="L64" i="15"/>
  <c r="L63" i="15" s="1"/>
  <c r="L62" i="15" s="1"/>
  <c r="I1157" i="14" l="1"/>
  <c r="H1157" i="14"/>
  <c r="A1157" i="14"/>
  <c r="A1158" i="14"/>
  <c r="A1113" i="14"/>
  <c r="I1036" i="14"/>
  <c r="I1035" i="14" s="1"/>
  <c r="I1034" i="14" s="1"/>
  <c r="I1033" i="14" s="1"/>
  <c r="E45" i="3" s="1"/>
  <c r="H1036" i="14"/>
  <c r="H1035" i="14" s="1"/>
  <c r="H1034" i="14" s="1"/>
  <c r="H1033" i="14" s="1"/>
  <c r="C45" i="3"/>
  <c r="A1036" i="14"/>
  <c r="A1037" i="14"/>
  <c r="A1034" i="14"/>
  <c r="A1035" i="14"/>
  <c r="I1150" i="14" l="1"/>
  <c r="I1122" i="14" s="1"/>
  <c r="I1117" i="14" s="1"/>
  <c r="D45" i="3"/>
  <c r="I951" i="14"/>
  <c r="I946" i="14" s="1"/>
  <c r="H951" i="14"/>
  <c r="A951" i="14"/>
  <c r="A952" i="14"/>
  <c r="A946" i="14"/>
  <c r="A947" i="14"/>
  <c r="H933" i="14"/>
  <c r="A933" i="14"/>
  <c r="A934" i="14"/>
  <c r="A935" i="14"/>
  <c r="A931" i="14"/>
  <c r="A932" i="14"/>
  <c r="H931" i="14"/>
  <c r="I931" i="14"/>
  <c r="A911" i="14"/>
  <c r="H912" i="14"/>
  <c r="H911" i="14" s="1"/>
  <c r="I912" i="14"/>
  <c r="I911" i="14" s="1"/>
  <c r="A848" i="14"/>
  <c r="A849" i="14"/>
  <c r="A850" i="14"/>
  <c r="H849" i="14"/>
  <c r="H848" i="14" s="1"/>
  <c r="E55" i="16" s="1"/>
  <c r="D55" i="16"/>
  <c r="I849" i="14"/>
  <c r="I848" i="14" s="1"/>
  <c r="F55" i="16" s="1"/>
  <c r="B54" i="16"/>
  <c r="B55" i="16"/>
  <c r="H839" i="14"/>
  <c r="A839" i="14"/>
  <c r="A840" i="14"/>
  <c r="A841" i="14"/>
  <c r="F16" i="16" l="1"/>
  <c r="E16" i="16"/>
  <c r="I933" i="14"/>
  <c r="I839" i="14"/>
  <c r="I835" i="14" s="1"/>
  <c r="I131" i="14"/>
  <c r="I130" i="14" s="1"/>
  <c r="H131" i="14"/>
  <c r="H130" i="14" s="1"/>
  <c r="A130" i="14"/>
  <c r="A131" i="14"/>
  <c r="A132" i="14"/>
  <c r="H419" i="14"/>
  <c r="H418" i="14" s="1"/>
  <c r="H412" i="14" s="1"/>
  <c r="I412" i="14" s="1"/>
  <c r="A421" i="14"/>
  <c r="H508" i="14"/>
  <c r="H507" i="14" s="1"/>
  <c r="H506" i="14" s="1"/>
  <c r="A506" i="14"/>
  <c r="A507" i="14"/>
  <c r="A508" i="14"/>
  <c r="A509" i="14"/>
  <c r="I508" i="14"/>
  <c r="I507" i="14" s="1"/>
  <c r="I506" i="14" s="1"/>
  <c r="A485" i="14"/>
  <c r="A486" i="14"/>
  <c r="H485" i="14"/>
  <c r="I485" i="14"/>
  <c r="I834" i="14" l="1"/>
  <c r="I833" i="14"/>
  <c r="I832" i="14" s="1"/>
  <c r="I419" i="14"/>
  <c r="I418" i="14" s="1"/>
  <c r="H797" i="14"/>
  <c r="H796" i="14" s="1"/>
  <c r="I797" i="14"/>
  <c r="I796" i="14" s="1"/>
  <c r="A796" i="14"/>
  <c r="A797" i="14"/>
  <c r="A798" i="14"/>
  <c r="I772" i="14"/>
  <c r="I767" i="14" s="1"/>
  <c r="H772" i="14"/>
  <c r="H768" i="14"/>
  <c r="A772" i="14"/>
  <c r="A773" i="14"/>
  <c r="A767" i="14"/>
  <c r="A768" i="14"/>
  <c r="A769" i="14"/>
  <c r="I626" i="14"/>
  <c r="H626" i="14"/>
  <c r="A626" i="14"/>
  <c r="A627" i="14"/>
  <c r="H539" i="14"/>
  <c r="H19" i="14"/>
  <c r="H1237" i="14"/>
  <c r="A1241" i="14"/>
  <c r="I619" i="14"/>
  <c r="A619" i="14"/>
  <c r="A621" i="14"/>
  <c r="A103" i="14"/>
  <c r="A912" i="14"/>
  <c r="A913" i="14"/>
  <c r="H767" i="14" l="1"/>
  <c r="I618" i="14"/>
  <c r="L52" i="1" l="1"/>
  <c r="D150" i="21"/>
  <c r="E150" i="21"/>
  <c r="F150" i="21"/>
  <c r="G150" i="21"/>
  <c r="H150" i="21"/>
  <c r="I150" i="21"/>
  <c r="D163" i="16"/>
  <c r="E163" i="16"/>
  <c r="F163" i="16"/>
  <c r="D146" i="21" l="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504" i="14" l="1"/>
  <c r="A504" i="14"/>
  <c r="A505" i="14"/>
  <c r="A357" i="14"/>
  <c r="A358" i="14"/>
  <c r="H357" i="14" l="1"/>
  <c r="H356" i="14" s="1"/>
  <c r="A272" i="14" l="1"/>
  <c r="H270" i="14"/>
  <c r="E134" i="16"/>
  <c r="A202" i="14"/>
  <c r="A203" i="14"/>
  <c r="A184" i="14"/>
  <c r="A185" i="14"/>
  <c r="A188" i="14"/>
  <c r="A189" i="14"/>
  <c r="F134" i="16" l="1"/>
  <c r="A22" i="14"/>
  <c r="L130" i="1" l="1"/>
  <c r="L133" i="1"/>
  <c r="L125" i="1"/>
  <c r="A496" i="14"/>
  <c r="A497" i="14"/>
  <c r="H496" i="14"/>
  <c r="H251" i="14"/>
  <c r="A251" i="14"/>
  <c r="A252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52" i="14"/>
  <c r="A353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313" i="14"/>
  <c r="A314" i="14"/>
  <c r="A315" i="14"/>
  <c r="A316" i="14"/>
  <c r="A317" i="14"/>
  <c r="A318" i="14"/>
  <c r="A319" i="14"/>
  <c r="A320" i="14"/>
  <c r="A321" i="14"/>
  <c r="A323" i="14"/>
  <c r="A333" i="14"/>
  <c r="A334" i="14"/>
  <c r="A354" i="14"/>
  <c r="A355" i="14"/>
  <c r="H320" i="14"/>
  <c r="H333" i="14"/>
  <c r="H327" i="14" s="1"/>
  <c r="H354" i="14"/>
  <c r="H353" i="14" s="1"/>
  <c r="H352" i="14" s="1"/>
  <c r="E147" i="21" l="1"/>
  <c r="H206" i="15"/>
  <c r="I206" i="15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19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50" i="14"/>
  <c r="F120" i="21"/>
  <c r="I147" i="21"/>
  <c r="H205" i="15"/>
  <c r="F147" i="21"/>
  <c r="I209" i="15"/>
  <c r="H159" i="15"/>
  <c r="H317" i="14"/>
  <c r="A297" i="14"/>
  <c r="A306" i="14"/>
  <c r="A307" i="14"/>
  <c r="H306" i="14"/>
  <c r="H297" i="14" s="1"/>
  <c r="A273" i="14"/>
  <c r="A275" i="14"/>
  <c r="L107" i="15" l="1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49" i="14"/>
  <c r="H248" i="14" s="1"/>
  <c r="I205" i="15"/>
  <c r="E146" i="21"/>
  <c r="H147" i="21"/>
  <c r="H316" i="14"/>
  <c r="I159" i="15"/>
  <c r="F165" i="21" s="1"/>
  <c r="A250" i="14"/>
  <c r="A249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315" i="14"/>
  <c r="H314" i="14" s="1"/>
  <c r="H313" i="14" s="1"/>
  <c r="A234" i="14"/>
  <c r="A194" i="14"/>
  <c r="A196" i="14"/>
  <c r="A197" i="14"/>
  <c r="A178" i="14"/>
  <c r="H157" i="15" l="1"/>
  <c r="I157" i="15" s="1"/>
  <c r="A161" i="14" l="1"/>
  <c r="A162" i="14"/>
  <c r="A163" i="14"/>
  <c r="A164" i="14"/>
  <c r="A165" i="14"/>
  <c r="I164" i="14"/>
  <c r="H163" i="14" l="1"/>
  <c r="E126" i="16" s="1"/>
  <c r="L29" i="1"/>
  <c r="L114" i="1"/>
  <c r="L115" i="1"/>
  <c r="A85" i="14"/>
  <c r="A86" i="14"/>
  <c r="A87" i="14"/>
  <c r="A88" i="14"/>
  <c r="H87" i="14"/>
  <c r="H86" i="14" s="1"/>
  <c r="H85" i="14" s="1"/>
  <c r="I87" i="14"/>
  <c r="I86" i="14" s="1"/>
  <c r="I85" i="14" s="1"/>
  <c r="I163" i="14" l="1"/>
  <c r="F168" i="16"/>
  <c r="E168" i="16"/>
  <c r="D168" i="16"/>
  <c r="B168" i="16"/>
  <c r="B166" i="16"/>
  <c r="B167" i="16"/>
  <c r="D167" i="16"/>
  <c r="A159" i="14"/>
  <c r="H158" i="14"/>
  <c r="C14" i="56"/>
  <c r="D14" i="56"/>
  <c r="L219" i="15"/>
  <c r="L77" i="1"/>
  <c r="L70" i="1"/>
  <c r="L71" i="1"/>
  <c r="F126" i="16" l="1"/>
  <c r="I157" i="14"/>
  <c r="I156" i="14" s="1"/>
  <c r="H157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87" i="14"/>
  <c r="A882" i="14"/>
  <c r="A883" i="14"/>
  <c r="A884" i="14"/>
  <c r="A885" i="14"/>
  <c r="A886" i="14"/>
  <c r="A887" i="14"/>
  <c r="A889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37" i="14"/>
  <c r="A138" i="14"/>
  <c r="A139" i="14"/>
  <c r="A140" i="14"/>
  <c r="A141" i="14"/>
  <c r="A142" i="14"/>
  <c r="A143" i="14"/>
  <c r="A144" i="14"/>
  <c r="H269" i="14"/>
  <c r="H268" i="14" s="1"/>
  <c r="H311" i="14"/>
  <c r="A310" i="14"/>
  <c r="A311" i="14"/>
  <c r="A312" i="14"/>
  <c r="H310" i="14" l="1"/>
  <c r="H1009" i="14"/>
  <c r="H1006" i="14" s="1"/>
  <c r="A1010" i="14"/>
  <c r="A1009" i="14"/>
  <c r="A1011" i="14"/>
  <c r="H982" i="14"/>
  <c r="A232" i="14"/>
  <c r="H229" i="14"/>
  <c r="H266" i="14"/>
  <c r="H261" i="14" s="1"/>
  <c r="H228" i="14" l="1"/>
  <c r="H260" i="14"/>
  <c r="H280" i="14"/>
  <c r="I1009" i="14"/>
  <c r="H156" i="14"/>
  <c r="H154" i="14"/>
  <c r="H153" i="14" s="1"/>
  <c r="H145" i="14" s="1"/>
  <c r="I154" i="14"/>
  <c r="I153" i="14" s="1"/>
  <c r="I145" i="14" s="1"/>
  <c r="I102" i="14"/>
  <c r="H105" i="14"/>
  <c r="A102" i="14"/>
  <c r="A104" i="14"/>
  <c r="E68" i="16" l="1"/>
  <c r="E73" i="16"/>
  <c r="H279" i="14"/>
  <c r="E72" i="16" s="1"/>
  <c r="E66" i="16"/>
  <c r="H259" i="14" l="1"/>
  <c r="H258" i="14" s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64" i="14"/>
  <c r="A265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53" i="14"/>
  <c r="A154" i="14"/>
  <c r="A155" i="14"/>
  <c r="I173" i="15" l="1"/>
  <c r="I168" i="15" s="1"/>
  <c r="A266" i="14"/>
  <c r="A267" i="14"/>
  <c r="H163" i="15" l="1"/>
  <c r="H162" i="15" s="1"/>
  <c r="A268" i="14"/>
  <c r="A269" i="14"/>
  <c r="A270" i="14"/>
  <c r="A271" i="14"/>
  <c r="F68" i="16" l="1"/>
  <c r="I164" i="15"/>
  <c r="I163" i="15" s="1"/>
  <c r="I162" i="15" s="1"/>
  <c r="E61" i="4" s="1"/>
  <c r="A258" i="14"/>
  <c r="A259" i="14"/>
  <c r="A260" i="14"/>
  <c r="A261" i="14"/>
  <c r="A262" i="14"/>
  <c r="A156" i="14"/>
  <c r="A157" i="14"/>
  <c r="A158" i="14"/>
  <c r="A160" i="14"/>
  <c r="A230" i="14"/>
  <c r="A229" i="14"/>
  <c r="F66" i="16" l="1"/>
  <c r="C24" i="56"/>
  <c r="D24" i="56"/>
  <c r="H481" i="15"/>
  <c r="H479" i="15"/>
  <c r="A754" i="14"/>
  <c r="H753" i="14"/>
  <c r="H282" i="15"/>
  <c r="K282" i="15"/>
  <c r="L284" i="15"/>
  <c r="A284" i="15"/>
  <c r="A541" i="14"/>
  <c r="K272" i="15"/>
  <c r="A274" i="15"/>
  <c r="L274" i="15"/>
  <c r="I274" i="15"/>
  <c r="F73" i="16" l="1"/>
  <c r="F72" i="16"/>
  <c r="I753" i="14"/>
  <c r="A523" i="14"/>
  <c r="A524" i="14"/>
  <c r="I521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643" i="14"/>
  <c r="I642" i="14" s="1"/>
  <c r="I641" i="14" s="1"/>
  <c r="I640" i="14" s="1"/>
  <c r="I639" i="14" s="1"/>
  <c r="E76" i="3" s="1"/>
  <c r="H643" i="14"/>
  <c r="H642" i="14" s="1"/>
  <c r="H641" i="14" s="1"/>
  <c r="H640" i="14" s="1"/>
  <c r="H639" i="14" s="1"/>
  <c r="D76" i="3" s="1"/>
  <c r="A639" i="14"/>
  <c r="A640" i="14"/>
  <c r="A641" i="14"/>
  <c r="A642" i="14"/>
  <c r="A643" i="14"/>
  <c r="A644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75" i="14" l="1"/>
  <c r="H974" i="14" s="1"/>
  <c r="H973" i="14" s="1"/>
  <c r="I975" i="14"/>
  <c r="I974" i="14" s="1"/>
  <c r="I973" i="14" s="1"/>
  <c r="A973" i="14"/>
  <c r="A974" i="14"/>
  <c r="A975" i="14"/>
  <c r="A976" i="14"/>
  <c r="H979" i="14"/>
  <c r="H978" i="14" s="1"/>
  <c r="H977" i="14" s="1"/>
  <c r="I979" i="14"/>
  <c r="I978" i="14" s="1"/>
  <c r="I977" i="14" s="1"/>
  <c r="A979" i="14"/>
  <c r="A980" i="14"/>
  <c r="A977" i="14"/>
  <c r="A978" i="14"/>
  <c r="H77" i="14"/>
  <c r="H76" i="14" s="1"/>
  <c r="H75" i="14" s="1"/>
  <c r="I77" i="14"/>
  <c r="I76" i="14" s="1"/>
  <c r="I75" i="14" s="1"/>
  <c r="A75" i="14"/>
  <c r="A76" i="14"/>
  <c r="A77" i="14"/>
  <c r="A78" i="14"/>
  <c r="I143" i="14"/>
  <c r="I142" i="14" s="1"/>
  <c r="I137" i="14" s="1"/>
  <c r="H143" i="14"/>
  <c r="H142" i="14" s="1"/>
  <c r="H781" i="14"/>
  <c r="A782" i="14"/>
  <c r="I762" i="14"/>
  <c r="I761" i="14" s="1"/>
  <c r="I760" i="14" s="1"/>
  <c r="I759" i="14" s="1"/>
  <c r="I758" i="14" s="1"/>
  <c r="H762" i="14"/>
  <c r="H761" i="14" s="1"/>
  <c r="H760" i="14" s="1"/>
  <c r="H759" i="14" s="1"/>
  <c r="H758" i="14" s="1"/>
  <c r="A758" i="14"/>
  <c r="A759" i="14"/>
  <c r="A760" i="14"/>
  <c r="A761" i="14"/>
  <c r="A762" i="14"/>
  <c r="A763" i="14"/>
  <c r="I534" i="14"/>
  <c r="H534" i="14"/>
  <c r="A534" i="14"/>
  <c r="A535" i="14"/>
  <c r="I936" i="14"/>
  <c r="H936" i="14"/>
  <c r="H919" i="14" s="1"/>
  <c r="A936" i="14"/>
  <c r="A937" i="14"/>
  <c r="I955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28" i="14"/>
  <c r="A422" i="14"/>
  <c r="B164" i="16"/>
  <c r="B165" i="16"/>
  <c r="B159" i="16"/>
  <c r="B161" i="16"/>
  <c r="B162" i="16"/>
  <c r="B155" i="16"/>
  <c r="B156" i="16"/>
  <c r="B157" i="16"/>
  <c r="B158" i="16"/>
  <c r="H829" i="14"/>
  <c r="H828" i="14" s="1"/>
  <c r="H827" i="14" s="1"/>
  <c r="H826" i="14" s="1"/>
  <c r="I829" i="14"/>
  <c r="I828" i="14" s="1"/>
  <c r="I827" i="14" s="1"/>
  <c r="I826" i="14" s="1"/>
  <c r="A826" i="14"/>
  <c r="A827" i="14"/>
  <c r="A828" i="14"/>
  <c r="A829" i="14"/>
  <c r="A830" i="14"/>
  <c r="H744" i="14"/>
  <c r="H743" i="14" s="1"/>
  <c r="A743" i="14"/>
  <c r="A744" i="14"/>
  <c r="A745" i="14"/>
  <c r="A740" i="14"/>
  <c r="I637" i="14"/>
  <c r="I636" i="14" s="1"/>
  <c r="I635" i="14" s="1"/>
  <c r="I634" i="14" s="1"/>
  <c r="H637" i="14"/>
  <c r="H636" i="14" s="1"/>
  <c r="H635" i="14" s="1"/>
  <c r="H634" i="14" s="1"/>
  <c r="A634" i="14"/>
  <c r="A635" i="14"/>
  <c r="A636" i="14"/>
  <c r="A637" i="14"/>
  <c r="A638" i="14"/>
  <c r="H525" i="14"/>
  <c r="H520" i="14" s="1"/>
  <c r="A525" i="14"/>
  <c r="A526" i="14"/>
  <c r="I1007" i="14"/>
  <c r="I1006" i="14" s="1"/>
  <c r="A1006" i="14"/>
  <c r="A1007" i="14"/>
  <c r="A1008" i="14"/>
  <c r="A983" i="14"/>
  <c r="A984" i="14"/>
  <c r="A985" i="14"/>
  <c r="A986" i="14"/>
  <c r="A988" i="14"/>
  <c r="I984" i="14" l="1"/>
  <c r="F159" i="21"/>
  <c r="I743" i="14"/>
  <c r="I744" i="14"/>
  <c r="I991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83" i="14" l="1"/>
  <c r="I982" i="14" s="1"/>
  <c r="I981" i="14" s="1"/>
  <c r="A481" i="15"/>
  <c r="A482" i="15"/>
  <c r="L482" i="15"/>
  <c r="L481" i="15" s="1"/>
  <c r="I482" i="15"/>
  <c r="I481" i="15" s="1"/>
  <c r="H893" i="14"/>
  <c r="I893" i="14"/>
  <c r="H895" i="14"/>
  <c r="I895" i="14"/>
  <c r="L480" i="15"/>
  <c r="L479" i="15" s="1"/>
  <c r="I480" i="15"/>
  <c r="I479" i="15" s="1"/>
  <c r="A479" i="15"/>
  <c r="A480" i="15"/>
  <c r="A895" i="14"/>
  <c r="A896" i="14"/>
  <c r="A893" i="14"/>
  <c r="A894" i="14"/>
  <c r="A890" i="14"/>
  <c r="A892" i="14"/>
  <c r="L78" i="1" l="1"/>
  <c r="L106" i="1"/>
  <c r="L102" i="1"/>
  <c r="L101" i="1"/>
  <c r="L105" i="1" l="1"/>
  <c r="H424" i="14" l="1"/>
  <c r="A425" i="14"/>
  <c r="H423" i="14" l="1"/>
  <c r="H422" i="14" s="1"/>
  <c r="H421" i="14" s="1"/>
  <c r="A100" i="14"/>
  <c r="H139" i="14"/>
  <c r="H138" i="14" l="1"/>
  <c r="H137" i="14" s="1"/>
  <c r="D41" i="3" s="1"/>
  <c r="D40" i="3"/>
  <c r="A427" i="14" l="1"/>
  <c r="A235" i="14"/>
  <c r="A200" i="14" l="1"/>
  <c r="E174" i="16"/>
  <c r="A166" i="14"/>
  <c r="A201" i="14"/>
  <c r="A181" i="14"/>
  <c r="A180" i="14"/>
  <c r="A177" i="14"/>
  <c r="H176" i="14"/>
  <c r="H175" i="14" s="1"/>
  <c r="H174" i="14" s="1"/>
  <c r="A176" i="14"/>
  <c r="A175" i="14"/>
  <c r="A174" i="14"/>
  <c r="H166" i="14" l="1"/>
  <c r="F174" i="16"/>
  <c r="A62" i="14"/>
  <c r="A64" i="14"/>
  <c r="A51" i="14"/>
  <c r="A52" i="14"/>
  <c r="A53" i="14"/>
  <c r="E173" i="16" l="1"/>
  <c r="E172" i="16"/>
  <c r="F173" i="16"/>
  <c r="H898" i="14"/>
  <c r="A898" i="14"/>
  <c r="A899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7" i="14"/>
  <c r="I68" i="14"/>
  <c r="I67" i="14" s="1"/>
  <c r="H68" i="14"/>
  <c r="H67" i="14" s="1"/>
  <c r="A68" i="14"/>
  <c r="A69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9" i="14"/>
  <c r="I478" i="14"/>
  <c r="I713" i="14"/>
  <c r="I781" i="14"/>
  <c r="H13" i="14"/>
  <c r="H12" i="14" s="1"/>
  <c r="H26" i="14"/>
  <c r="H18" i="14" s="1"/>
  <c r="H31" i="14"/>
  <c r="H35" i="14"/>
  <c r="H40" i="14"/>
  <c r="H44" i="14"/>
  <c r="H55" i="14"/>
  <c r="H72" i="14"/>
  <c r="H71" i="14" s="1"/>
  <c r="H81" i="14"/>
  <c r="E154" i="16"/>
  <c r="H115" i="14"/>
  <c r="H121" i="14"/>
  <c r="H124" i="14"/>
  <c r="E104" i="16"/>
  <c r="E97" i="16"/>
  <c r="E98" i="16"/>
  <c r="H380" i="14"/>
  <c r="H379" i="14" s="1"/>
  <c r="H458" i="14"/>
  <c r="H457" i="14" s="1"/>
  <c r="H456" i="14" s="1"/>
  <c r="H465" i="14"/>
  <c r="H464" i="14" s="1"/>
  <c r="H468" i="14"/>
  <c r="H467" i="14" s="1"/>
  <c r="H476" i="14"/>
  <c r="H478" i="14"/>
  <c r="H483" i="14"/>
  <c r="H494" i="14"/>
  <c r="H500" i="14"/>
  <c r="H499" i="14" s="1"/>
  <c r="H552" i="14"/>
  <c r="H557" i="14"/>
  <c r="H556" i="14" s="1"/>
  <c r="H560" i="14"/>
  <c r="H559" i="14" s="1"/>
  <c r="H573" i="14"/>
  <c r="H575" i="14"/>
  <c r="H579" i="14"/>
  <c r="H583" i="14"/>
  <c r="H585" i="14"/>
  <c r="H605" i="14"/>
  <c r="H604" i="14" s="1"/>
  <c r="H610" i="14"/>
  <c r="H609" i="14" s="1"/>
  <c r="H613" i="14"/>
  <c r="H612" i="14" s="1"/>
  <c r="H624" i="14"/>
  <c r="H618" i="14" s="1"/>
  <c r="H654" i="14"/>
  <c r="H656" i="14"/>
  <c r="H661" i="14"/>
  <c r="H663" i="14"/>
  <c r="H666" i="14"/>
  <c r="H669" i="14"/>
  <c r="H668" i="14" s="1"/>
  <c r="H675" i="14"/>
  <c r="H681" i="14"/>
  <c r="H683" i="14"/>
  <c r="H687" i="14"/>
  <c r="H688" i="14"/>
  <c r="H694" i="14"/>
  <c r="H696" i="14"/>
  <c r="H699" i="14"/>
  <c r="H698" i="14" s="1"/>
  <c r="H711" i="14"/>
  <c r="H710" i="14" s="1"/>
  <c r="H716" i="14"/>
  <c r="H720" i="14"/>
  <c r="H722" i="14"/>
  <c r="H727" i="14"/>
  <c r="H730" i="14"/>
  <c r="H736" i="14"/>
  <c r="H735" i="14" s="1"/>
  <c r="H741" i="14"/>
  <c r="H747" i="14"/>
  <c r="H746" i="14" s="1"/>
  <c r="H752" i="14"/>
  <c r="H751" i="14" s="1"/>
  <c r="H756" i="14"/>
  <c r="H755" i="14" s="1"/>
  <c r="H775" i="14"/>
  <c r="H777" i="14"/>
  <c r="H779" i="14"/>
  <c r="H784" i="14"/>
  <c r="H787" i="14"/>
  <c r="H793" i="14"/>
  <c r="H792" i="14" s="1"/>
  <c r="H810" i="14"/>
  <c r="H807" i="14" s="1"/>
  <c r="H817" i="14"/>
  <c r="H816" i="14" s="1"/>
  <c r="H836" i="14"/>
  <c r="H835" i="14" s="1"/>
  <c r="H846" i="14"/>
  <c r="H845" i="14" s="1"/>
  <c r="H844" i="14" s="1"/>
  <c r="H843" i="14" s="1"/>
  <c r="H855" i="14"/>
  <c r="H858" i="14"/>
  <c r="H861" i="14"/>
  <c r="H863" i="14"/>
  <c r="H866" i="14"/>
  <c r="H868" i="14"/>
  <c r="H870" i="14"/>
  <c r="H873" i="14"/>
  <c r="H876" i="14"/>
  <c r="H879" i="14"/>
  <c r="H882" i="14"/>
  <c r="H890" i="14"/>
  <c r="H900" i="14"/>
  <c r="H897" i="14" s="1"/>
  <c r="H922" i="14"/>
  <c r="H924" i="14"/>
  <c r="H926" i="14"/>
  <c r="H928" i="14"/>
  <c r="H938" i="14"/>
  <c r="H944" i="14"/>
  <c r="H943" i="14" s="1"/>
  <c r="H947" i="14"/>
  <c r="H946" i="14" s="1"/>
  <c r="H959" i="14"/>
  <c r="H962" i="14"/>
  <c r="H966" i="14"/>
  <c r="H971" i="14"/>
  <c r="H970" i="14" s="1"/>
  <c r="E53" i="16" s="1"/>
  <c r="H994" i="14"/>
  <c r="H993" i="14" s="1"/>
  <c r="H992" i="14" s="1"/>
  <c r="H1001" i="14"/>
  <c r="H1000" i="14" s="1"/>
  <c r="H1004" i="14"/>
  <c r="H1003" i="14" s="1"/>
  <c r="D26" i="3"/>
  <c r="H1026" i="14"/>
  <c r="H1025" i="14" s="1"/>
  <c r="H1024" i="14" s="1"/>
  <c r="H1030" i="14"/>
  <c r="H1029" i="14" s="1"/>
  <c r="H1048" i="14"/>
  <c r="H1047" i="14" s="1"/>
  <c r="H1046" i="14" s="1"/>
  <c r="D62" i="3" s="1"/>
  <c r="H1054" i="14"/>
  <c r="H1056" i="14"/>
  <c r="H1060" i="14"/>
  <c r="H1071" i="14"/>
  <c r="H1070" i="14" s="1"/>
  <c r="H1066" i="14" s="1"/>
  <c r="H1080" i="14"/>
  <c r="H1082" i="14"/>
  <c r="H1088" i="14"/>
  <c r="H1092" i="14"/>
  <c r="H1097" i="14"/>
  <c r="H1099" i="14"/>
  <c r="H1103" i="14"/>
  <c r="H1109" i="14"/>
  <c r="H1108" i="14" s="1"/>
  <c r="H1107" i="14" s="1"/>
  <c r="H1114" i="14"/>
  <c r="H1124" i="14"/>
  <c r="H1126" i="14"/>
  <c r="H1128" i="14"/>
  <c r="H1134" i="14"/>
  <c r="H1146" i="14"/>
  <c r="H1151" i="14"/>
  <c r="H1153" i="14"/>
  <c r="H1177" i="14"/>
  <c r="H1176" i="14" s="1"/>
  <c r="H1183" i="14"/>
  <c r="H1182" i="14" s="1"/>
  <c r="H1187" i="14"/>
  <c r="H1186" i="14" s="1"/>
  <c r="H1185" i="14" s="1"/>
  <c r="H1193" i="14"/>
  <c r="H1197" i="14"/>
  <c r="H1201" i="14"/>
  <c r="H1209" i="14"/>
  <c r="H1208" i="14" s="1"/>
  <c r="H1207" i="14" s="1"/>
  <c r="H1206" i="14" s="1"/>
  <c r="H1214" i="14"/>
  <c r="H1213" i="14" s="1"/>
  <c r="H1212" i="14" s="1"/>
  <c r="H1211" i="14" s="1"/>
  <c r="H1218" i="14"/>
  <c r="H1217" i="14" s="1"/>
  <c r="H1216" i="14" s="1"/>
  <c r="H1222" i="14"/>
  <c r="H1221" i="14" s="1"/>
  <c r="H1220" i="14" s="1"/>
  <c r="H1226" i="14"/>
  <c r="H1225" i="14" s="1"/>
  <c r="H1224" i="14" s="1"/>
  <c r="D111" i="3"/>
  <c r="E81" i="16"/>
  <c r="H1242" i="14"/>
  <c r="H1244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8" i="1"/>
  <c r="L22" i="1"/>
  <c r="L23" i="1"/>
  <c r="L24" i="1"/>
  <c r="L27" i="1"/>
  <c r="L26" i="1" s="1"/>
  <c r="L30" i="1"/>
  <c r="L32" i="1"/>
  <c r="L36" i="1"/>
  <c r="L38" i="1"/>
  <c r="L37" i="1" s="1"/>
  <c r="L40" i="1"/>
  <c r="L42" i="1"/>
  <c r="L43" i="1"/>
  <c r="L44" i="1"/>
  <c r="L45" i="1"/>
  <c r="L46" i="1"/>
  <c r="L50" i="1"/>
  <c r="L51" i="1"/>
  <c r="L67" i="1"/>
  <c r="L108" i="1"/>
  <c r="L107" i="1"/>
  <c r="L85" i="1"/>
  <c r="L87" i="1"/>
  <c r="L79" i="1"/>
  <c r="L80" i="1"/>
  <c r="L96" i="1"/>
  <c r="L97" i="1"/>
  <c r="L98" i="1"/>
  <c r="L99" i="1"/>
  <c r="L89" i="1"/>
  <c r="L91" i="1"/>
  <c r="L92" i="1"/>
  <c r="L93" i="1"/>
  <c r="L84" i="1"/>
  <c r="L86" i="1"/>
  <c r="L83" i="1"/>
  <c r="L90" i="1"/>
  <c r="L82" i="1"/>
  <c r="L100" i="1"/>
  <c r="L88" i="1"/>
  <c r="L81" i="1"/>
  <c r="L95" i="1"/>
  <c r="L94" i="1"/>
  <c r="L113" i="1"/>
  <c r="L112" i="1"/>
  <c r="L123" i="1"/>
  <c r="L124" i="1"/>
  <c r="L126" i="1"/>
  <c r="L127" i="1"/>
  <c r="L128" i="1"/>
  <c r="L129" i="1"/>
  <c r="L134" i="1"/>
  <c r="L135" i="1"/>
  <c r="L136" i="1"/>
  <c r="L137" i="1"/>
  <c r="K12" i="1"/>
  <c r="K14" i="1"/>
  <c r="K21" i="1"/>
  <c r="K26" i="1"/>
  <c r="K25" i="1" s="1"/>
  <c r="K39" i="1"/>
  <c r="H1150" i="14" l="1"/>
  <c r="H854" i="14"/>
  <c r="H853" i="14" s="1"/>
  <c r="H918" i="14"/>
  <c r="K11" i="1"/>
  <c r="K149" i="1" s="1"/>
  <c r="D21" i="5" s="1"/>
  <c r="L16" i="1"/>
  <c r="L28" i="1"/>
  <c r="L25" i="1" s="1"/>
  <c r="H89" i="14"/>
  <c r="H958" i="14"/>
  <c r="H957" i="14" s="1"/>
  <c r="H956" i="14" s="1"/>
  <c r="H955" i="14" s="1"/>
  <c r="H1192" i="14"/>
  <c r="H470" i="14"/>
  <c r="H1079" i="14"/>
  <c r="E12" i="16" s="1"/>
  <c r="D70" i="3"/>
  <c r="D65" i="3" s="1"/>
  <c r="L49" i="1"/>
  <c r="D10" i="6"/>
  <c r="H806" i="14"/>
  <c r="H805" i="14" s="1"/>
  <c r="H799" i="14" s="1"/>
  <c r="H570" i="14"/>
  <c r="H569" i="14" s="1"/>
  <c r="H1123" i="14"/>
  <c r="H70" i="14"/>
  <c r="E121" i="16" s="1"/>
  <c r="E123" i="16"/>
  <c r="D54" i="3"/>
  <c r="H604" i="15"/>
  <c r="H599" i="15" s="1"/>
  <c r="E22" i="16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D10" i="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7" i="1"/>
  <c r="L21" i="1"/>
  <c r="H54" i="14"/>
  <c r="H50" i="14" s="1"/>
  <c r="H43" i="14"/>
  <c r="H42" i="14" s="1"/>
  <c r="E112" i="16" s="1"/>
  <c r="H39" i="14"/>
  <c r="E109" i="16" s="1"/>
  <c r="E103" i="16"/>
  <c r="H34" i="14"/>
  <c r="L41" i="1"/>
  <c r="L39" i="1" s="1"/>
  <c r="K425" i="15"/>
  <c r="K424" i="15" s="1"/>
  <c r="K426" i="15"/>
  <c r="I424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80" i="14"/>
  <c r="H79" i="14" s="1"/>
  <c r="H1102" i="14"/>
  <c r="H1101" i="14" s="1"/>
  <c r="E43" i="16"/>
  <c r="H674" i="14"/>
  <c r="H673" i="14" s="1"/>
  <c r="H1175" i="14"/>
  <c r="H1174" i="14" s="1"/>
  <c r="H1065" i="14"/>
  <c r="E33" i="16"/>
  <c r="H21" i="21"/>
  <c r="H653" i="14"/>
  <c r="H1112" i="14"/>
  <c r="H1111" i="14" s="1"/>
  <c r="H1113" i="14"/>
  <c r="E58" i="16" s="1"/>
  <c r="H617" i="14"/>
  <c r="G10" i="6"/>
  <c r="H498" i="14"/>
  <c r="D60" i="3" s="1"/>
  <c r="H493" i="14"/>
  <c r="H492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739" i="14"/>
  <c r="H738" i="14" s="1"/>
  <c r="H740" i="14"/>
  <c r="E57" i="16" s="1"/>
  <c r="H57" i="14"/>
  <c r="E118" i="16" s="1"/>
  <c r="H102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42" i="21"/>
  <c r="H16" i="21"/>
  <c r="E69" i="16"/>
  <c r="E36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80" i="14"/>
  <c r="H693" i="14"/>
  <c r="H1096" i="14"/>
  <c r="E13" i="16" s="1"/>
  <c r="D64" i="3"/>
  <c r="H999" i="14"/>
  <c r="H991" i="14" s="1"/>
  <c r="H608" i="14"/>
  <c r="H607" i="14" s="1"/>
  <c r="E152" i="16"/>
  <c r="H1236" i="14"/>
  <c r="H1235" i="14" s="1"/>
  <c r="H1234" i="14" s="1"/>
  <c r="H551" i="14"/>
  <c r="H715" i="14"/>
  <c r="H834" i="14"/>
  <c r="H833" i="14"/>
  <c r="H832" i="14" s="1"/>
  <c r="H463" i="14"/>
  <c r="H774" i="14"/>
  <c r="H766" i="14" s="1"/>
  <c r="D109" i="3"/>
  <c r="E86" i="3"/>
  <c r="D33" i="3"/>
  <c r="E33" i="3"/>
  <c r="D115" i="3"/>
  <c r="D114" i="3" s="1"/>
  <c r="H842" i="14"/>
  <c r="D98" i="3" s="1"/>
  <c r="H734" i="14"/>
  <c r="E40" i="16" s="1"/>
  <c r="H603" i="14"/>
  <c r="D86" i="3"/>
  <c r="D23" i="3"/>
  <c r="G15" i="6"/>
  <c r="D15" i="5"/>
  <c r="E86" i="4"/>
  <c r="E33" i="4"/>
  <c r="I1099" i="14"/>
  <c r="I1096" i="14" s="1"/>
  <c r="A1099" i="14"/>
  <c r="A1096" i="14"/>
  <c r="A1097" i="14"/>
  <c r="A1098" i="14"/>
  <c r="A1100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70" i="14"/>
  <c r="A971" i="14"/>
  <c r="A972" i="14"/>
  <c r="A1153" i="14"/>
  <c r="A1154" i="14"/>
  <c r="B151" i="16"/>
  <c r="A381" i="14"/>
  <c r="H412" i="15" l="1"/>
  <c r="H411" i="15" s="1"/>
  <c r="D105" i="4" s="1"/>
  <c r="D103" i="4" s="1"/>
  <c r="H17" i="14"/>
  <c r="E187" i="16"/>
  <c r="H568" i="14"/>
  <c r="H562" i="14" s="1"/>
  <c r="H449" i="14"/>
  <c r="H448" i="14" s="1"/>
  <c r="E117" i="16"/>
  <c r="H630" i="15"/>
  <c r="E22" i="21"/>
  <c r="G105" i="4"/>
  <c r="G103" i="4" s="1"/>
  <c r="H41" i="21"/>
  <c r="E113" i="16"/>
  <c r="L576" i="15"/>
  <c r="L575" i="15" s="1"/>
  <c r="H10" i="15"/>
  <c r="H1122" i="14"/>
  <c r="H1117" i="14" s="1"/>
  <c r="H1116" i="14" s="1"/>
  <c r="I425" i="15"/>
  <c r="I424" i="15" s="1"/>
  <c r="H20" i="21"/>
  <c r="H38" i="14"/>
  <c r="H37" i="14" s="1"/>
  <c r="H232" i="14"/>
  <c r="E184" i="16" s="1"/>
  <c r="H29" i="14"/>
  <c r="H33" i="14"/>
  <c r="H11" i="14"/>
  <c r="L48" i="1"/>
  <c r="L47" i="1" s="1"/>
  <c r="E165" i="16"/>
  <c r="E164" i="16" s="1"/>
  <c r="H51" i="21"/>
  <c r="K442" i="15"/>
  <c r="K441" i="15" s="1"/>
  <c r="K440" i="15" s="1"/>
  <c r="H615" i="14"/>
  <c r="H616" i="14"/>
  <c r="I423" i="14"/>
  <c r="I422" i="14" s="1"/>
  <c r="I421" i="14" s="1"/>
  <c r="F45" i="16"/>
  <c r="K31" i="15"/>
  <c r="K10" i="15" s="1"/>
  <c r="H172" i="21"/>
  <c r="H981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917" i="14"/>
  <c r="H916" i="14" s="1"/>
  <c r="E54" i="16"/>
  <c r="E99" i="16"/>
  <c r="H536" i="15"/>
  <c r="D102" i="3"/>
  <c r="H852" i="14"/>
  <c r="H851" i="14" s="1"/>
  <c r="E32" i="16"/>
  <c r="H686" i="14"/>
  <c r="H685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518" i="14"/>
  <c r="E29" i="16"/>
  <c r="E189" i="16"/>
  <c r="E108" i="16"/>
  <c r="E21" i="16"/>
  <c r="E102" i="16"/>
  <c r="H765" i="14"/>
  <c r="H764" i="14" s="1"/>
  <c r="E34" i="16"/>
  <c r="H550" i="14"/>
  <c r="E56" i="16"/>
  <c r="H652" i="14"/>
  <c r="H651" i="14" s="1"/>
  <c r="H645" i="14" s="1"/>
  <c r="E35" i="16"/>
  <c r="H1191" i="14"/>
  <c r="E23" i="16"/>
  <c r="H679" i="14"/>
  <c r="E18" i="16"/>
  <c r="E150" i="16"/>
  <c r="E42" i="16"/>
  <c r="E124" i="16"/>
  <c r="D73" i="3"/>
  <c r="E30" i="16"/>
  <c r="E84" i="16"/>
  <c r="K346" i="15"/>
  <c r="H442" i="15"/>
  <c r="H441" i="15" s="1"/>
  <c r="H440" i="15" s="1"/>
  <c r="K287" i="15"/>
  <c r="H346" i="15"/>
  <c r="G119" i="21"/>
  <c r="G52" i="21"/>
  <c r="H519" i="14"/>
  <c r="H1078" i="14"/>
  <c r="I637" i="15"/>
  <c r="I636" i="15" s="1"/>
  <c r="L633" i="15"/>
  <c r="L632" i="15" s="1"/>
  <c r="L631" i="15" s="1"/>
  <c r="I633" i="15"/>
  <c r="I632" i="15" s="1"/>
  <c r="A746" i="14"/>
  <c r="A747" i="14"/>
  <c r="A748" i="14"/>
  <c r="A749" i="14"/>
  <c r="A1066" i="14"/>
  <c r="A1065" i="14"/>
  <c r="A1070" i="14"/>
  <c r="A1071" i="14"/>
  <c r="A1072" i="14"/>
  <c r="A1182" i="14"/>
  <c r="A1183" i="14"/>
  <c r="A1184" i="14"/>
  <c r="A1216" i="14"/>
  <c r="A1217" i="14"/>
  <c r="A1218" i="14"/>
  <c r="A1219" i="14"/>
  <c r="A1220" i="14"/>
  <c r="A1221" i="14"/>
  <c r="A1222" i="14"/>
  <c r="A1223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95" i="14"/>
  <c r="A792" i="14"/>
  <c r="E143" i="21"/>
  <c r="E141" i="21"/>
  <c r="E139" i="21"/>
  <c r="E144" i="21"/>
  <c r="E145" i="21"/>
  <c r="I375" i="15"/>
  <c r="I374" i="15" s="1"/>
  <c r="A370" i="15"/>
  <c r="A371" i="15"/>
  <c r="A710" i="14"/>
  <c r="A341" i="15"/>
  <c r="A342" i="15"/>
  <c r="A343" i="15"/>
  <c r="A304" i="15"/>
  <c r="A305" i="15"/>
  <c r="A306" i="15"/>
  <c r="A307" i="15"/>
  <c r="A311" i="15"/>
  <c r="A314" i="15"/>
  <c r="A616" i="14"/>
  <c r="A615" i="14"/>
  <c r="A617" i="14"/>
  <c r="A618" i="14"/>
  <c r="A624" i="14"/>
  <c r="A625" i="14"/>
  <c r="A556" i="14"/>
  <c r="A557" i="14"/>
  <c r="A558" i="14"/>
  <c r="B41" i="21"/>
  <c r="B42" i="21"/>
  <c r="B34" i="21"/>
  <c r="B35" i="21"/>
  <c r="B36" i="21"/>
  <c r="B35" i="16"/>
  <c r="B36" i="16"/>
  <c r="B37" i="16"/>
  <c r="I96" i="14"/>
  <c r="I89" i="14" s="1"/>
  <c r="A73" i="14"/>
  <c r="A70" i="14"/>
  <c r="A71" i="14"/>
  <c r="A72" i="14"/>
  <c r="A74" i="14"/>
  <c r="D105" i="3" l="1"/>
  <c r="D103" i="3" s="1"/>
  <c r="D82" i="4"/>
  <c r="D81" i="4" s="1"/>
  <c r="H569" i="15"/>
  <c r="E107" i="16"/>
  <c r="K267" i="15"/>
  <c r="H1190" i="14"/>
  <c r="H1189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31" i="14"/>
  <c r="H10" i="14" s="1"/>
  <c r="L46" i="2"/>
  <c r="L126" i="2" s="1"/>
  <c r="O126" i="2"/>
  <c r="E21" i="5"/>
  <c r="G73" i="4"/>
  <c r="G22" i="4"/>
  <c r="D78" i="4"/>
  <c r="H831" i="14"/>
  <c r="H267" i="15"/>
  <c r="K569" i="15"/>
  <c r="G82" i="4"/>
  <c r="G81" i="4" s="1"/>
  <c r="D82" i="3"/>
  <c r="G78" i="4"/>
  <c r="G99" i="4"/>
  <c r="G96" i="4" s="1"/>
  <c r="D80" i="4"/>
  <c r="G80" i="4"/>
  <c r="D100" i="3"/>
  <c r="D9" i="4"/>
  <c r="H517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H1077" i="14"/>
  <c r="H1076" i="14" s="1"/>
  <c r="E11" i="16"/>
  <c r="E101" i="16"/>
  <c r="E17" i="16"/>
  <c r="H672" i="14"/>
  <c r="H671" i="14" s="1"/>
  <c r="D52" i="3"/>
  <c r="E149" i="16"/>
  <c r="E83" i="16"/>
  <c r="E27" i="16"/>
  <c r="F119" i="21"/>
  <c r="D52" i="21"/>
  <c r="F52" i="21"/>
  <c r="I119" i="21"/>
  <c r="E52" i="21"/>
  <c r="I52" i="21"/>
  <c r="G64" i="21"/>
  <c r="I72" i="14"/>
  <c r="I556" i="14"/>
  <c r="I557" i="14"/>
  <c r="D13" i="16"/>
  <c r="F13" i="16"/>
  <c r="I1222" i="14"/>
  <c r="I1218" i="14"/>
  <c r="D53" i="16"/>
  <c r="F53" i="16"/>
  <c r="E42" i="21"/>
  <c r="E41" i="21"/>
  <c r="A82" i="14"/>
  <c r="A79" i="14"/>
  <c r="A80" i="14"/>
  <c r="A81" i="14"/>
  <c r="A101" i="14"/>
  <c r="A565" i="15"/>
  <c r="A566" i="15"/>
  <c r="L565" i="15"/>
  <c r="L11" i="1" l="1"/>
  <c r="L149" i="1" s="1"/>
  <c r="H510" i="14"/>
  <c r="I629" i="15"/>
  <c r="I628" i="15" s="1"/>
  <c r="D81" i="3"/>
  <c r="D58" i="3"/>
  <c r="I617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220" i="14"/>
  <c r="I1221" i="14"/>
  <c r="I1066" i="14"/>
  <c r="I1065" i="14" s="1"/>
  <c r="F154" i="16"/>
  <c r="I70" i="14"/>
  <c r="I71" i="14"/>
  <c r="F123" i="16" s="1"/>
  <c r="I1216" i="14"/>
  <c r="I1217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92" i="14"/>
  <c r="A993" i="14"/>
  <c r="A994" i="14"/>
  <c r="A995" i="14"/>
  <c r="H171" i="21" l="1"/>
  <c r="H174" i="21" s="1"/>
  <c r="I615" i="14"/>
  <c r="I616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83" i="14"/>
  <c r="A484" i="14"/>
  <c r="I476" i="14"/>
  <c r="A456" i="14"/>
  <c r="A457" i="14"/>
  <c r="A458" i="14"/>
  <c r="A459" i="14"/>
  <c r="B57" i="16"/>
  <c r="E19" i="5"/>
  <c r="I471" i="14" l="1"/>
  <c r="I470" i="14" s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62" i="14"/>
  <c r="A963" i="14"/>
  <c r="A938" i="14"/>
  <c r="A939" i="14"/>
  <c r="A940" i="14"/>
  <c r="A900" i="14"/>
  <c r="A901" i="14"/>
  <c r="A902" i="14"/>
  <c r="A926" i="14"/>
  <c r="A927" i="14"/>
  <c r="I926" i="14"/>
  <c r="A924" i="14"/>
  <c r="A925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46" i="14"/>
  <c r="A1245" i="14"/>
  <c r="A1244" i="14"/>
  <c r="A1243" i="14"/>
  <c r="A1242" i="14"/>
  <c r="A1240" i="14"/>
  <c r="A1239" i="14"/>
  <c r="A1238" i="14"/>
  <c r="A1237" i="14"/>
  <c r="A1236" i="14"/>
  <c r="A1235" i="14"/>
  <c r="A1234" i="14"/>
  <c r="F70" i="16"/>
  <c r="A1227" i="14"/>
  <c r="A1226" i="14"/>
  <c r="A1225" i="14"/>
  <c r="A1224" i="14"/>
  <c r="A1215" i="14"/>
  <c r="A1214" i="14"/>
  <c r="A1213" i="14"/>
  <c r="A1212" i="14"/>
  <c r="A1211" i="14"/>
  <c r="A1210" i="14"/>
  <c r="A1209" i="14"/>
  <c r="A1208" i="14"/>
  <c r="A1207" i="14"/>
  <c r="A1206" i="14"/>
  <c r="A1202" i="14"/>
  <c r="I1201" i="14"/>
  <c r="A1201" i="14"/>
  <c r="A1200" i="14"/>
  <c r="A1199" i="14"/>
  <c r="A1198" i="14"/>
  <c r="A1197" i="14"/>
  <c r="A1196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78" i="14"/>
  <c r="A1177" i="14"/>
  <c r="A1176" i="14"/>
  <c r="A1175" i="14"/>
  <c r="A1174" i="14"/>
  <c r="A1152" i="14"/>
  <c r="A1151" i="14"/>
  <c r="A1150" i="14"/>
  <c r="A1147" i="14"/>
  <c r="A1146" i="14"/>
  <c r="A1135" i="14"/>
  <c r="A1134" i="14"/>
  <c r="A1129" i="14"/>
  <c r="A1128" i="14"/>
  <c r="A1127" i="14"/>
  <c r="A1126" i="14"/>
  <c r="A1125" i="14"/>
  <c r="A1124" i="14"/>
  <c r="A1123" i="14"/>
  <c r="A1122" i="14"/>
  <c r="A1117" i="14"/>
  <c r="A1116" i="14"/>
  <c r="A1115" i="14"/>
  <c r="D58" i="16"/>
  <c r="A1114" i="14"/>
  <c r="A1112" i="14"/>
  <c r="A1111" i="14"/>
  <c r="A1110" i="14"/>
  <c r="A1109" i="14"/>
  <c r="A1108" i="14"/>
  <c r="A1107" i="14"/>
  <c r="A1104" i="14"/>
  <c r="A1103" i="14"/>
  <c r="A1102" i="14"/>
  <c r="A1101" i="14"/>
  <c r="I1092" i="14"/>
  <c r="I1088" i="14"/>
  <c r="A1083" i="14"/>
  <c r="A1082" i="14"/>
  <c r="A1081" i="14"/>
  <c r="A1080" i="14"/>
  <c r="A1079" i="14"/>
  <c r="A1078" i="14"/>
  <c r="A1077" i="14"/>
  <c r="A1076" i="14"/>
  <c r="A1061" i="14"/>
  <c r="I1060" i="14"/>
  <c r="A1060" i="14"/>
  <c r="A1057" i="14"/>
  <c r="A1056" i="14"/>
  <c r="A1055" i="14"/>
  <c r="A1053" i="14"/>
  <c r="A1052" i="14"/>
  <c r="A1051" i="14"/>
  <c r="A1050" i="14"/>
  <c r="A1049" i="14"/>
  <c r="I1048" i="14"/>
  <c r="A1048" i="14"/>
  <c r="A1047" i="14"/>
  <c r="A1046" i="14"/>
  <c r="A1032" i="14"/>
  <c r="A1031" i="14"/>
  <c r="A1030" i="14"/>
  <c r="A1029" i="14"/>
  <c r="A1028" i="14"/>
  <c r="A1027" i="14"/>
  <c r="A1026" i="14"/>
  <c r="A1025" i="14"/>
  <c r="A1024" i="14"/>
  <c r="A1005" i="14"/>
  <c r="A1004" i="14"/>
  <c r="A1003" i="14"/>
  <c r="A1002" i="14"/>
  <c r="A1001" i="14"/>
  <c r="A1000" i="14"/>
  <c r="A999" i="14"/>
  <c r="A991" i="14"/>
  <c r="A982" i="14"/>
  <c r="A981" i="14"/>
  <c r="A969" i="14"/>
  <c r="A968" i="14"/>
  <c r="A967" i="14"/>
  <c r="A966" i="14"/>
  <c r="A961" i="14"/>
  <c r="A960" i="14"/>
  <c r="A959" i="14"/>
  <c r="A958" i="14"/>
  <c r="A957" i="14"/>
  <c r="A956" i="14"/>
  <c r="A955" i="14"/>
  <c r="A948" i="14"/>
  <c r="A945" i="14"/>
  <c r="A944" i="14"/>
  <c r="A943" i="14"/>
  <c r="A930" i="14"/>
  <c r="A929" i="14"/>
  <c r="A928" i="14"/>
  <c r="A923" i="14"/>
  <c r="A922" i="14"/>
  <c r="A921" i="14"/>
  <c r="A920" i="14"/>
  <c r="A919" i="14"/>
  <c r="A918" i="14"/>
  <c r="A917" i="14"/>
  <c r="A916" i="14"/>
  <c r="A897" i="14"/>
  <c r="A891" i="14"/>
  <c r="I890" i="14"/>
  <c r="I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I868" i="14"/>
  <c r="A868" i="14"/>
  <c r="A867" i="14"/>
  <c r="I866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47" i="14"/>
  <c r="A846" i="14"/>
  <c r="A845" i="14"/>
  <c r="A844" i="14"/>
  <c r="A843" i="14"/>
  <c r="A842" i="14"/>
  <c r="A838" i="14"/>
  <c r="A837" i="14"/>
  <c r="A836" i="14"/>
  <c r="A835" i="14"/>
  <c r="A834" i="14"/>
  <c r="A833" i="14"/>
  <c r="A832" i="14"/>
  <c r="A831" i="14"/>
  <c r="A818" i="14"/>
  <c r="A817" i="14"/>
  <c r="A816" i="14"/>
  <c r="A811" i="14"/>
  <c r="A810" i="14"/>
  <c r="A807" i="14"/>
  <c r="A806" i="14"/>
  <c r="A805" i="14"/>
  <c r="A799" i="14"/>
  <c r="A794" i="14"/>
  <c r="A793" i="14"/>
  <c r="A791" i="14"/>
  <c r="A790" i="14"/>
  <c r="A789" i="14"/>
  <c r="A788" i="14"/>
  <c r="A787" i="14"/>
  <c r="A786" i="14"/>
  <c r="A785" i="14"/>
  <c r="A784" i="14"/>
  <c r="A783" i="14"/>
  <c r="A781" i="14"/>
  <c r="A780" i="14"/>
  <c r="A779" i="14"/>
  <c r="A778" i="14"/>
  <c r="I777" i="14"/>
  <c r="A777" i="14"/>
  <c r="A776" i="14"/>
  <c r="I775" i="14"/>
  <c r="A775" i="14"/>
  <c r="A774" i="14"/>
  <c r="A766" i="14"/>
  <c r="A765" i="14"/>
  <c r="A764" i="14"/>
  <c r="A757" i="14"/>
  <c r="A756" i="14"/>
  <c r="A755" i="14"/>
  <c r="A753" i="14"/>
  <c r="A752" i="14"/>
  <c r="A751" i="14"/>
  <c r="A742" i="14"/>
  <c r="A741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I727" i="14"/>
  <c r="A727" i="14"/>
  <c r="A726" i="14"/>
  <c r="A725" i="14"/>
  <c r="A724" i="14"/>
  <c r="A723" i="14"/>
  <c r="A722" i="14"/>
  <c r="A721" i="14"/>
  <c r="I720" i="14"/>
  <c r="I715" i="14" s="1"/>
  <c r="A720" i="14"/>
  <c r="A719" i="14"/>
  <c r="A718" i="14"/>
  <c r="A717" i="14"/>
  <c r="A716" i="14"/>
  <c r="A715" i="14"/>
  <c r="A714" i="14"/>
  <c r="A713" i="14"/>
  <c r="A712" i="14"/>
  <c r="A711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F31" i="16"/>
  <c r="A687" i="14"/>
  <c r="A686" i="14"/>
  <c r="A685" i="14"/>
  <c r="I683" i="14"/>
  <c r="I681" i="14"/>
  <c r="A665" i="14"/>
  <c r="A664" i="14"/>
  <c r="A663" i="14"/>
  <c r="A662" i="14"/>
  <c r="A661" i="14"/>
  <c r="I656" i="14"/>
  <c r="I653" i="14" s="1"/>
  <c r="A655" i="14"/>
  <c r="A654" i="14"/>
  <c r="A653" i="14"/>
  <c r="A652" i="14"/>
  <c r="A651" i="14"/>
  <c r="A645" i="14"/>
  <c r="A614" i="14"/>
  <c r="A613" i="14"/>
  <c r="A612" i="14"/>
  <c r="A611" i="14"/>
  <c r="I610" i="14"/>
  <c r="A610" i="14"/>
  <c r="A609" i="14"/>
  <c r="A608" i="14"/>
  <c r="A607" i="14"/>
  <c r="A606" i="14"/>
  <c r="A605" i="14"/>
  <c r="A604" i="14"/>
  <c r="A603" i="14"/>
  <c r="A586" i="14"/>
  <c r="A585" i="14"/>
  <c r="A584" i="14"/>
  <c r="A583" i="14"/>
  <c r="A580" i="14"/>
  <c r="A579" i="14"/>
  <c r="A576" i="14"/>
  <c r="A575" i="14"/>
  <c r="A574" i="14"/>
  <c r="A573" i="14"/>
  <c r="A570" i="14"/>
  <c r="A569" i="14"/>
  <c r="A568" i="14"/>
  <c r="A562" i="14"/>
  <c r="A561" i="14"/>
  <c r="A560" i="14"/>
  <c r="A559" i="14"/>
  <c r="A554" i="14"/>
  <c r="A553" i="14"/>
  <c r="A552" i="14"/>
  <c r="A551" i="14"/>
  <c r="A550" i="14"/>
  <c r="A540" i="14"/>
  <c r="A539" i="14"/>
  <c r="I530" i="14"/>
  <c r="I520" i="14" s="1"/>
  <c r="A530" i="14"/>
  <c r="A522" i="14"/>
  <c r="A521" i="14"/>
  <c r="A520" i="14"/>
  <c r="A519" i="14"/>
  <c r="A518" i="14"/>
  <c r="A517" i="14"/>
  <c r="A510" i="14"/>
  <c r="A501" i="14"/>
  <c r="A500" i="14"/>
  <c r="A499" i="14"/>
  <c r="A498" i="14"/>
  <c r="A495" i="14"/>
  <c r="A494" i="14"/>
  <c r="A493" i="14"/>
  <c r="A492" i="14"/>
  <c r="A481" i="14"/>
  <c r="A480" i="14"/>
  <c r="A479" i="14"/>
  <c r="A478" i="14"/>
  <c r="A477" i="14"/>
  <c r="A476" i="14"/>
  <c r="A473" i="14"/>
  <c r="A472" i="14"/>
  <c r="A471" i="14"/>
  <c r="A470" i="14"/>
  <c r="A469" i="14"/>
  <c r="A468" i="14"/>
  <c r="A467" i="14"/>
  <c r="A466" i="14"/>
  <c r="A465" i="14"/>
  <c r="A464" i="14"/>
  <c r="A463" i="14"/>
  <c r="A449" i="14"/>
  <c r="A448" i="14"/>
  <c r="A383" i="14"/>
  <c r="A382" i="14"/>
  <c r="A380" i="14"/>
  <c r="A379" i="14"/>
  <c r="A233" i="14"/>
  <c r="A231" i="14"/>
  <c r="A145" i="14"/>
  <c r="A126" i="14"/>
  <c r="A125" i="14"/>
  <c r="A124" i="14"/>
  <c r="A123" i="14"/>
  <c r="A122" i="14"/>
  <c r="A121" i="14"/>
  <c r="A117" i="14"/>
  <c r="A116" i="14"/>
  <c r="A115" i="14"/>
  <c r="A106" i="14"/>
  <c r="A105" i="14"/>
  <c r="A98" i="14"/>
  <c r="A97" i="14"/>
  <c r="A96" i="14"/>
  <c r="A93" i="14"/>
  <c r="A92" i="14"/>
  <c r="A89" i="14"/>
  <c r="A61" i="14"/>
  <c r="A59" i="14"/>
  <c r="A58" i="14"/>
  <c r="A57" i="14"/>
  <c r="A56" i="14"/>
  <c r="A55" i="14"/>
  <c r="A54" i="14"/>
  <c r="A50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8" i="14"/>
  <c r="A27" i="14"/>
  <c r="A26" i="14"/>
  <c r="A23" i="14"/>
  <c r="A21" i="14"/>
  <c r="A20" i="14"/>
  <c r="A19" i="14"/>
  <c r="A18" i="14"/>
  <c r="A17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1192" i="14" l="1"/>
  <c r="I1191" i="14" s="1"/>
  <c r="I1190" i="14" s="1"/>
  <c r="I854" i="14"/>
  <c r="I853" i="14" s="1"/>
  <c r="I852" i="14" s="1"/>
  <c r="I851" i="14" s="1"/>
  <c r="C10" i="5"/>
  <c r="E10" i="5" s="1"/>
  <c r="L591" i="15"/>
  <c r="L590" i="15" s="1"/>
  <c r="I591" i="15"/>
  <c r="I590" i="15" s="1"/>
  <c r="I1053" i="14"/>
  <c r="I1052" i="14" s="1"/>
  <c r="I1051" i="14" s="1"/>
  <c r="I1050" i="14" s="1"/>
  <c r="I443" i="15"/>
  <c r="I519" i="14"/>
  <c r="I518" i="14"/>
  <c r="I774" i="14"/>
  <c r="I766" i="14" s="1"/>
  <c r="I765" i="14" s="1"/>
  <c r="I764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944" i="14"/>
  <c r="I943" i="14" s="1"/>
  <c r="D54" i="16"/>
  <c r="F22" i="16"/>
  <c r="C15" i="5"/>
  <c r="E15" i="5" s="1"/>
  <c r="E18" i="5"/>
  <c r="E11" i="6"/>
  <c r="C10" i="6"/>
  <c r="H11" i="6"/>
  <c r="F10" i="6"/>
  <c r="I1080" i="14"/>
  <c r="I1079" i="14" s="1"/>
  <c r="I928" i="14"/>
  <c r="I919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612" i="14"/>
  <c r="I613" i="14"/>
  <c r="F33" i="16"/>
  <c r="I741" i="14"/>
  <c r="I740" i="14" s="1"/>
  <c r="I1209" i="14"/>
  <c r="D104" i="16"/>
  <c r="F104" i="16"/>
  <c r="I560" i="14"/>
  <c r="D43" i="16"/>
  <c r="F43" i="16"/>
  <c r="I1214" i="14"/>
  <c r="F125" i="16"/>
  <c r="C52" i="3"/>
  <c r="I58" i="14"/>
  <c r="I467" i="14"/>
  <c r="I463" i="14" s="1"/>
  <c r="I449" i="14" s="1"/>
  <c r="I448" i="14" s="1"/>
  <c r="I468" i="14"/>
  <c r="I675" i="14"/>
  <c r="I674" i="14" s="1"/>
  <c r="I1187" i="14"/>
  <c r="D122" i="16"/>
  <c r="I604" i="14"/>
  <c r="I605" i="14"/>
  <c r="I668" i="14"/>
  <c r="F36" i="16" s="1"/>
  <c r="I669" i="14"/>
  <c r="I553" i="14"/>
  <c r="I1114" i="14"/>
  <c r="I1113" i="14" s="1"/>
  <c r="F58" i="16" s="1"/>
  <c r="I710" i="14"/>
  <c r="I686" i="14" s="1"/>
  <c r="I685" i="14" s="1"/>
  <c r="I711" i="14"/>
  <c r="I751" i="14"/>
  <c r="I752" i="14"/>
  <c r="I817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918" i="14" l="1"/>
  <c r="I917" i="14" s="1"/>
  <c r="I916" i="14" s="1"/>
  <c r="L589" i="15"/>
  <c r="L588" i="15" s="1"/>
  <c r="I1078" i="14"/>
  <c r="I1077" i="14" s="1"/>
  <c r="I589" i="15"/>
  <c r="I588" i="15" s="1"/>
  <c r="L352" i="15"/>
  <c r="L346" i="15" s="1"/>
  <c r="I442" i="15"/>
  <c r="I441" i="15" s="1"/>
  <c r="I440" i="15" s="1"/>
  <c r="I423" i="15" s="1"/>
  <c r="I652" i="14"/>
  <c r="I651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816" i="14"/>
  <c r="I806" i="14" s="1"/>
  <c r="D44" i="16"/>
  <c r="F37" i="16"/>
  <c r="D29" i="16"/>
  <c r="I559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213" i="14"/>
  <c r="F59" i="16" s="1"/>
  <c r="D69" i="16"/>
  <c r="F69" i="16"/>
  <c r="I609" i="14"/>
  <c r="I1185" i="14"/>
  <c r="I1116" i="14" s="1"/>
  <c r="I1186" i="14"/>
  <c r="D103" i="16"/>
  <c r="F103" i="16"/>
  <c r="E52" i="3"/>
  <c r="D65" i="16"/>
  <c r="F65" i="16"/>
  <c r="I1208" i="14"/>
  <c r="I738" i="14"/>
  <c r="I739" i="14"/>
  <c r="C20" i="3"/>
  <c r="F21" i="16"/>
  <c r="I603" i="14"/>
  <c r="I568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51" i="14"/>
  <c r="I552" i="14"/>
  <c r="D64" i="16"/>
  <c r="F64" i="16"/>
  <c r="C60" i="3"/>
  <c r="F30" i="16"/>
  <c r="I1047" i="14"/>
  <c r="D23" i="16"/>
  <c r="F23" i="16"/>
  <c r="D100" i="16"/>
  <c r="F100" i="16"/>
  <c r="D68" i="16"/>
  <c r="D108" i="16"/>
  <c r="D125" i="16"/>
  <c r="I680" i="14"/>
  <c r="F35" i="16"/>
  <c r="I1112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844" i="14"/>
  <c r="I843" i="14" s="1"/>
  <c r="I842" i="14" s="1"/>
  <c r="I831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7" i="14"/>
  <c r="I37" i="14" s="1"/>
  <c r="I10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111" i="14"/>
  <c r="D60" i="16"/>
  <c r="D17" i="16"/>
  <c r="I679" i="14"/>
  <c r="F17" i="16" s="1"/>
  <c r="F121" i="16"/>
  <c r="D121" i="16"/>
  <c r="I1211" i="14"/>
  <c r="I1212" i="14"/>
  <c r="I1046" i="14"/>
  <c r="E62" i="3" s="1"/>
  <c r="C117" i="3"/>
  <c r="E118" i="3"/>
  <c r="E117" i="3" s="1"/>
  <c r="D28" i="16"/>
  <c r="I673" i="14"/>
  <c r="F14" i="16" s="1"/>
  <c r="D14" i="16"/>
  <c r="I1206" i="14"/>
  <c r="I1189" i="14" s="1"/>
  <c r="I1207" i="14"/>
  <c r="F40" i="16" s="1"/>
  <c r="I607" i="14"/>
  <c r="I562" i="14" s="1"/>
  <c r="I608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805" i="14" l="1"/>
  <c r="E171" i="21"/>
  <c r="E174" i="21" s="1"/>
  <c r="D171" i="21"/>
  <c r="H22" i="4"/>
  <c r="I267" i="15"/>
  <c r="F60" i="16"/>
  <c r="I1076" i="14"/>
  <c r="I1032" i="14" s="1"/>
  <c r="H73" i="4"/>
  <c r="F118" i="16"/>
  <c r="F112" i="16"/>
  <c r="F18" i="21"/>
  <c r="C85" i="4"/>
  <c r="F19" i="16"/>
  <c r="I550" i="14"/>
  <c r="I517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72" i="14"/>
  <c r="I671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645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99" i="14"/>
  <c r="E105" i="3" s="1"/>
  <c r="E103" i="3" s="1"/>
  <c r="D186" i="16"/>
  <c r="D190" i="16" s="1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510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256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1058" i="14"/>
  <c r="H1053" i="14" s="1"/>
  <c r="H1052" i="14" s="1"/>
  <c r="H1051" i="14" l="1"/>
  <c r="E19" i="16"/>
  <c r="H1050" i="14" l="1"/>
  <c r="E10" i="16"/>
  <c r="E186" i="16" s="1"/>
  <c r="E190" i="16" l="1"/>
  <c r="H1032" i="14"/>
  <c r="H1256" i="14" s="1"/>
  <c r="D74" i="3"/>
  <c r="D71" i="3" s="1"/>
  <c r="D121" i="3" s="1"/>
  <c r="D22" i="5" s="1"/>
  <c r="D122" i="3" l="1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<sst xmlns="http://schemas.openxmlformats.org/spreadsheetml/2006/main" count="5066" uniqueCount="1809">
  <si>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</si>
  <si>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</si>
  <si>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</si>
  <si>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</si>
  <si>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</si>
  <si>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</si>
  <si>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</si>
  <si>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</si>
  <si>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</si>
  <si>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</si>
  <si>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</si>
  <si>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</si>
  <si>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</si>
  <si>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</si>
  <si>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</si>
  <si>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</si>
  <si>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</si>
  <si>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</si>
  <si>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</si>
  <si>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</si>
  <si>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</si>
  <si>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</si>
  <si>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</si>
  <si>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</si>
  <si>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</si>
  <si>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</si>
  <si>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</si>
  <si>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</si>
  <si>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</si>
  <si>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</si>
  <si>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</si>
  <si>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</si>
  <si>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</si>
  <si>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</si>
  <si>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</si>
  <si>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</si>
  <si>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</si>
  <si>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</si>
  <si>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</si>
  <si>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</si>
  <si>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</si>
  <si>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</si>
  <si>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</si>
  <si>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</si>
  <si>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</si>
  <si>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</si>
  <si>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</si>
  <si>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</si>
  <si>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</si>
  <si>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</si>
  <si>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</si>
  <si>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</si>
  <si>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</si>
  <si>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</si>
  <si>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</si>
  <si>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</si>
  <si>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</si>
  <si>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</si>
  <si>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</si>
  <si>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</si>
  <si>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</si>
  <si>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</si>
  <si>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</si>
  <si>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</si>
  <si>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</si>
  <si>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</si>
  <si>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</si>
  <si>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</si>
  <si>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</si>
  <si>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</si>
  <si>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</si>
  <si>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</si>
  <si>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</si>
  <si>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</si>
  <si>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</si>
  <si>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</si>
  <si>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</si>
  <si>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</si>
  <si>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</si>
  <si>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</si>
  <si>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</si>
  <si>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</si>
  <si>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</si>
  <si>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</si>
  <si>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</si>
  <si>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</si>
  <si>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</si>
  <si>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</si>
  <si>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</si>
  <si>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</si>
  <si>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</si>
  <si>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</si>
  <si>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</si>
  <si>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</si>
  <si>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</si>
  <si>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</si>
  <si>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</si>
  <si>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</si>
  <si>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</si>
  <si>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</si>
  <si>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</si>
  <si>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</si>
  <si>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</si>
  <si>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</si>
  <si>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</si>
  <si>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</si>
  <si>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</si>
  <si>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</si>
  <si>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</si>
  <si>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</si>
  <si>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</si>
  <si>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</si>
  <si>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</si>
  <si>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</si>
  <si>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</si>
  <si>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</si>
  <si>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</si>
  <si>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</si>
  <si>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</si>
  <si>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</si>
  <si>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</si>
  <si>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</si>
  <si>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</si>
  <si>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</si>
  <si>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</si>
  <si>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</si>
  <si>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</si>
  <si>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</si>
  <si>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</si>
  <si>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</si>
  <si>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</si>
  <si>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</si>
  <si>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</si>
  <si>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</si>
  <si>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</si>
  <si>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</si>
  <si>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</si>
  <si>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</si>
  <si>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</si>
  <si>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</si>
  <si>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</si>
  <si>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</si>
  <si>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</si>
  <si>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</si>
  <si>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</si>
  <si>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</si>
  <si>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</si>
  <si>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</si>
  <si>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</si>
  <si>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</si>
  <si>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</si>
  <si>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</si>
  <si>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</si>
  <si>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</si>
  <si>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</si>
  <si>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</si>
  <si>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</si>
  <si>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</si>
  <si>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</si>
  <si>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</si>
  <si>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</si>
  <si>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</si>
  <si>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</si>
  <si>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</si>
  <si>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</si>
  <si>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</si>
  <si>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</si>
  <si>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</si>
  <si>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</si>
  <si>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</si>
  <si>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</si>
  <si>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</si>
  <si>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</si>
  <si>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</si>
  <si>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</si>
  <si>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</si>
  <si>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</si>
  <si>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</si>
  <si>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</si>
  <si>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</si>
  <si>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</si>
  <si>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</si>
  <si>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</si>
  <si>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</si>
  <si>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</si>
  <si>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</si>
  <si>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</si>
  <si>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</si>
  <si>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</si>
  <si>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</si>
  <si>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</si>
  <si>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</si>
  <si>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</si>
  <si>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</si>
  <si>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</si>
  <si>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</si>
  <si>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</si>
  <si>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</si>
  <si>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</si>
  <si>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</si>
  <si>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</si>
  <si>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</si>
  <si>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</si>
  <si>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</si>
  <si>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</si>
  <si>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</si>
  <si>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</si>
  <si>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</si>
  <si>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</si>
  <si>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</si>
  <si>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</si>
  <si>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</si>
  <si>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</si>
  <si>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</si>
  <si>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</si>
  <si>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</si>
  <si>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</si>
  <si>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</si>
  <si>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</si>
  <si>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</si>
  <si>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</si>
  <si>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</si>
  <si>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</si>
  <si>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</si>
  <si>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</si>
  <si>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</si>
  <si>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</si>
  <si>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</si>
  <si>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</si>
  <si>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</si>
  <si>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</si>
  <si>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</si>
  <si>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</si>
  <si>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</si>
  <si>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</si>
  <si>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</si>
  <si>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</si>
  <si>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</si>
  <si>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</si>
  <si>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</si>
  <si>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</si>
  <si>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</si>
  <si>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</si>
  <si>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</si>
  <si>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</si>
  <si>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</si>
  <si>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</si>
  <si>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</si>
  <si>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</si>
  <si>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</si>
  <si>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</si>
  <si>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</si>
  <si>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</si>
  <si>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</si>
  <si>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</si>
  <si>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</si>
  <si>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</si>
  <si>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</si>
  <si>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</si>
  <si>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</si>
  <si>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</si>
  <si>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</si>
  <si>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</si>
  <si>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</si>
  <si>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</si>
  <si>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</si>
  <si>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</si>
  <si>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</si>
  <si>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</si>
  <si>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</si>
  <si>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</si>
  <si>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</si>
  <si>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</si>
  <si>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</si>
  <si>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</si>
  <si>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</si>
  <si>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</si>
  <si>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</si>
  <si>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</si>
  <si>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</si>
  <si>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</si>
  <si>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</si>
  <si>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</si>
  <si>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</si>
  <si>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</si>
  <si>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</si>
  <si>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</si>
  <si>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</si>
  <si>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</si>
  <si>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</si>
  <si>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</si>
  <si>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</si>
  <si>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</si>
  <si>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</si>
  <si>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</si>
  <si>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</si>
  <si>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</si>
  <si>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</si>
  <si>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</si>
  <si>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</si>
  <si>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</si>
  <si>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</si>
  <si>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</si>
  <si>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</si>
  <si>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</si>
  <si>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</si>
  <si>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</si>
  <si>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</si>
  <si>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</si>
  <si>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</si>
  <si>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</si>
  <si>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</si>
  <si>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</si>
  <si>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</si>
  <si>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</si>
  <si>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</si>
  <si>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</si>
  <si>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</si>
  <si>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</si>
  <si>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</si>
  <si>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</si>
  <si>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</si>
  <si>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</si>
  <si>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</si>
  <si>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</si>
  <si>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</si>
  <si>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</si>
  <si>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</si>
  <si>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</si>
  <si>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</si>
  <si>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</si>
  <si>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</si>
  <si>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</si>
  <si>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</si>
  <si>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</si>
  <si>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</si>
  <si>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</si>
  <si>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</si>
  <si>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</si>
  <si>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</si>
  <si>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</si>
  <si>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</si>
  <si>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</si>
  <si>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</si>
  <si>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</si>
  <si>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</si>
  <si>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</si>
  <si>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</si>
  <si>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</si>
  <si>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</si>
  <si>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</si>
  <si>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</si>
  <si>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</si>
  <si>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</si>
  <si>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</si>
  <si>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</si>
  <si>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</si>
  <si>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</si>
  <si>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</si>
  <si>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</si>
  <si>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</si>
  <si>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</si>
  <si>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</si>
  <si>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</si>
  <si>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</si>
  <si>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</si>
  <si>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</si>
  <si>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</si>
  <si>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</si>
  <si>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</si>
  <si>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</si>
  <si>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</si>
  <si>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</si>
  <si>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</si>
  <si>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</si>
  <si>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</si>
  <si>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</si>
  <si>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</si>
  <si>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</si>
  <si>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</si>
  <si>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</si>
  <si>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</si>
  <si>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</si>
  <si>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</si>
  <si>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</si>
  <si>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</si>
  <si>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</si>
  <si>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</si>
  <si>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</si>
  <si>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</si>
  <si>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</si>
  <si>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</si>
  <si>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</si>
  <si>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</si>
  <si>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</si>
  <si>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</si>
  <si>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</si>
  <si>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</si>
  <si>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</si>
  <si>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</si>
  <si>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</si>
  <si>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</si>
  <si>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</si>
  <si>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</si>
  <si>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</si>
  <si>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</si>
  <si>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</si>
  <si>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</si>
  <si>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</si>
  <si>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</si>
  <si>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</si>
  <si>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</si>
  <si>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</si>
  <si>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</si>
  <si>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</si>
  <si>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</si>
  <si>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</si>
  <si>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</si>
  <si>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</si>
  <si>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</si>
  <si>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</si>
  <si>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</si>
  <si>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</si>
  <si>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</si>
  <si>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</si>
  <si>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</si>
  <si>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</si>
  <si>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</si>
  <si>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</si>
  <si>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</si>
  <si>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</si>
  <si>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</si>
  <si>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</si>
  <si>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</si>
  <si>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</si>
  <si>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</si>
  <si>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</si>
  <si>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</si>
  <si>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</si>
  <si>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</si>
  <si>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</si>
  <si>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</si>
  <si>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</si>
  <si>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</si>
  <si>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</si>
  <si>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</si>
  <si>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</si>
  <si>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</si>
  <si>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</si>
  <si>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</si>
  <si>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</si>
  <si>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</si>
  <si>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</si>
  <si>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</si>
  <si>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</si>
  <si>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</si>
  <si>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</si>
  <si>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</si>
  <si>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</si>
  <si>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</si>
  <si>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</si>
  <si>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</si>
  <si>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</si>
  <si>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</si>
  <si>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</si>
  <si>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</si>
  <si>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</si>
  <si>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</si>
  <si>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</si>
  <si>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</si>
  <si>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</si>
  <si>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</si>
  <si>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</si>
  <si>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</si>
  <si>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</si>
  <si>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</si>
  <si>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</si>
  <si>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</si>
  <si>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</si>
  <si>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</si>
  <si>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</si>
  <si>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</si>
  <si>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</si>
  <si>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</si>
  <si>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</si>
  <si>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</si>
  <si>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</si>
  <si>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</si>
  <si>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</si>
  <si>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</si>
  <si>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</si>
  <si>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</si>
  <si>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</si>
  <si>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</si>
  <si>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</si>
  <si>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</si>
  <si>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</si>
  <si>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</si>
  <si>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</si>
  <si>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</si>
  <si>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</si>
  <si>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</si>
  <si>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</si>
  <si>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</si>
  <si>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</si>
  <si>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</si>
  <si>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</si>
  <si>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</si>
  <si>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</si>
  <si>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</si>
  <si>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</si>
  <si>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</si>
  <si>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</si>
  <si>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</si>
  <si>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</si>
  <si>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</si>
  <si>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</si>
  <si>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</si>
  <si>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</si>
  <si>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</si>
  <si>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</si>
  <si>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</si>
  <si>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</si>
  <si>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</si>
  <si>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</si>
  <si>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</si>
  <si>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</si>
  <si>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</si>
  <si>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</si>
  <si>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</si>
  <si>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</si>
  <si>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</si>
  <si>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</si>
  <si>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</si>
  <si>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</si>
  <si>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</si>
  <si>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</si>
  <si>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</si>
  <si>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</si>
  <si>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</si>
  <si>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</si>
  <si>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</si>
  <si>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</si>
  <si>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</si>
  <si>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</si>
  <si>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</si>
  <si>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</si>
  <si>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</si>
  <si>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</si>
  <si>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</si>
  <si>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</si>
  <si>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</si>
  <si>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</si>
  <si>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</si>
  <si>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</si>
  <si>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</si>
  <si>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</si>
  <si>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</si>
  <si>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</si>
  <si>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</si>
  <si>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</si>
  <si>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</si>
  <si>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</si>
  <si>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</si>
  <si>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</si>
  <si>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</si>
  <si>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</si>
  <si>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</si>
  <si>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</si>
  <si>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</si>
  <si>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</si>
  <si>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</si>
  <si>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</si>
  <si>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</si>
  <si>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</si>
  <si>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</si>
  <si>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</si>
  <si>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</si>
  <si>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</si>
  <si>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</si>
  <si>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</si>
  <si>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</si>
  <si>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</si>
  <si>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</si>
  <si>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</si>
  <si>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</si>
  <si>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</si>
  <si>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</si>
  <si>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</si>
  <si>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</si>
  <si>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</si>
  <si>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</si>
  <si>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</si>
  <si>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</si>
  <si>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</si>
  <si>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</si>
  <si>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</si>
  <si>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</si>
  <si>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</si>
  <si>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</si>
  <si>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</si>
  <si>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</si>
  <si>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</si>
  <si>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</si>
  <si>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</si>
  <si>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</si>
  <si>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</si>
  <si>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</si>
  <si>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</si>
  <si>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</si>
  <si>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</si>
  <si>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</si>
  <si>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</si>
  <si>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</si>
  <si>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</si>
  <si>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</si>
  <si>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</si>
  <si>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</si>
  <si>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</si>
  <si>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</si>
  <si>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</si>
  <si>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</si>
  <si>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</si>
  <si>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</si>
  <si>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</si>
  <si>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</si>
  <si>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</si>
  <si>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</si>
  <si>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</si>
  <si>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</si>
  <si>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</si>
  <si>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</si>
  <si>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</si>
  <si>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</si>
  <si>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</si>
  <si>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</si>
  <si>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</si>
  <si>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</si>
  <si>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</si>
  <si>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</si>
  <si>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</si>
  <si>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</si>
  <si>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</si>
  <si>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</si>
  <si>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</si>
  <si>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</si>
  <si>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</si>
  <si>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</si>
  <si>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</si>
  <si>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</si>
  <si>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</si>
  <si>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</si>
  <si>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</si>
  <si>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</si>
  <si>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</si>
  <si>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</si>
  <si>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</si>
  <si>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</si>
  <si>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</si>
  <si>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</si>
  <si>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</si>
  <si>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</si>
  <si>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</si>
  <si>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</si>
  <si>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</si>
  <si>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</si>
  <si>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</si>
  <si>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</si>
  <si>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</si>
  <si>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</si>
  <si>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</si>
  <si>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</si>
  <si>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</si>
  <si>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</si>
  <si>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</si>
  <si>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</si>
  <si>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</si>
  <si>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</si>
  <si>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</si>
  <si>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</si>
  <si>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</si>
  <si>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</si>
  <si>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</si>
  <si>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</si>
  <si>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</si>
  <si>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</si>
  <si>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</si>
  <si>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</si>
  <si>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</si>
  <si>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</si>
  <si>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</si>
  <si>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</si>
  <si>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</si>
  <si>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</si>
  <si>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</si>
  <si>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</si>
  <si>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</si>
  <si>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</si>
  <si>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</si>
  <si>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</si>
  <si>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</si>
  <si>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</si>
  <si>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</si>
  <si>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</si>
  <si>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</si>
  <si>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</si>
  <si>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</si>
  <si>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</si>
  <si>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</si>
  <si>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</si>
  <si>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</si>
  <si>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</si>
  <si>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</si>
  <si>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</si>
  <si>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</si>
  <si>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</si>
  <si>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</si>
  <si>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</si>
  <si>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</si>
  <si>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</si>
  <si>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</si>
  <si>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</si>
  <si>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</si>
  <si>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</si>
  <si>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</si>
  <si>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</si>
  <si>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</si>
  <si>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</si>
  <si>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</si>
  <si>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</si>
  <si>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</si>
  <si>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</si>
  <si>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</si>
  <si>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</si>
  <si>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</si>
  <si>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</si>
  <si>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</si>
  <si>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</si>
  <si>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</si>
  <si>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</si>
  <si>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</si>
  <si>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</si>
  <si>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</si>
  <si>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</si>
  <si>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</si>
  <si>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</si>
  <si>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</si>
  <si>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</si>
  <si>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</si>
  <si>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</si>
  <si>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</si>
  <si>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</si>
  <si>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</si>
  <si>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</si>
  <si>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</si>
  <si>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</si>
  <si>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</si>
  <si>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</si>
  <si>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</si>
  <si>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</si>
  <si>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</si>
  <si>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</si>
  <si>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</si>
  <si>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</si>
  <si>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</si>
  <si>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</si>
  <si>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</si>
  <si>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</si>
  <si>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</si>
  <si>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</si>
  <si>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</si>
  <si>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</si>
  <si>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</si>
  <si>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</si>
  <si>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</si>
  <si>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</si>
  <si>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</si>
  <si>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</si>
  <si>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</si>
  <si>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</si>
  <si>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</si>
  <si>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</si>
  <si>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</si>
  <si>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</si>
  <si>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</si>
  <si>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</si>
  <si>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</si>
  <si>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</si>
  <si>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</si>
  <si>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</si>
  <si>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</si>
  <si>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</si>
  <si>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</si>
  <si>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</si>
  <si>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</si>
  <si>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</si>
  <si>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</si>
  <si>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</si>
  <si>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</si>
  <si>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</si>
  <si>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</si>
  <si>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</si>
  <si>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</si>
  <si>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</si>
  <si>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</si>
  <si>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</si>
  <si>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</si>
  <si>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</si>
  <si>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</si>
  <si>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</si>
  <si>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</si>
  <si>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</si>
  <si>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</si>
  <si>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</si>
  <si>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</si>
  <si>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</si>
  <si>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</si>
  <si>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</si>
  <si>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</si>
  <si>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</si>
  <si>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</si>
  <si>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</si>
  <si>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</si>
  <si>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</si>
  <si>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</si>
  <si>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</si>
  <si>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</si>
  <si>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</si>
  <si>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</si>
  <si>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</si>
  <si>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</si>
  <si>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</si>
  <si>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</si>
  <si>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</si>
  <si>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</si>
  <si>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</si>
  <si>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</si>
  <si>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</si>
  <si>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</si>
  <si>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</si>
  <si>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</si>
  <si>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</si>
  <si>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</si>
  <si>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</si>
  <si>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</si>
  <si>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</si>
  <si>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</si>
  <si>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</si>
  <si>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</si>
  <si>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</si>
  <si>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</si>
  <si>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</si>
  <si>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</si>
  <si>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</si>
  <si>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</si>
  <si>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</si>
  <si>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</si>
  <si>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</si>
  <si>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</si>
  <si>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</si>
  <si>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</si>
  <si>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</si>
  <si>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</si>
  <si>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</si>
  <si>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</si>
  <si>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</si>
  <si>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</si>
  <si>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</si>
  <si>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</si>
  <si>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</si>
  <si>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</si>
  <si>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</si>
  <si>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</si>
  <si>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</si>
  <si>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</si>
  <si>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</si>
  <si>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</si>
  <si>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</si>
  <si>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</si>
  <si>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</si>
  <si>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</si>
  <si>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</si>
  <si>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</si>
  <si>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</si>
  <si>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</si>
  <si>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</si>
  <si>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</si>
  <si>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</si>
  <si>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</si>
  <si>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</si>
  <si>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</si>
  <si>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</si>
  <si>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</si>
  <si>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</si>
  <si>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</si>
  <si>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</si>
  <si>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</si>
  <si>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</si>
  <si>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</si>
  <si>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</si>
  <si>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</si>
  <si>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</si>
  <si>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</si>
  <si>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</si>
  <si>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</si>
  <si>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</si>
  <si>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</si>
  <si>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</si>
  <si>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</si>
  <si>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</si>
  <si>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</si>
  <si>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</si>
  <si>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</si>
  <si>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</si>
  <si>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</si>
  <si>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</si>
  <si>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</si>
  <si>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</si>
  <si>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</si>
  <si>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</si>
  <si>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</si>
  <si>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</si>
  <si>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</si>
  <si>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</si>
  <si>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</si>
  <si>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</si>
  <si>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</si>
  <si>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</si>
  <si>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</si>
  <si>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</si>
  <si>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</si>
  <si>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</si>
  <si>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</si>
  <si>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</si>
  <si>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</si>
  <si>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</si>
  <si>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</si>
  <si>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</si>
  <si>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</si>
  <si>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</si>
  <si>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</si>
  <si>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</si>
  <si>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</si>
  <si>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</si>
  <si>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</si>
  <si>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</si>
  <si>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</si>
  <si>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</si>
  <si>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</si>
  <si>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</si>
  <si>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</si>
  <si>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</si>
  <si>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</si>
  <si>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</si>
  <si>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</si>
  <si>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</si>
  <si>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</si>
  <si>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</si>
  <si>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</si>
  <si>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</si>
  <si>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</si>
  <si>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</si>
  <si>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</si>
  <si>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</si>
  <si>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</si>
  <si>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</si>
  <si>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</si>
  <si>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</si>
  <si>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</si>
  <si>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</si>
  <si>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</si>
  <si>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</si>
  <si>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</si>
  <si>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</si>
  <si>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</si>
  <si>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</si>
  <si>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</si>
  <si>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</si>
  <si>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</si>
  <si>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</si>
  <si>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</si>
  <si>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</si>
  <si>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</si>
  <si>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</si>
  <si>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</si>
  <si>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</si>
  <si>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</si>
  <si>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</si>
  <si>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</si>
  <si>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</si>
  <si>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</si>
  <si>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</si>
  <si>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</si>
  <si>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</si>
  <si>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</si>
  <si>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</si>
  <si>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</si>
  <si>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</si>
  <si>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</si>
  <si>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</si>
  <si>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</si>
  <si>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</si>
  <si>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</si>
  <si>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</si>
  <si>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</si>
  <si>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</si>
  <si>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</si>
  <si>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</si>
  <si>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</si>
  <si>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</si>
  <si>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</si>
  <si>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</si>
  <si>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</si>
  <si>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</si>
  <si>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</si>
  <si>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</si>
  <si>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</si>
  <si>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</si>
  <si>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</si>
  <si>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</si>
  <si>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</si>
  <si>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</si>
  <si>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</si>
  <si>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</si>
  <si>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</si>
  <si>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</si>
  <si>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</si>
  <si>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</si>
  <si>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</si>
  <si>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</si>
  <si>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</si>
  <si>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</si>
  <si>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</si>
  <si>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</si>
  <si>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</si>
  <si>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</si>
  <si>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</si>
  <si>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</si>
  <si>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</si>
  <si>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</si>
  <si>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</si>
  <si>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</si>
  <si>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</si>
  <si>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</si>
  <si>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</si>
  <si>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</si>
  <si>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</si>
  <si>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</si>
  <si>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</si>
  <si>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</si>
  <si>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</si>
  <si>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</si>
  <si>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</si>
  <si>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</si>
  <si>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</si>
  <si>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</si>
  <si>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</si>
  <si>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</si>
  <si>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</si>
  <si>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</si>
  <si>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</si>
  <si>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</si>
  <si>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</si>
  <si>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</si>
  <si>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</si>
  <si>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</si>
  <si>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</si>
  <si>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</si>
  <si>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</si>
  <si>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</si>
  <si>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</si>
  <si>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</si>
  <si>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</si>
  <si>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</si>
  <si>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</si>
  <si>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</si>
  <si>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</si>
  <si>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</si>
  <si>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</si>
  <si>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</si>
  <si>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</si>
  <si>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</si>
  <si>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</si>
  <si>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</si>
  <si>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</si>
  <si>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</si>
  <si>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</si>
  <si>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</si>
  <si>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</si>
  <si>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</si>
  <si>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</si>
  <si>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</si>
  <si>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</si>
  <si>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</si>
  <si>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</si>
  <si>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</si>
  <si>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</si>
  <si>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</si>
  <si>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</si>
  <si>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</si>
  <si>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</si>
  <si>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</si>
  <si>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</si>
  <si>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</si>
  <si>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</si>
  <si>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</si>
  <si>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</si>
  <si>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</si>
  <si>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</si>
  <si>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</si>
  <si>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</si>
  <si>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</si>
  <si>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</si>
  <si>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</si>
  <si>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</si>
  <si>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</si>
  <si>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</si>
  <si>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</si>
  <si>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</si>
  <si>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</si>
  <si>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</si>
  <si>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</si>
  <si>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</si>
  <si>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</si>
  <si>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</si>
  <si>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</si>
  <si>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</si>
  <si>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</si>
  <si>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</si>
  <si>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</si>
  <si>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</si>
  <si>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</si>
  <si>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</si>
  <si>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</si>
  <si>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</si>
  <si>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</si>
  <si>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</si>
  <si>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</si>
  <si>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</si>
  <si>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</si>
  <si>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</si>
  <si>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</si>
  <si>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</si>
  <si>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</si>
  <si>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</si>
  <si>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</si>
  <si>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</si>
  <si>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</si>
  <si>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</si>
  <si>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</si>
  <si>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</si>
  <si>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</si>
  <si>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</si>
  <si>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</si>
  <si>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</si>
  <si>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</si>
  <si>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</si>
  <si>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</si>
  <si>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</si>
  <si>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</si>
  <si>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</si>
  <si>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</si>
  <si>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</si>
  <si>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</si>
  <si>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</si>
  <si>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</si>
  <si>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</si>
  <si>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</si>
  <si>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</si>
  <si>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</si>
  <si>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</si>
  <si>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</si>
  <si>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</si>
  <si>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</si>
  <si>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</si>
  <si>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</si>
  <si>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</si>
  <si>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</si>
  <si>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</si>
  <si>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</si>
  <si>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</si>
  <si>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</si>
  <si>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</si>
  <si>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</si>
  <si>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</si>
  <si>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</si>
  <si>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</si>
  <si>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</si>
  <si>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</si>
  <si>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</si>
  <si>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</si>
  <si>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</si>
  <si>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</si>
  <si>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</si>
  <si>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</si>
  <si>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</si>
  <si>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</si>
  <si>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</si>
  <si>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</si>
  <si>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</si>
  <si>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</si>
  <si>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</si>
  <si>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</si>
  <si>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</si>
  <si>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</si>
  <si>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</si>
  <si>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</si>
  <si>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</si>
  <si>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</si>
  <si>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</si>
  <si>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</si>
  <si>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</si>
  <si>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</si>
  <si>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</si>
  <si>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</si>
  <si>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</si>
  <si>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</si>
  <si>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</si>
  <si>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</si>
  <si>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</si>
  <si>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</si>
  <si>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</si>
  <si>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</si>
  <si>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</si>
  <si>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</si>
  <si>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</si>
  <si>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</si>
  <si>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</si>
  <si>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</si>
  <si>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</si>
  <si>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</si>
  <si>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</si>
  <si>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</si>
  <si>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</si>
  <si>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</si>
  <si>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</si>
  <si>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</si>
  <si>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</si>
  <si>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</si>
  <si>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</si>
  <si>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</si>
  <si>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</si>
  <si>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</si>
  <si>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</si>
  <si>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</si>
  <si>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</si>
  <si>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</si>
  <si>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</si>
  <si>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</si>
  <si>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</si>
  <si>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</si>
  <si>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</si>
  <si>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</si>
  <si>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</si>
  <si>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</si>
  <si>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</si>
  <si>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</si>
  <si>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</si>
  <si>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</si>
  <si>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</si>
  <si>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</si>
  <si>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</si>
  <si>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</si>
  <si>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</si>
  <si>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</si>
  <si>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</si>
  <si>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</si>
  <si>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</si>
  <si>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</si>
  <si>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</si>
  <si>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</si>
  <si>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</si>
  <si>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</si>
  <si>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</si>
  <si>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</si>
  <si>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</si>
  <si>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</si>
  <si>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</si>
  <si>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</si>
  <si>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</si>
  <si>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</si>
  <si>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</si>
  <si>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</si>
  <si>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</si>
  <si>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</si>
  <si>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</si>
  <si>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</si>
  <si>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</si>
  <si>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</si>
  <si>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</si>
  <si>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</si>
  <si>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</si>
  <si>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</si>
  <si>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</si>
  <si>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</si>
  <si>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</si>
  <si>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</si>
  <si>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</si>
  <si>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</si>
  <si>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</si>
  <si>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</si>
  <si>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</si>
  <si>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</si>
  <si>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</si>
  <si>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</si>
  <si>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</si>
  <si>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</si>
  <si>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</si>
  <si>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</si>
  <si>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</si>
  <si>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</si>
  <si>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</si>
  <si>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</si>
  <si>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</si>
  <si>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</si>
  <si>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</si>
  <si>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</si>
  <si>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</si>
  <si>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</si>
  <si>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</si>
  <si>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</si>
  <si>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</si>
  <si>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</si>
  <si>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</si>
  <si>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</si>
  <si>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</si>
  <si>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</si>
  <si>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</si>
  <si>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</si>
  <si>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</si>
  <si>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</si>
  <si>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</si>
  <si>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</si>
  <si>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</si>
  <si>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</si>
  <si>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</si>
  <si>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</si>
  <si>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</si>
  <si>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</si>
  <si>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</si>
  <si>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</si>
  <si>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</si>
  <si>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</si>
  <si>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</si>
  <si>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</si>
  <si>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</si>
  <si>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</si>
  <si>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</si>
  <si>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</si>
  <si>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</si>
  <si>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</si>
  <si>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</si>
  <si>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</si>
  <si>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</si>
  <si>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</si>
  <si>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</si>
  <si>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</si>
  <si>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</si>
  <si>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</si>
  <si>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</si>
  <si>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</si>
  <si>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</si>
  <si>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</si>
  <si>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</si>
  <si>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</si>
  <si>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</si>
  <si>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</si>
  <si>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</si>
  <si>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</si>
  <si>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</si>
  <si>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</si>
  <si>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</si>
  <si>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</si>
  <si>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</si>
  <si>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</si>
  <si>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</si>
  <si>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</si>
  <si>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</si>
  <si>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</si>
  <si>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</si>
  <si>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</si>
  <si>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</si>
  <si>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</si>
  <si>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</si>
  <si>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</si>
  <si>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</si>
  <si>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</si>
  <si>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</si>
  <si>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</si>
  <si>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</si>
  <si>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</si>
  <si>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</si>
  <si>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</si>
  <si>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</si>
  <si>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</si>
  <si>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</si>
  <si>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</si>
  <si>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</si>
  <si>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</si>
  <si>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</si>
  <si>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</si>
  <si>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</si>
  <si>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</si>
  <si>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</si>
  <si>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</si>
  <si>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</si>
  <si>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</si>
  <si>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</si>
  <si>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</si>
  <si>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</si>
  <si>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</si>
  <si>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</si>
  <si>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</si>
  <si>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</si>
  <si>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</si>
  <si>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</si>
  <si>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</si>
  <si>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</si>
  <si>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</si>
  <si>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</si>
  <si>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</si>
  <si>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</si>
  <si>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</si>
  <si>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</si>
  <si>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</si>
  <si>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</si>
  <si>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</si>
  <si>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</si>
  <si>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</si>
  <si>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</si>
  <si>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</si>
  <si>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</si>
  <si>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</si>
  <si>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</si>
  <si>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</si>
  <si>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</si>
  <si>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</si>
  <si>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</si>
  <si>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</si>
  <si>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</si>
  <si>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</si>
  <si>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</si>
  <si>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</si>
  <si>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</si>
  <si>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</si>
  <si>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</si>
  <si>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</si>
  <si>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</si>
  <si>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</si>
  <si>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</si>
  <si>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</si>
  <si>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</si>
  <si>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</si>
  <si>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</si>
  <si>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</si>
  <si>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</si>
  <si>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</si>
  <si>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</si>
  <si>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</si>
  <si>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</si>
  <si>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</si>
  <si>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</si>
  <si>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</si>
  <si>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</si>
  <si>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</si>
  <si>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</si>
  <si>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</si>
  <si>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</si>
  <si>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</si>
  <si>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</si>
  <si>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</si>
  <si>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</si>
  <si>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</si>
  <si>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</si>
  <si>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</si>
  <si>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</si>
  <si>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</si>
  <si>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</si>
  <si>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</si>
  <si>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</si>
  <si>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</si>
  <si>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</si>
  <si>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</si>
  <si>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</si>
  <si>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</si>
  <si>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</si>
  <si>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</si>
  <si>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</si>
  <si>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</si>
  <si>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</si>
  <si>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</si>
  <si>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</si>
  <si>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</si>
  <si>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</si>
  <si>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</si>
  <si>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</si>
  <si>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</si>
  <si>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</si>
  <si>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</si>
  <si>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</si>
  <si>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</si>
  <si>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</si>
  <si>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</si>
  <si>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</si>
  <si>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</si>
  <si>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</si>
  <si>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</si>
  <si>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</si>
  <si>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</si>
  <si>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</si>
  <si>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</si>
  <si>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</si>
  <si>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</si>
  <si>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</si>
  <si>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</si>
  <si>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</si>
  <si>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</si>
  <si>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</si>
  <si>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</si>
  <si>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</si>
  <si>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</si>
  <si>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</si>
  <si>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</si>
  <si>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</si>
  <si>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</si>
  <si>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</si>
  <si>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</si>
  <si>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</si>
  <si>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</si>
  <si>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</si>
  <si>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</si>
  <si>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</si>
  <si>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</si>
  <si>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</si>
  <si>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</si>
  <si>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</si>
  <si>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</si>
  <si>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</si>
  <si>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</si>
  <si>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</si>
  <si>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</si>
  <si>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</si>
  <si>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</si>
  <si>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</si>
  <si>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</si>
  <si>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</si>
  <si>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</si>
  <si>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</si>
  <si>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</si>
  <si>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</si>
  <si>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</si>
  <si>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</si>
  <si>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</si>
  <si>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</si>
  <si>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</si>
  <si>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</si>
  <si>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</si>
  <si>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</si>
  <si>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</si>
  <si>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</si>
  <si>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</si>
  <si>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</si>
  <si>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</si>
  <si>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</si>
  <si>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</si>
  <si>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</si>
  <si>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</si>
  <si>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</si>
  <si>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</si>
  <si>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</si>
  <si>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</si>
  <si>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</si>
  <si>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</si>
  <si>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</si>
  <si>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</si>
  <si>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</si>
  <si>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</si>
  <si>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</si>
  <si>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</si>
  <si>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</si>
  <si>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</si>
  <si>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</si>
  <si>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</si>
  <si>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</si>
  <si>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</si>
  <si>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</si>
  <si>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</si>
  <si>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</si>
  <si>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</si>
  <si>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</si>
  <si>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</si>
  <si>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</si>
  <si>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</si>
  <si>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</si>
  <si>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</si>
  <si>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</si>
  <si>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</si>
  <si>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</si>
  <si>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</si>
  <si>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</si>
  <si>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</si>
  <si>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</si>
  <si>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</si>
  <si>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</si>
  <si>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</si>
  <si>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</si>
  <si>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</si>
  <si>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</si>
  <si>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</si>
  <si>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</si>
  <si>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</si>
  <si>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</si>
  <si>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</si>
  <si>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</si>
  <si>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</si>
  <si>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</si>
  <si>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</si>
  <si>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</si>
  <si>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</si>
  <si>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</si>
  <si>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</si>
  <si>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</si>
  <si>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</si>
  <si>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</si>
  <si>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</si>
  <si>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</si>
  <si>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</si>
  <si>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</si>
  <si>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</si>
  <si>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</si>
  <si>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</si>
  <si>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</si>
  <si>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</si>
  <si>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</si>
  <si>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</si>
  <si>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</si>
  <si>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</si>
  <si>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</si>
  <si>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</si>
  <si>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</si>
  <si>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</si>
  <si>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</si>
  <si>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</si>
  <si>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</si>
  <si>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</si>
  <si>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</si>
  <si>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</si>
  <si>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</si>
  <si>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</si>
  <si>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</si>
  <si>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</si>
  <si>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</si>
  <si>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</si>
  <si>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</si>
  <si>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</si>
  <si>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</si>
  <si>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</si>
  <si>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</si>
  <si>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</si>
  <si>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</si>
  <si>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</si>
  <si>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</si>
  <si>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</si>
  <si>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</si>
  <si>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</si>
  <si>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</si>
  <si>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</si>
  <si>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</si>
  <si>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</si>
  <si>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</si>
  <si>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</si>
  <si>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</si>
  <si>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</si>
  <si>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</si>
  <si>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</si>
  <si>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</si>
  <si>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</si>
  <si>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</si>
  <si>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</si>
  <si>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</si>
  <si>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</si>
  <si>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</si>
  <si>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</si>
  <si>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</si>
  <si>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</si>
  <si>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</si>
  <si>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</si>
  <si>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</si>
  <si>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</si>
  <si>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</si>
  <si>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</si>
  <si>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</si>
  <si>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</si>
  <si>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</si>
  <si>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</si>
  <si>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</si>
  <si>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</si>
  <si>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</si>
  <si>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</si>
  <si>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</si>
  <si>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</si>
  <si>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</si>
  <si>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</si>
  <si>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</si>
  <si>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</si>
  <si>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</si>
  <si>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</si>
  <si>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</si>
  <si>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</si>
  <si>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</si>
  <si>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</si>
  <si>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</si>
  <si>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</si>
  <si>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</si>
  <si>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</si>
  <si>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</si>
  <si>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</si>
  <si>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</si>
  <si>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</si>
  <si>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</si>
  <si>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</si>
  <si>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</si>
  <si>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</si>
  <si>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</si>
  <si>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</si>
  <si>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</si>
  <si>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</si>
  <si>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</si>
  <si>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</si>
  <si>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</si>
  <si>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</si>
  <si>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</si>
  <si>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</si>
  <si>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</si>
  <si>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</si>
  <si>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</si>
  <si>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</si>
  <si>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</si>
  <si>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</si>
  <si>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</si>
  <si>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</si>
  <si>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</si>
  <si>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</si>
  <si>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</si>
  <si>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</si>
  <si>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</si>
  <si>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</si>
  <si>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</si>
  <si>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</si>
  <si>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</si>
  <si>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</si>
  <si>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</si>
  <si>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</si>
  <si>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</si>
  <si>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</si>
  <si>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</si>
  <si>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</si>
  <si>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</si>
  <si>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</si>
  <si>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</si>
  <si>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</si>
  <si>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</si>
  <si>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</si>
  <si>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</si>
  <si>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</si>
  <si>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</si>
  <si>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</si>
  <si>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</si>
  <si>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</si>
  <si>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</si>
  <si>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</si>
  <si>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</si>
  <si>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</si>
  <si>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</si>
  <si>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</si>
  <si>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</si>
  <si>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</si>
  <si>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</si>
  <si>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</si>
  <si>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</si>
  <si>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</si>
  <si>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</si>
  <si>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</si>
  <si>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</si>
  <si>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</si>
  <si>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</si>
  <si>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</si>
  <si>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Налог на добычу полезных ископаемых</t>
  </si>
  <si>
    <t>020</t>
  </si>
  <si>
    <t>Налог на добычу общераспространенных полезных ископаемых</t>
  </si>
  <si>
    <t>1008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</si>
  <si>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</si>
  <si>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513</t>
  </si>
  <si>
    <t>Субсидия на капитальный ремонт учреждений культурно-досугового типа в сельской местности</t>
  </si>
  <si>
    <t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t>
  </si>
  <si>
    <t>Поощрение региональных и муниципальных управленческих команд за достижение показателей деятельности органов исполнительной власти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</si>
  <si>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</si>
  <si>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R404F</t>
  </si>
  <si>
    <t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t>
  </si>
  <si>
    <t>Мероприятия по капитальному ремонту  и ремонту дорожных объектов муниципальной собственности</t>
  </si>
  <si>
    <t>Мероприятия  по капитальному ремонту и ремонту дорожных объектов муниципальной собственности  из бюджета ЯО</t>
  </si>
  <si>
    <t>Ежемесячная выплата на детей в возрасте от 3 до 7 лет включительно за счет средств резервного фонда Правительства РФ</t>
  </si>
  <si>
    <t>R302F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</si>
  <si>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резервного фонда Правительства РФ</t>
  </si>
  <si>
    <t>5084F</t>
  </si>
  <si>
    <t>Компенсация расходовза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</si>
  <si>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Прочая закупка товаров,работ и услуг</t>
  </si>
  <si>
    <t>Резервные фонды местных администрации</t>
  </si>
  <si>
    <t>от 22.12.2022 г.№ 163-г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</si>
</sst>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5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  <font>
      <b/>
      <sz val="14"/>
      <name val="Times New Roman Cyr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2" fillId="0" borderId="0"/>
    <xf numFmtId="0" fontId="1" fillId="0" borderId="0"/>
    <xf numFmtId="0" fontId="2" fillId="0" borderId="0"/>
    <xf numFmtId="0" fontId="3" fillId="0" borderId="0"/>
    <xf numFmtId="43" fontId="32" fillId="0" borderId="0" applyFont="0" applyFill="0" applyBorder="0" applyAlignment="0" applyProtection="0"/>
    <xf numFmtId="0" fontId="39" fillId="0" borderId="0"/>
    <xf numFmtId="0" fontId="39" fillId="0" borderId="0"/>
  </cellStyleXfs>
  <cellXfs count="9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4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29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1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0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0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wrapText="1"/>
    </xf>
    <xf numFmtId="0" fontId="0" fillId="8" borderId="0" xfId="0" applyFill="1"/>
    <xf numFmtId="0" fontId="0" fillId="0" borderId="0" xfId="0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3" fontId="39" fillId="0" borderId="28" xfId="0" applyNumberFormat="1" applyFont="1" applyBorder="1" applyAlignment="1">
      <alignment horizontal="right" vertical="center"/>
    </xf>
    <xf numFmtId="49" fontId="42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2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Border="1" applyAlignment="1">
      <alignment horizontal="right" vertical="center"/>
    </xf>
    <xf numFmtId="49" fontId="33" fillId="0" borderId="4" xfId="0" applyNumberFormat="1" applyFont="1" applyBorder="1" applyAlignment="1">
      <alignment horizontal="center" wrapText="1"/>
    </xf>
    <xf numFmtId="0" fontId="33" fillId="0" borderId="28" xfId="0" applyFont="1" applyBorder="1" applyAlignment="1">
      <alignment horizontal="left" wrapText="1"/>
    </xf>
    <xf numFmtId="0" fontId="43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49" fontId="42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0" fontId="0" fillId="12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49" fontId="8" fillId="10" borderId="1" xfId="0" applyNumberFormat="1" applyFont="1" applyFill="1" applyBorder="1" applyAlignment="1">
      <alignment horizontal="center" vertical="justify"/>
    </xf>
    <xf numFmtId="49" fontId="8" fillId="10" borderId="1" xfId="0" applyNumberFormat="1" applyFont="1" applyFill="1" applyBorder="1" applyAlignment="1">
      <alignment horizontal="center" vertical="justify" wrapText="1"/>
    </xf>
    <xf numFmtId="0" fontId="5" fillId="10" borderId="1" xfId="0" applyFont="1" applyFill="1" applyBorder="1" applyAlignment="1">
      <alignment horizontal="left" vertical="top" wrapText="1"/>
    </xf>
    <xf numFmtId="3" fontId="5" fillId="10" borderId="1" xfId="1" applyNumberFormat="1" applyFont="1" applyFill="1" applyBorder="1" applyAlignment="1">
      <alignment horizontal="right" vertical="center" wrapText="1"/>
    </xf>
    <xf numFmtId="49" fontId="9" fillId="10" borderId="1" xfId="0" applyNumberFormat="1" applyFont="1" applyFill="1" applyBorder="1" applyAlignment="1">
      <alignment horizontal="center" vertical="justify"/>
    </xf>
    <xf numFmtId="49" fontId="9" fillId="10" borderId="1" xfId="0" applyNumberFormat="1" applyFont="1" applyFill="1" applyBorder="1" applyAlignment="1">
      <alignment horizontal="center" vertical="justify" wrapText="1"/>
    </xf>
    <xf numFmtId="3" fontId="3" fillId="10" borderId="1" xfId="1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center" vertical="justify"/>
    </xf>
    <xf numFmtId="49" fontId="17" fillId="10" borderId="1" xfId="0" applyNumberFormat="1" applyFont="1" applyFill="1" applyBorder="1" applyAlignment="1">
      <alignment horizontal="center" vertical="justify" wrapText="1"/>
    </xf>
    <xf numFmtId="0" fontId="18" fillId="10" borderId="1" xfId="0" applyFont="1" applyFill="1" applyBorder="1" applyAlignment="1">
      <alignment horizontal="left" vertical="top" wrapText="1"/>
    </xf>
    <xf numFmtId="3" fontId="18" fillId="10" borderId="1" xfId="0" applyNumberFormat="1" applyFont="1" applyFill="1" applyBorder="1" applyAlignment="1">
      <alignment horizontal="right" vertical="center"/>
    </xf>
    <xf numFmtId="3" fontId="18" fillId="10" borderId="1" xfId="1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49" fontId="11" fillId="10" borderId="1" xfId="0" applyNumberFormat="1" applyFont="1" applyFill="1" applyBorder="1" applyAlignment="1">
      <alignment horizontal="center" vertical="justify" wrapText="1"/>
    </xf>
    <xf numFmtId="0" fontId="12" fillId="10" borderId="1" xfId="0" applyFont="1" applyFill="1" applyBorder="1" applyAlignment="1">
      <alignment horizontal="left" vertical="top" wrapText="1"/>
    </xf>
    <xf numFmtId="49" fontId="13" fillId="10" borderId="1" xfId="0" applyNumberFormat="1" applyFont="1" applyFill="1" applyBorder="1" applyAlignment="1">
      <alignment horizontal="center" vertical="justify" wrapText="1"/>
    </xf>
    <xf numFmtId="0" fontId="14" fillId="10" borderId="1" xfId="0" applyFont="1" applyFill="1" applyBorder="1" applyAlignment="1">
      <alignment horizontal="left" vertical="top" wrapText="1"/>
    </xf>
    <xf numFmtId="0" fontId="3" fillId="10" borderId="1" xfId="4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/>
    </xf>
    <xf numFmtId="49" fontId="9" fillId="10" borderId="1" xfId="0" applyNumberFormat="1" applyFont="1" applyFill="1" applyBorder="1" applyAlignment="1">
      <alignment horizontal="center" vertical="top"/>
    </xf>
    <xf numFmtId="0" fontId="44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3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horizontal="right" vertical="center"/>
    </xf>
    <xf numFmtId="3" fontId="42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vertical="center"/>
    </xf>
    <xf numFmtId="0" fontId="47" fillId="3" borderId="0" xfId="0" applyFont="1" applyFill="1"/>
    <xf numFmtId="49" fontId="48" fillId="2" borderId="1" xfId="0" applyNumberFormat="1" applyFont="1" applyFill="1" applyBorder="1" applyAlignment="1">
      <alignment horizontal="center" vertical="justify"/>
    </xf>
    <xf numFmtId="49" fontId="48" fillId="2" borderId="1" xfId="0" applyNumberFormat="1" applyFont="1" applyFill="1" applyBorder="1" applyAlignment="1">
      <alignment horizontal="center" vertical="justify" wrapText="1"/>
    </xf>
    <xf numFmtId="0" fontId="33" fillId="2" borderId="1" xfId="0" applyFont="1" applyFill="1" applyBorder="1" applyAlignment="1">
      <alignment horizontal="left" vertical="top" wrapText="1"/>
    </xf>
    <xf numFmtId="3" fontId="33" fillId="0" borderId="3" xfId="0" applyNumberFormat="1" applyFont="1" applyBorder="1"/>
    <xf numFmtId="165" fontId="46" fillId="10" borderId="1" xfId="0" applyNumberFormat="1" applyFont="1" applyFill="1" applyBorder="1" applyAlignment="1">
      <alignment horizontal="center" vertical="center"/>
    </xf>
    <xf numFmtId="166" fontId="46" fillId="10" borderId="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33" fillId="10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65" fontId="46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45" fillId="0" borderId="1" xfId="0" applyNumberFormat="1" applyFont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0" borderId="1" xfId="0" applyNumberFormat="1" applyFont="1" applyFill="1" applyBorder="1" applyAlignment="1">
      <alignment horizontal="right" vertical="center"/>
    </xf>
    <xf numFmtId="3" fontId="46" fillId="10" borderId="1" xfId="0" applyNumberFormat="1" applyFont="1" applyFill="1" applyBorder="1" applyAlignment="1">
      <alignment horizontal="right" vertical="center"/>
    </xf>
    <xf numFmtId="3" fontId="46" fillId="7" borderId="1" xfId="0" applyNumberFormat="1" applyFont="1" applyFill="1" applyBorder="1" applyAlignment="1">
      <alignment horizontal="right" vertical="center"/>
    </xf>
    <xf numFmtId="3" fontId="46" fillId="11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vertical="center" wrapText="1"/>
    </xf>
    <xf numFmtId="3" fontId="5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0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0" fillId="0" borderId="37" xfId="0" applyFont="1" applyBorder="1"/>
    <xf numFmtId="49" fontId="3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5" fillId="0" borderId="1" xfId="0" applyNumberFormat="1" applyFont="1" applyBorder="1" applyAlignment="1">
      <alignment horizontal="right" vertical="center"/>
    </xf>
    <xf numFmtId="49" fontId="50" fillId="10" borderId="24" xfId="0" applyNumberFormat="1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justify"/>
    </xf>
    <xf numFmtId="166" fontId="4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0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6" fillId="10" borderId="1" xfId="0" applyNumberFormat="1" applyFont="1" applyFill="1" applyBorder="1" applyAlignment="1">
      <alignment horizontal="center" vertical="center" textRotation="90"/>
    </xf>
    <xf numFmtId="49" fontId="56" fillId="10" borderId="1" xfId="0" applyNumberFormat="1" applyFont="1" applyFill="1" applyBorder="1" applyAlignment="1">
      <alignment horizontal="center" vertical="center" textRotation="90" wrapText="1"/>
    </xf>
    <xf numFmtId="49" fontId="56" fillId="10" borderId="1" xfId="0" applyNumberFormat="1" applyFont="1" applyFill="1" applyBorder="1" applyAlignment="1">
      <alignment horizontal="left" vertical="center" textRotation="90"/>
    </xf>
    <xf numFmtId="166" fontId="57" fillId="0" borderId="1" xfId="0" applyNumberFormat="1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14" fillId="0" borderId="1" xfId="0" applyFont="1" applyBorder="1" applyAlignment="1">
      <alignment wrapText="1"/>
    </xf>
    <xf numFmtId="0" fontId="50" fillId="0" borderId="0" xfId="0" applyFont="1"/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0" fillId="10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58" fillId="10" borderId="8" xfId="0" applyNumberFormat="1" applyFont="1" applyFill="1" applyBorder="1" applyAlignment="1">
      <alignment horizontal="left" vertical="center" wrapText="1"/>
    </xf>
    <xf numFmtId="49" fontId="5" fillId="16" borderId="17" xfId="0" applyNumberFormat="1" applyFont="1" applyFill="1" applyBorder="1" applyAlignment="1">
      <alignment horizontal="center" wrapText="1"/>
    </xf>
    <xf numFmtId="0" fontId="5" fillId="16" borderId="26" xfId="0" applyFont="1" applyFill="1" applyBorder="1" applyAlignment="1">
      <alignment horizontal="center" wrapText="1"/>
    </xf>
    <xf numFmtId="49" fontId="18" fillId="16" borderId="15" xfId="0" applyNumberFormat="1" applyFont="1" applyFill="1" applyBorder="1" applyAlignment="1">
      <alignment horizontal="center" wrapText="1"/>
    </xf>
    <xf numFmtId="0" fontId="18" fillId="16" borderId="27" xfId="0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left" wrapText="1"/>
    </xf>
    <xf numFmtId="49" fontId="5" fillId="15" borderId="20" xfId="0" applyNumberFormat="1" applyFont="1" applyFill="1" applyBorder="1" applyAlignment="1">
      <alignment horizontal="center" wrapText="1"/>
    </xf>
    <xf numFmtId="49" fontId="5" fillId="15" borderId="17" xfId="0" applyNumberFormat="1" applyFont="1" applyFill="1" applyBorder="1" applyAlignment="1">
      <alignment horizontal="center" wrapText="1"/>
    </xf>
    <xf numFmtId="0" fontId="12" fillId="15" borderId="26" xfId="0" applyFont="1" applyFill="1" applyBorder="1" applyAlignment="1">
      <alignment horizontal="center" wrapText="1"/>
    </xf>
    <xf numFmtId="49" fontId="18" fillId="15" borderId="15" xfId="0" applyNumberFormat="1" applyFont="1" applyFill="1" applyBorder="1" applyAlignment="1">
      <alignment horizontal="center" wrapText="1"/>
    </xf>
    <xf numFmtId="0" fontId="30" fillId="15" borderId="27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14" fillId="15" borderId="28" xfId="0" applyFont="1" applyFill="1" applyBorder="1" applyAlignment="1">
      <alignment horizontal="center" wrapText="1"/>
    </xf>
    <xf numFmtId="49" fontId="18" fillId="15" borderId="4" xfId="0" applyNumberFormat="1" applyFont="1" applyFill="1" applyBorder="1" applyAlignment="1">
      <alignment horizontal="center" wrapText="1"/>
    </xf>
    <xf numFmtId="0" fontId="30" fillId="15" borderId="28" xfId="0" applyFont="1" applyFill="1" applyBorder="1" applyAlignment="1">
      <alignment horizontal="center" wrapText="1"/>
    </xf>
    <xf numFmtId="49" fontId="3" fillId="15" borderId="16" xfId="0" applyNumberFormat="1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left" wrapText="1"/>
    </xf>
    <xf numFmtId="0" fontId="50" fillId="15" borderId="28" xfId="0" applyFont="1" applyFill="1" applyBorder="1" applyAlignment="1">
      <alignment horizontal="left" vertical="center" wrapText="1"/>
    </xf>
    <xf numFmtId="0" fontId="12" fillId="15" borderId="34" xfId="0" applyFont="1" applyFill="1" applyBorder="1" applyAlignment="1">
      <alignment horizontal="center" vertical="top" wrapText="1"/>
    </xf>
    <xf numFmtId="49" fontId="3" fillId="16" borderId="7" xfId="0" applyNumberFormat="1" applyFont="1" applyFill="1" applyBorder="1" applyAlignment="1">
      <alignment horizontal="center" wrapText="1"/>
    </xf>
    <xf numFmtId="0" fontId="3" fillId="16" borderId="7" xfId="0" applyFont="1" applyFill="1" applyBorder="1" applyAlignment="1">
      <alignment horizontal="left"/>
    </xf>
    <xf numFmtId="3" fontId="46" fillId="8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2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49" fontId="48" fillId="10" borderId="1" xfId="0" applyNumberFormat="1" applyFont="1" applyFill="1" applyBorder="1" applyAlignment="1">
      <alignment horizontal="center" vertical="justify" wrapText="1"/>
    </xf>
    <xf numFmtId="3" fontId="39" fillId="0" borderId="1" xfId="0" applyNumberFormat="1" applyFont="1" applyBorder="1" applyAlignment="1">
      <alignment horizontal="right" vertical="center"/>
    </xf>
    <xf numFmtId="167" fontId="35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top" wrapText="1"/>
    </xf>
    <xf numFmtId="49" fontId="42" fillId="0" borderId="5" xfId="0" applyNumberFormat="1" applyFont="1" applyBorder="1" applyAlignment="1">
      <alignment horizontal="right" vertical="center" wrapText="1"/>
    </xf>
    <xf numFmtId="0" fontId="42" fillId="0" borderId="17" xfId="0" applyFont="1" applyBorder="1" applyAlignment="1">
      <alignment horizontal="left" vertical="center" wrapText="1"/>
    </xf>
    <xf numFmtId="0" fontId="59" fillId="6" borderId="0" xfId="0" applyFont="1" applyFill="1" applyAlignment="1">
      <alignment vertical="center"/>
    </xf>
    <xf numFmtId="3" fontId="5" fillId="0" borderId="55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2" fillId="2" borderId="26" xfId="0" applyNumberFormat="1" applyFont="1" applyFill="1" applyBorder="1" applyAlignment="1">
      <alignment horizontal="center" wrapText="1"/>
    </xf>
    <xf numFmtId="166" fontId="23" fillId="10" borderId="1" xfId="0" applyNumberFormat="1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right" wrapText="1"/>
    </xf>
    <xf numFmtId="0" fontId="30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right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167" fontId="36" fillId="0" borderId="19" xfId="0" applyNumberFormat="1" applyFont="1" applyBorder="1" applyAlignment="1">
      <alignment horizontal="left" wrapText="1"/>
    </xf>
    <xf numFmtId="3" fontId="41" fillId="0" borderId="22" xfId="0" applyNumberFormat="1" applyFont="1" applyBorder="1" applyAlignment="1">
      <alignment horizontal="right" vertical="center"/>
    </xf>
    <xf numFmtId="3" fontId="41" fillId="0" borderId="23" xfId="0" applyNumberFormat="1" applyFont="1" applyBorder="1" applyAlignment="1">
      <alignment horizontal="right" vertical="center"/>
    </xf>
    <xf numFmtId="167" fontId="35" fillId="0" borderId="35" xfId="0" applyNumberFormat="1" applyFont="1" applyBorder="1" applyAlignment="1">
      <alignment wrapText="1"/>
    </xf>
    <xf numFmtId="3" fontId="39" fillId="0" borderId="36" xfId="0" applyNumberFormat="1" applyFont="1" applyBorder="1" applyAlignment="1">
      <alignment horizontal="right" vertical="center"/>
    </xf>
    <xf numFmtId="3" fontId="39" fillId="0" borderId="36" xfId="0" applyNumberFormat="1" applyFont="1" applyBorder="1" applyAlignment="1">
      <alignment horizontal="right" vertical="center" wrapText="1"/>
    </xf>
    <xf numFmtId="3" fontId="39" fillId="0" borderId="37" xfId="0" applyNumberFormat="1" applyFont="1" applyBorder="1" applyAlignment="1">
      <alignment horizontal="right" vertical="center"/>
    </xf>
    <xf numFmtId="167" fontId="36" fillId="10" borderId="19" xfId="0" applyNumberFormat="1" applyFont="1" applyFill="1" applyBorder="1" applyAlignment="1">
      <alignment horizontal="left" vertical="top" wrapText="1"/>
    </xf>
    <xf numFmtId="3" fontId="41" fillId="10" borderId="22" xfId="0" applyNumberFormat="1" applyFont="1" applyFill="1" applyBorder="1" applyAlignment="1">
      <alignment horizontal="right" vertical="center"/>
    </xf>
    <xf numFmtId="3" fontId="41" fillId="10" borderId="23" xfId="0" applyNumberFormat="1" applyFont="1" applyFill="1" applyBorder="1" applyAlignment="1">
      <alignment horizontal="right" vertical="center"/>
    </xf>
    <xf numFmtId="167" fontId="35" fillId="10" borderId="35" xfId="0" applyNumberFormat="1" applyFont="1" applyFill="1" applyBorder="1" applyAlignment="1">
      <alignment wrapText="1"/>
    </xf>
    <xf numFmtId="3" fontId="39" fillId="10" borderId="36" xfId="0" applyNumberFormat="1" applyFont="1" applyFill="1" applyBorder="1" applyAlignment="1">
      <alignment horizontal="right" vertical="center"/>
    </xf>
    <xf numFmtId="0" fontId="53" fillId="0" borderId="36" xfId="0" applyFont="1" applyBorder="1"/>
    <xf numFmtId="3" fontId="54" fillId="0" borderId="37" xfId="0" applyNumberFormat="1" applyFont="1" applyBorder="1"/>
    <xf numFmtId="167" fontId="40" fillId="10" borderId="19" xfId="0" applyNumberFormat="1" applyFont="1" applyFill="1" applyBorder="1" applyAlignment="1">
      <alignment horizontal="left" vertical="top" wrapText="1"/>
    </xf>
    <xf numFmtId="167" fontId="38" fillId="10" borderId="35" xfId="0" applyNumberFormat="1" applyFont="1" applyFill="1" applyBorder="1" applyAlignment="1">
      <alignment wrapText="1"/>
    </xf>
    <xf numFmtId="0" fontId="54" fillId="0" borderId="36" xfId="0" applyFont="1" applyBorder="1"/>
    <xf numFmtId="0" fontId="60" fillId="10" borderId="35" xfId="0" applyFont="1" applyFill="1" applyBorder="1"/>
    <xf numFmtId="3" fontId="60" fillId="10" borderId="36" xfId="0" applyNumberFormat="1" applyFont="1" applyFill="1" applyBorder="1"/>
    <xf numFmtId="3" fontId="49" fillId="10" borderId="36" xfId="0" applyNumberFormat="1" applyFont="1" applyFill="1" applyBorder="1"/>
    <xf numFmtId="3" fontId="49" fillId="10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167" fontId="36" fillId="0" borderId="0" xfId="0" applyNumberFormat="1" applyFont="1" applyAlignment="1">
      <alignment horizontal="left" wrapText="1"/>
    </xf>
    <xf numFmtId="3" fontId="41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 applyAlignment="1">
      <alignment horizontal="right" vertical="center" wrapText="1"/>
    </xf>
    <xf numFmtId="3" fontId="41" fillId="10" borderId="0" xfId="0" applyNumberFormat="1" applyFont="1" applyFill="1" applyAlignment="1">
      <alignment horizontal="right" vertical="center"/>
    </xf>
    <xf numFmtId="3" fontId="39" fillId="10" borderId="0" xfId="0" applyNumberFormat="1" applyFont="1" applyFill="1" applyAlignment="1">
      <alignment horizontal="right" vertical="center"/>
    </xf>
    <xf numFmtId="167" fontId="38" fillId="10" borderId="0" xfId="0" applyNumberFormat="1" applyFont="1" applyFill="1" applyAlignment="1">
      <alignment wrapText="1"/>
    </xf>
    <xf numFmtId="0" fontId="54" fillId="0" borderId="0" xfId="0" applyFont="1"/>
    <xf numFmtId="0" fontId="60" fillId="10" borderId="0" xfId="0" applyFont="1" applyFill="1"/>
    <xf numFmtId="3" fontId="60" fillId="10" borderId="0" xfId="0" applyNumberFormat="1" applyFont="1" applyFill="1"/>
    <xf numFmtId="3" fontId="49" fillId="10" borderId="0" xfId="0" applyNumberFormat="1" applyFont="1" applyFill="1"/>
    <xf numFmtId="3" fontId="48" fillId="0" borderId="1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/>
    </xf>
    <xf numFmtId="3" fontId="3" fillId="10" borderId="1" xfId="1" applyNumberFormat="1" applyFont="1" applyFill="1" applyBorder="1" applyAlignment="1">
      <alignment horizontal="right" vertical="center"/>
    </xf>
    <xf numFmtId="49" fontId="3" fillId="0" borderId="29" xfId="0" applyNumberFormat="1" applyFont="1" applyBorder="1" applyAlignment="1">
      <alignment horizontal="center" vertical="top" wrapText="1"/>
    </xf>
    <xf numFmtId="0" fontId="6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167" fontId="33" fillId="10" borderId="0" xfId="0" applyNumberFormat="1" applyFont="1" applyFill="1" applyAlignment="1">
      <alignment horizontal="left" vertical="top" wrapText="1"/>
    </xf>
    <xf numFmtId="167" fontId="35" fillId="0" borderId="16" xfId="0" applyNumberFormat="1" applyFont="1" applyBorder="1" applyAlignment="1">
      <alignment wrapText="1"/>
    </xf>
    <xf numFmtId="3" fontId="39" fillId="0" borderId="7" xfId="0" applyNumberFormat="1" applyFont="1" applyBorder="1" applyAlignment="1">
      <alignment horizontal="right" vertical="center"/>
    </xf>
    <xf numFmtId="3" fontId="39" fillId="0" borderId="7" xfId="0" applyNumberFormat="1" applyFont="1" applyBorder="1" applyAlignment="1">
      <alignment horizontal="right" vertical="center" wrapText="1"/>
    </xf>
    <xf numFmtId="3" fontId="39" fillId="0" borderId="24" xfId="0" applyNumberFormat="1" applyFont="1" applyBorder="1" applyAlignment="1">
      <alignment horizontal="right" vertical="center"/>
    </xf>
    <xf numFmtId="0" fontId="60" fillId="10" borderId="17" xfId="0" applyFont="1" applyFill="1" applyBorder="1"/>
    <xf numFmtId="3" fontId="60" fillId="10" borderId="25" xfId="0" applyNumberFormat="1" applyFont="1" applyFill="1" applyBorder="1"/>
    <xf numFmtId="3" fontId="49" fillId="10" borderId="25" xfId="0" applyNumberFormat="1" applyFont="1" applyFill="1" applyBorder="1"/>
    <xf numFmtId="3" fontId="49" fillId="10" borderId="26" xfId="0" applyNumberFormat="1" applyFont="1" applyFill="1" applyBorder="1"/>
    <xf numFmtId="0" fontId="63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33" fillId="0" borderId="1" xfId="1" applyNumberFormat="1" applyFont="1" applyBorder="1" applyAlignment="1">
      <alignment horizontal="right" vertical="center" wrapText="1"/>
    </xf>
    <xf numFmtId="0" fontId="0" fillId="15" borderId="0" xfId="0" applyFill="1"/>
    <xf numFmtId="3" fontId="44" fillId="10" borderId="1" xfId="1" applyNumberFormat="1" applyFont="1" applyFill="1" applyBorder="1" applyAlignment="1">
      <alignment horizontal="right" vertical="center" wrapText="1"/>
    </xf>
    <xf numFmtId="3" fontId="42" fillId="10" borderId="1" xfId="0" applyNumberFormat="1" applyFont="1" applyFill="1" applyBorder="1" applyAlignment="1">
      <alignment horizontal="right" vertical="center"/>
    </xf>
    <xf numFmtId="3" fontId="42" fillId="1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Border="1" applyAlignment="1">
      <alignment horizontal="right" vertical="center"/>
    </xf>
    <xf numFmtId="3" fontId="33" fillId="10" borderId="1" xfId="1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49" fontId="64" fillId="0" borderId="1" xfId="0" applyNumberFormat="1" applyFont="1" applyBorder="1" applyAlignment="1">
      <alignment horizontal="center" vertical="justify"/>
    </xf>
    <xf numFmtId="49" fontId="65" fillId="0" borderId="1" xfId="0" applyNumberFormat="1" applyFont="1" applyBorder="1" applyAlignment="1">
      <alignment horizontal="center" vertical="justify" wrapText="1"/>
    </xf>
    <xf numFmtId="0" fontId="66" fillId="0" borderId="1" xfId="0" applyFont="1" applyBorder="1" applyAlignment="1">
      <alignment horizontal="left" vertical="top" wrapText="1"/>
    </xf>
    <xf numFmtId="3" fontId="67" fillId="0" borderId="1" xfId="0" applyNumberFormat="1" applyFont="1" applyBorder="1" applyAlignment="1">
      <alignment horizontal="right" vertical="center"/>
    </xf>
    <xf numFmtId="3" fontId="67" fillId="0" borderId="1" xfId="1" applyNumberFormat="1" applyFont="1" applyBorder="1" applyAlignment="1">
      <alignment horizontal="right" vertical="center"/>
    </xf>
    <xf numFmtId="0" fontId="67" fillId="0" borderId="1" xfId="0" applyFont="1" applyBorder="1" applyAlignment="1">
      <alignment horizontal="left" vertical="top" wrapText="1"/>
    </xf>
    <xf numFmtId="0" fontId="67" fillId="10" borderId="1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0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4" fontId="48" fillId="0" borderId="1" xfId="0" applyNumberFormat="1" applyFont="1" applyBorder="1" applyAlignment="1">
      <alignment horizontal="center" vertical="center"/>
    </xf>
    <xf numFmtId="3" fontId="41" fillId="10" borderId="29" xfId="0" applyNumberFormat="1" applyFont="1" applyFill="1" applyBorder="1" applyAlignment="1">
      <alignment horizontal="right" vertical="center"/>
    </xf>
    <xf numFmtId="167" fontId="33" fillId="10" borderId="18" xfId="0" applyNumberFormat="1" applyFont="1" applyFill="1" applyBorder="1" applyAlignment="1">
      <alignment horizontal="left" vertical="top" wrapText="1"/>
    </xf>
    <xf numFmtId="3" fontId="39" fillId="10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33" fillId="0" borderId="1" xfId="0" applyNumberFormat="1" applyFont="1" applyBorder="1" applyAlignment="1">
      <alignment horizontal="right" wrapText="1"/>
    </xf>
    <xf numFmtId="168" fontId="42" fillId="0" borderId="1" xfId="0" applyNumberFormat="1" applyFont="1" applyBorder="1" applyAlignment="1">
      <alignment vertical="center"/>
    </xf>
    <xf numFmtId="166" fontId="3" fillId="1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left" vertical="center" wrapText="1"/>
    </xf>
    <xf numFmtId="49" fontId="3" fillId="16" borderId="21" xfId="0" applyNumberFormat="1" applyFont="1" applyFill="1" applyBorder="1" applyAlignment="1">
      <alignment horizontal="center" wrapText="1"/>
    </xf>
    <xf numFmtId="3" fontId="3" fillId="15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49" fontId="5" fillId="0" borderId="25" xfId="0" applyNumberFormat="1" applyFont="1" applyBorder="1" applyAlignment="1">
      <alignment horizontal="center" vertical="top" wrapText="1"/>
    </xf>
    <xf numFmtId="0" fontId="68" fillId="0" borderId="0" xfId="0" applyFont="1"/>
    <xf numFmtId="3" fontId="44" fillId="0" borderId="1" xfId="1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left" vertical="top" wrapText="1" indent="2"/>
    </xf>
    <xf numFmtId="1" fontId="46" fillId="0" borderId="1" xfId="0" applyNumberFormat="1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 vertical="center"/>
    </xf>
    <xf numFmtId="0" fontId="69" fillId="0" borderId="0" xfId="0" applyFont="1"/>
    <xf numFmtId="0" fontId="30" fillId="0" borderId="16" xfId="0" applyFont="1" applyBorder="1" applyAlignment="1">
      <alignment horizontal="left" wrapText="1"/>
    </xf>
    <xf numFmtId="0" fontId="70" fillId="6" borderId="0" xfId="0" applyFont="1" applyFill="1"/>
    <xf numFmtId="0" fontId="23" fillId="0" borderId="1" xfId="0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3" fontId="27" fillId="0" borderId="0" xfId="0" applyNumberFormat="1" applyFont="1"/>
    <xf numFmtId="49" fontId="33" fillId="0" borderId="1" xfId="0" applyNumberFormat="1" applyFont="1" applyBorder="1" applyAlignment="1">
      <alignment horizontal="center" vertical="center" wrapText="1"/>
    </xf>
    <xf numFmtId="1" fontId="55" fillId="10" borderId="1" xfId="0" applyNumberFormat="1" applyFont="1" applyFill="1" applyBorder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 vertical="center" wrapText="1"/>
    </xf>
    <xf numFmtId="0" fontId="73" fillId="0" borderId="0" xfId="0" applyFont="1"/>
    <xf numFmtId="1" fontId="33" fillId="0" borderId="1" xfId="0" applyNumberFormat="1" applyFont="1" applyBorder="1" applyAlignment="1">
      <alignment horizontal="center" vertical="center" wrapText="1"/>
    </xf>
    <xf numFmtId="3" fontId="5" fillId="10" borderId="1" xfId="1" applyNumberFormat="1" applyFont="1" applyFill="1" applyBorder="1" applyAlignment="1">
      <alignment horizontal="right" vertical="center"/>
    </xf>
    <xf numFmtId="3" fontId="67" fillId="10" borderId="1" xfId="0" applyNumberFormat="1" applyFont="1" applyFill="1" applyBorder="1" applyAlignment="1">
      <alignment horizontal="right" vertical="center"/>
    </xf>
    <xf numFmtId="3" fontId="67" fillId="10" borderId="1" xfId="1" applyNumberFormat="1" applyFont="1" applyFill="1" applyBorder="1" applyAlignment="1">
      <alignment horizontal="right" vertical="center"/>
    </xf>
    <xf numFmtId="169" fontId="3" fillId="10" borderId="1" xfId="5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10" borderId="0" xfId="0" applyFont="1" applyFill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5" fillId="10" borderId="26" xfId="0" applyNumberFormat="1" applyFont="1" applyFill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42" fillId="0" borderId="26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1" fontId="55" fillId="10" borderId="0" xfId="0" applyNumberFormat="1" applyFont="1" applyFill="1" applyAlignment="1">
      <alignment horizontal="right"/>
    </xf>
    <xf numFmtId="1" fontId="71" fillId="10" borderId="0" xfId="0" applyNumberFormat="1" applyFont="1" applyFill="1" applyAlignment="1">
      <alignment horizontal="center" wrapText="1"/>
    </xf>
    <xf numFmtId="1" fontId="33" fillId="10" borderId="1" xfId="0" applyNumberFormat="1" applyFont="1" applyFill="1" applyBorder="1" applyAlignment="1">
      <alignment horizontal="center" vertical="center" wrapText="1"/>
    </xf>
    <xf numFmtId="1" fontId="52" fillId="10" borderId="1" xfId="0" applyNumberFormat="1" applyFont="1" applyFill="1" applyBorder="1" applyAlignment="1">
      <alignment horizontal="center" vertical="center"/>
    </xf>
    <xf numFmtId="1" fontId="55" fillId="10" borderId="0" xfId="0" applyNumberFormat="1" applyFont="1" applyFill="1" applyAlignment="1">
      <alignment horizontal="center"/>
    </xf>
    <xf numFmtId="3" fontId="55" fillId="10" borderId="0" xfId="0" applyNumberFormat="1" applyFont="1" applyFill="1" applyAlignment="1">
      <alignment wrapText="1"/>
    </xf>
    <xf numFmtId="3" fontId="52" fillId="10" borderId="1" xfId="0" applyNumberFormat="1" applyFont="1" applyFill="1" applyBorder="1" applyAlignment="1">
      <alignment horizontal="right" vertical="center" wrapText="1"/>
    </xf>
    <xf numFmtId="3" fontId="55" fillId="10" borderId="1" xfId="0" applyNumberFormat="1" applyFont="1" applyFill="1" applyBorder="1" applyAlignment="1">
      <alignment horizontal="right" vertical="center" wrapText="1"/>
    </xf>
    <xf numFmtId="3" fontId="55" fillId="9" borderId="1" xfId="0" applyNumberFormat="1" applyFont="1" applyFill="1" applyBorder="1" applyAlignment="1">
      <alignment horizontal="right" vertical="center" wrapText="1"/>
    </xf>
    <xf numFmtId="1" fontId="55" fillId="0" borderId="0" xfId="0" applyNumberFormat="1" applyFont="1" applyAlignment="1">
      <alignment horizontal="right"/>
    </xf>
    <xf numFmtId="1" fontId="55" fillId="10" borderId="0" xfId="0" applyNumberFormat="1" applyFont="1" applyFill="1" applyAlignment="1">
      <alignment wrapText="1"/>
    </xf>
    <xf numFmtId="1" fontId="71" fillId="0" borderId="0" xfId="0" applyNumberFormat="1" applyFont="1" applyAlignment="1">
      <alignment horizontal="center" wrapText="1"/>
    </xf>
    <xf numFmtId="1" fontId="72" fillId="0" borderId="1" xfId="0" applyNumberFormat="1" applyFont="1" applyBorder="1" applyAlignment="1">
      <alignment horizontal="center" vertical="center" wrapText="1"/>
    </xf>
    <xf numFmtId="1" fontId="52" fillId="10" borderId="1" xfId="0" applyNumberFormat="1" applyFont="1" applyFill="1" applyBorder="1" applyAlignment="1">
      <alignment horizontal="right" vertical="center" wrapText="1"/>
    </xf>
    <xf numFmtId="1" fontId="55" fillId="10" borderId="1" xfId="0" applyNumberFormat="1" applyFont="1" applyFill="1" applyBorder="1" applyAlignment="1">
      <alignment horizontal="right" vertical="center" wrapText="1"/>
    </xf>
    <xf numFmtId="1" fontId="55" fillId="9" borderId="1" xfId="0" applyNumberFormat="1" applyFont="1" applyFill="1" applyBorder="1" applyAlignment="1">
      <alignment horizontal="right" vertical="center" wrapText="1"/>
    </xf>
    <xf numFmtId="1" fontId="55" fillId="2" borderId="1" xfId="0" applyNumberFormat="1" applyFont="1" applyFill="1" applyBorder="1" applyAlignment="1">
      <alignment horizontal="right" vertical="center" wrapText="1"/>
    </xf>
    <xf numFmtId="1" fontId="74" fillId="0" borderId="1" xfId="0" applyNumberFormat="1" applyFont="1" applyBorder="1" applyAlignment="1">
      <alignment horizontal="center" vertical="center"/>
    </xf>
    <xf numFmtId="1" fontId="55" fillId="0" borderId="0" xfId="0" applyNumberFormat="1" applyFont="1" applyAlignment="1">
      <alignment horizontal="center"/>
    </xf>
    <xf numFmtId="3" fontId="0" fillId="6" borderId="0" xfId="0" applyNumberFormat="1" applyFill="1" applyAlignment="1">
      <alignment horizontal="right" vertical="center"/>
    </xf>
    <xf numFmtId="0" fontId="55" fillId="0" borderId="0" xfId="0" applyFont="1" applyAlignment="1">
      <alignment horizontal="right"/>
    </xf>
    <xf numFmtId="0" fontId="71" fillId="0" borderId="0" xfId="0" applyFont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wrapText="1"/>
    </xf>
    <xf numFmtId="0" fontId="71" fillId="0" borderId="0" xfId="0" applyFont="1" applyAlignment="1">
      <alignment wrapText="1"/>
    </xf>
    <xf numFmtId="0" fontId="52" fillId="0" borderId="1" xfId="0" applyFont="1" applyBorder="1" applyAlignment="1">
      <alignment wrapText="1"/>
    </xf>
    <xf numFmtId="0" fontId="52" fillId="10" borderId="1" xfId="0" applyFont="1" applyFill="1" applyBorder="1" applyAlignment="1">
      <alignment wrapText="1"/>
    </xf>
    <xf numFmtId="0" fontId="55" fillId="0" borderId="1" xfId="0" applyFont="1" applyBorder="1" applyAlignment="1">
      <alignment wrapText="1"/>
    </xf>
    <xf numFmtId="165" fontId="33" fillId="0" borderId="1" xfId="0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6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67" fontId="33" fillId="0" borderId="0" xfId="0" applyNumberFormat="1" applyFont="1" applyAlignment="1">
      <alignment horizontal="left" vertical="top" wrapText="1"/>
    </xf>
    <xf numFmtId="167" fontId="33" fillId="10" borderId="0" xfId="0" applyNumberFormat="1" applyFont="1" applyFill="1" applyAlignment="1">
      <alignment horizontal="left" wrapText="1"/>
    </xf>
    <xf numFmtId="167" fontId="42" fillId="10" borderId="0" xfId="0" applyNumberFormat="1" applyFont="1" applyFill="1" applyAlignment="1">
      <alignment horizontal="left" wrapText="1"/>
    </xf>
    <xf numFmtId="167" fontId="33" fillId="10" borderId="0" xfId="0" applyNumberFormat="1" applyFont="1" applyFill="1" applyAlignment="1">
      <alignment horizontal="left" vertical="top" wrapText="1"/>
    </xf>
    <xf numFmtId="167" fontId="35" fillId="0" borderId="0" xfId="0" applyNumberFormat="1" applyFont="1" applyAlignment="1">
      <alignment horizontal="left" vertical="center" wrapText="1"/>
    </xf>
    <xf numFmtId="167" fontId="35" fillId="0" borderId="11" xfId="0" applyNumberFormat="1" applyFont="1" applyBorder="1" applyAlignment="1">
      <alignment horizontal="center" wrapText="1"/>
    </xf>
    <xf numFmtId="167" fontId="35" fillId="0" borderId="13" xfId="0" applyNumberFormat="1" applyFont="1" applyBorder="1" applyAlignment="1">
      <alignment horizontal="center" wrapText="1"/>
    </xf>
    <xf numFmtId="167" fontId="35" fillId="0" borderId="0" xfId="0" applyNumberFormat="1" applyFont="1" applyAlignment="1">
      <alignment horizontal="left" wrapText="1"/>
    </xf>
    <xf numFmtId="0" fontId="61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1" fontId="52" fillId="10" borderId="1" xfId="0" applyNumberFormat="1" applyFont="1" applyFill="1" applyBorder="1" applyAlignment="1">
      <alignment horizontal="center" vertical="center" wrapText="1"/>
    </xf>
    <xf numFmtId="3" fontId="55" fillId="10" borderId="1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right"/>
    </xf>
    <xf numFmtId="1" fontId="52" fillId="0" borderId="0" xfId="0" applyNumberFormat="1" applyFont="1" applyAlignment="1">
      <alignment horizontal="center" wrapText="1"/>
    </xf>
    <xf numFmtId="0" fontId="52" fillId="0" borderId="1" xfId="0" applyFont="1" applyBorder="1" applyAlignment="1">
      <alignment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" fontId="72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right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showGridLines="0" tabSelected="1" view="pageBreakPreview" zoomScale="78" zoomScaleSheetLayoutView="78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285156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772" hidden="1" customWidth="1"/>
    <col min="11" max="11" width="19.7109375" style="773" hidden="1" customWidth="1"/>
    <col min="12" max="12" width="15.7109375" style="773" customWidth="1"/>
    <col min="13" max="13" width="10.140625" style="1" bestFit="1" customWidth="1"/>
    <col min="14" max="16384" width="8.85546875" style="1"/>
  </cols>
  <sheetData>
    <row r="1" spans="1:12" ht="15.75" x14ac:dyDescent="0.25">
      <c r="G1" s="829" t="s">
        <v>0</v>
      </c>
      <c r="H1" s="829"/>
      <c r="I1" s="829"/>
      <c r="J1" s="829"/>
      <c r="K1" s="829"/>
      <c r="L1" s="829"/>
    </row>
    <row r="2" spans="1:12" ht="15.75" x14ac:dyDescent="0.25">
      <c r="G2" s="829" t="s">
        <v>1</v>
      </c>
      <c r="H2" s="829"/>
      <c r="I2" s="829"/>
      <c r="J2" s="829"/>
      <c r="K2" s="829"/>
      <c r="L2" s="829"/>
    </row>
    <row r="3" spans="1:12" ht="15.75" x14ac:dyDescent="0.25">
      <c r="G3" s="829" t="s">
        <v>2</v>
      </c>
      <c r="H3" s="829"/>
      <c r="I3" s="829"/>
      <c r="J3" s="829"/>
      <c r="K3" s="829"/>
      <c r="L3" s="829"/>
    </row>
    <row r="4" spans="1:12" ht="15.75" x14ac:dyDescent="0.25">
      <c r="G4" s="829" t="s">
        <v>1808</v>
      </c>
      <c r="H4" s="829"/>
      <c r="I4" s="829"/>
      <c r="J4" s="829"/>
      <c r="K4" s="829"/>
      <c r="L4" s="829"/>
    </row>
    <row r="5" spans="1:12" ht="15.75" x14ac:dyDescent="0.25">
      <c r="G5" s="4"/>
      <c r="H5" s="5"/>
    </row>
    <row r="6" spans="1:12" ht="50.25" customHeight="1" x14ac:dyDescent="0.2">
      <c r="A6" s="830" t="s">
        <v>1613</v>
      </c>
      <c r="B6" s="830"/>
      <c r="C6" s="830"/>
      <c r="D6" s="830"/>
      <c r="E6" s="830"/>
      <c r="F6" s="830"/>
      <c r="G6" s="830"/>
      <c r="H6" s="830"/>
      <c r="I6" s="830"/>
      <c r="J6" s="830"/>
      <c r="K6" s="830"/>
      <c r="L6" s="830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33" t="s">
        <v>3</v>
      </c>
      <c r="B9" s="833"/>
      <c r="C9" s="833"/>
      <c r="D9" s="833"/>
      <c r="E9" s="833"/>
      <c r="F9" s="833"/>
      <c r="G9" s="833"/>
      <c r="H9" s="833"/>
      <c r="I9" s="832" t="s">
        <v>4</v>
      </c>
      <c r="J9" s="831" t="s">
        <v>5</v>
      </c>
      <c r="K9" s="828" t="s">
        <v>5</v>
      </c>
      <c r="L9" s="828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32"/>
      <c r="J10" s="831"/>
      <c r="K10" s="828"/>
      <c r="L10" s="828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258492450</v>
      </c>
      <c r="K11" s="650">
        <f>K12+K14+K16+K19+K21+K25+K35+K37+K39+K45+K46</f>
        <v>4115010</v>
      </c>
      <c r="L11" s="768">
        <f>L12+L14+L16+L21+L25+L35+L37+L39+L45+L46+L19</f>
        <v>262607460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146000000</v>
      </c>
      <c r="K12" s="289">
        <f t="shared" ref="K12:L12" si="0">K13</f>
        <v>0</v>
      </c>
      <c r="L12" s="286">
        <f t="shared" si="0"/>
        <v>146000000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146000000</v>
      </c>
      <c r="K13" s="296"/>
      <c r="L13" s="650">
        <f t="shared" ref="L13:L75" si="1">SUM(J13:K13)</f>
        <v>146000000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289">
        <f t="shared" ref="K14:L14" si="2">K15</f>
        <v>1365010</v>
      </c>
      <c r="L14" s="286">
        <f t="shared" si="2"/>
        <v>10943000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296">
        <v>1365010</v>
      </c>
      <c r="L15" s="650">
        <f t="shared" si="1"/>
        <v>10943000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7006000</v>
      </c>
      <c r="K16" s="296">
        <f>K17+K18</f>
        <v>0</v>
      </c>
      <c r="L16" s="290">
        <f>L17+L18</f>
        <v>7006000</v>
      </c>
    </row>
    <row r="17" spans="1:12" ht="15.75" x14ac:dyDescent="0.2">
      <c r="A17" s="23" t="s">
        <v>20</v>
      </c>
      <c r="B17" s="23" t="s">
        <v>15</v>
      </c>
      <c r="C17" s="23" t="s">
        <v>28</v>
      </c>
      <c r="D17" s="23" t="s">
        <v>24</v>
      </c>
      <c r="E17" s="23" t="s">
        <v>14</v>
      </c>
      <c r="F17" s="23" t="s">
        <v>18</v>
      </c>
      <c r="G17" s="24" t="s">
        <v>17</v>
      </c>
      <c r="H17" s="24" t="s">
        <v>22</v>
      </c>
      <c r="I17" s="18" t="s">
        <v>31</v>
      </c>
      <c r="J17" s="19">
        <v>606000</v>
      </c>
      <c r="K17" s="296"/>
      <c r="L17" s="650">
        <f t="shared" si="1"/>
        <v>606000</v>
      </c>
    </row>
    <row r="18" spans="1:12" ht="21" customHeight="1" x14ac:dyDescent="0.2">
      <c r="A18" s="23" t="s">
        <v>20</v>
      </c>
      <c r="B18" s="23" t="s">
        <v>15</v>
      </c>
      <c r="C18" s="23" t="s">
        <v>28</v>
      </c>
      <c r="D18" s="23" t="s">
        <v>32</v>
      </c>
      <c r="E18" s="23" t="s">
        <v>14</v>
      </c>
      <c r="F18" s="23" t="s">
        <v>21</v>
      </c>
      <c r="G18" s="24" t="s">
        <v>17</v>
      </c>
      <c r="H18" s="24" t="s">
        <v>22</v>
      </c>
      <c r="I18" s="18" t="s">
        <v>33</v>
      </c>
      <c r="J18" s="25">
        <v>6400000</v>
      </c>
      <c r="K18" s="289"/>
      <c r="L18" s="650">
        <f t="shared" si="1"/>
        <v>6400000</v>
      </c>
    </row>
    <row r="19" spans="1:12" ht="21" customHeight="1" x14ac:dyDescent="0.2">
      <c r="A19" s="20" t="s">
        <v>14</v>
      </c>
      <c r="B19" s="20" t="s">
        <v>15</v>
      </c>
      <c r="C19" s="20" t="s">
        <v>38</v>
      </c>
      <c r="D19" s="20" t="s">
        <v>18</v>
      </c>
      <c r="E19" s="20" t="s">
        <v>14</v>
      </c>
      <c r="F19" s="20" t="s">
        <v>18</v>
      </c>
      <c r="G19" s="21" t="s">
        <v>17</v>
      </c>
      <c r="H19" s="21" t="s">
        <v>22</v>
      </c>
      <c r="I19" s="14" t="s">
        <v>1787</v>
      </c>
      <c r="J19" s="16">
        <v>235000</v>
      </c>
      <c r="K19" s="289">
        <f>K20</f>
        <v>0</v>
      </c>
      <c r="L19" s="286">
        <f>L20</f>
        <v>235000</v>
      </c>
    </row>
    <row r="20" spans="1:12" ht="21" customHeight="1" x14ac:dyDescent="0.2">
      <c r="A20" s="23" t="s">
        <v>20</v>
      </c>
      <c r="B20" s="23" t="s">
        <v>15</v>
      </c>
      <c r="C20" s="23" t="s">
        <v>38</v>
      </c>
      <c r="D20" s="23" t="s">
        <v>18</v>
      </c>
      <c r="E20" s="23" t="s">
        <v>1788</v>
      </c>
      <c r="F20" s="23" t="s">
        <v>18</v>
      </c>
      <c r="G20" s="24" t="s">
        <v>17</v>
      </c>
      <c r="H20" s="24" t="s">
        <v>22</v>
      </c>
      <c r="I20" s="18" t="s">
        <v>1789</v>
      </c>
      <c r="J20" s="25">
        <v>235000</v>
      </c>
      <c r="K20" s="289"/>
      <c r="L20" s="650">
        <f>J20+K20</f>
        <v>235000</v>
      </c>
    </row>
    <row r="21" spans="1:12" ht="15.75" x14ac:dyDescent="0.2">
      <c r="A21" s="20" t="s">
        <v>14</v>
      </c>
      <c r="B21" s="20" t="s">
        <v>15</v>
      </c>
      <c r="C21" s="20" t="s">
        <v>34</v>
      </c>
      <c r="D21" s="20" t="s">
        <v>16</v>
      </c>
      <c r="E21" s="20" t="s">
        <v>14</v>
      </c>
      <c r="F21" s="20" t="s">
        <v>16</v>
      </c>
      <c r="G21" s="21" t="s">
        <v>17</v>
      </c>
      <c r="H21" s="21" t="s">
        <v>14</v>
      </c>
      <c r="I21" s="14" t="s">
        <v>35</v>
      </c>
      <c r="J21" s="22">
        <v>8200000</v>
      </c>
      <c r="K21" s="296">
        <f t="shared" ref="K21:L21" si="3">K22+K23</f>
        <v>0</v>
      </c>
      <c r="L21" s="290">
        <f t="shared" si="3"/>
        <v>8200000</v>
      </c>
    </row>
    <row r="22" spans="1:12" ht="30" customHeight="1" x14ac:dyDescent="0.2">
      <c r="A22" s="23" t="s">
        <v>20</v>
      </c>
      <c r="B22" s="23" t="s">
        <v>15</v>
      </c>
      <c r="C22" s="23" t="s">
        <v>34</v>
      </c>
      <c r="D22" s="23" t="s">
        <v>24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36</v>
      </c>
      <c r="J22" s="19">
        <v>8145000</v>
      </c>
      <c r="K22" s="296">
        <v>-10000</v>
      </c>
      <c r="L22" s="650">
        <f t="shared" si="1"/>
        <v>8135000</v>
      </c>
    </row>
    <row r="23" spans="1:12" ht="31.5" x14ac:dyDescent="0.2">
      <c r="A23" s="23" t="s">
        <v>1172</v>
      </c>
      <c r="B23" s="23" t="s">
        <v>15</v>
      </c>
      <c r="C23" s="23" t="s">
        <v>34</v>
      </c>
      <c r="D23" s="23" t="s">
        <v>38</v>
      </c>
      <c r="E23" s="23" t="s">
        <v>14</v>
      </c>
      <c r="F23" s="23" t="s">
        <v>18</v>
      </c>
      <c r="G23" s="24" t="s">
        <v>17</v>
      </c>
      <c r="H23" s="24" t="s">
        <v>22</v>
      </c>
      <c r="I23" s="18" t="s">
        <v>39</v>
      </c>
      <c r="J23" s="19">
        <v>55000</v>
      </c>
      <c r="K23" s="296">
        <v>10000</v>
      </c>
      <c r="L23" s="650">
        <f t="shared" si="1"/>
        <v>65000</v>
      </c>
    </row>
    <row r="24" spans="1:12" ht="31.5" hidden="1" x14ac:dyDescent="0.2">
      <c r="A24" s="20" t="s">
        <v>20</v>
      </c>
      <c r="B24" s="20" t="s">
        <v>15</v>
      </c>
      <c r="C24" s="20" t="s">
        <v>40</v>
      </c>
      <c r="D24" s="20"/>
      <c r="E24" s="20" t="s">
        <v>41</v>
      </c>
      <c r="F24" s="20" t="s">
        <v>16</v>
      </c>
      <c r="G24" s="21" t="s">
        <v>17</v>
      </c>
      <c r="H24" s="21" t="s">
        <v>14</v>
      </c>
      <c r="I24" s="14" t="s">
        <v>42</v>
      </c>
      <c r="J24" s="22">
        <v>0</v>
      </c>
      <c r="K24" s="296"/>
      <c r="L24" s="768">
        <f t="shared" si="1"/>
        <v>0</v>
      </c>
    </row>
    <row r="25" spans="1:12" ht="31.5" x14ac:dyDescent="0.2">
      <c r="A25" s="20" t="s">
        <v>14</v>
      </c>
      <c r="B25" s="20" t="s">
        <v>15</v>
      </c>
      <c r="C25" s="20" t="s">
        <v>43</v>
      </c>
      <c r="D25" s="20" t="s">
        <v>16</v>
      </c>
      <c r="E25" s="20" t="s">
        <v>14</v>
      </c>
      <c r="F25" s="20" t="s">
        <v>16</v>
      </c>
      <c r="G25" s="21" t="s">
        <v>17</v>
      </c>
      <c r="H25" s="21" t="s">
        <v>14</v>
      </c>
      <c r="I25" s="14" t="s">
        <v>44</v>
      </c>
      <c r="J25" s="22">
        <v>12150000</v>
      </c>
      <c r="K25" s="296">
        <f>K26+K28+K33</f>
        <v>6250000</v>
      </c>
      <c r="L25" s="290">
        <f>L26+L28+L33</f>
        <v>18400000</v>
      </c>
    </row>
    <row r="26" spans="1:12" ht="78.75" x14ac:dyDescent="0.2">
      <c r="A26" s="305" t="s">
        <v>45</v>
      </c>
      <c r="B26" s="305" t="s">
        <v>15</v>
      </c>
      <c r="C26" s="305" t="s">
        <v>43</v>
      </c>
      <c r="D26" s="305" t="s">
        <v>18</v>
      </c>
      <c r="E26" s="305" t="s">
        <v>14</v>
      </c>
      <c r="F26" s="305" t="s">
        <v>16</v>
      </c>
      <c r="G26" s="306" t="s">
        <v>17</v>
      </c>
      <c r="H26" s="306" t="s">
        <v>46</v>
      </c>
      <c r="I26" s="307" t="s">
        <v>47</v>
      </c>
      <c r="J26" s="308">
        <v>104000</v>
      </c>
      <c r="K26" s="294">
        <f t="shared" ref="K26:L26" si="4">K27</f>
        <v>0</v>
      </c>
      <c r="L26" s="294">
        <f t="shared" si="4"/>
        <v>104000</v>
      </c>
    </row>
    <row r="27" spans="1:12" ht="66.75" customHeight="1" x14ac:dyDescent="0.2">
      <c r="A27" s="23" t="s">
        <v>45</v>
      </c>
      <c r="B27" s="23" t="s">
        <v>15</v>
      </c>
      <c r="C27" s="23" t="s">
        <v>43</v>
      </c>
      <c r="D27" s="23" t="s">
        <v>18</v>
      </c>
      <c r="E27" s="23" t="s">
        <v>48</v>
      </c>
      <c r="F27" s="23" t="s">
        <v>28</v>
      </c>
      <c r="G27" s="24" t="s">
        <v>17</v>
      </c>
      <c r="H27" s="24" t="s">
        <v>46</v>
      </c>
      <c r="I27" s="18" t="s">
        <v>49</v>
      </c>
      <c r="J27" s="25">
        <v>104000</v>
      </c>
      <c r="K27" s="289"/>
      <c r="L27" s="650">
        <f t="shared" si="1"/>
        <v>104000</v>
      </c>
    </row>
    <row r="28" spans="1:12" s="26" customFormat="1" ht="84.75" customHeight="1" x14ac:dyDescent="0.25">
      <c r="A28" s="305" t="s">
        <v>14</v>
      </c>
      <c r="B28" s="305" t="s">
        <v>15</v>
      </c>
      <c r="C28" s="305" t="s">
        <v>43</v>
      </c>
      <c r="D28" s="305" t="s">
        <v>28</v>
      </c>
      <c r="E28" s="305" t="s">
        <v>14</v>
      </c>
      <c r="F28" s="305" t="s">
        <v>16</v>
      </c>
      <c r="G28" s="306" t="s">
        <v>17</v>
      </c>
      <c r="H28" s="306" t="s">
        <v>46</v>
      </c>
      <c r="I28" s="307" t="s">
        <v>50</v>
      </c>
      <c r="J28" s="309">
        <v>11644000</v>
      </c>
      <c r="K28" s="295">
        <f>K29+K30+K31+K32</f>
        <v>6250000</v>
      </c>
      <c r="L28" s="295">
        <f>L29+L30+L31+L32</f>
        <v>17894000</v>
      </c>
    </row>
    <row r="29" spans="1:12" s="26" customFormat="1" ht="94.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28</v>
      </c>
      <c r="G29" s="24" t="s">
        <v>17</v>
      </c>
      <c r="H29" s="24" t="s">
        <v>46</v>
      </c>
      <c r="I29" s="18" t="s">
        <v>1120</v>
      </c>
      <c r="J29" s="25">
        <v>4800000</v>
      </c>
      <c r="K29" s="295">
        <v>-600000</v>
      </c>
      <c r="L29" s="650">
        <f t="shared" si="1"/>
        <v>4200000</v>
      </c>
    </row>
    <row r="30" spans="1:12" s="26" customFormat="1" ht="78.7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69</v>
      </c>
      <c r="F30" s="23" t="s">
        <v>58</v>
      </c>
      <c r="G30" s="24" t="s">
        <v>17</v>
      </c>
      <c r="H30" s="24" t="s">
        <v>46</v>
      </c>
      <c r="I30" s="18" t="s">
        <v>1542</v>
      </c>
      <c r="J30" s="25">
        <v>5000000</v>
      </c>
      <c r="K30" s="289">
        <v>900000</v>
      </c>
      <c r="L30" s="650">
        <f t="shared" si="1"/>
        <v>5900000</v>
      </c>
    </row>
    <row r="31" spans="1:12" s="26" customFormat="1" ht="78.75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72</v>
      </c>
      <c r="F31" s="23" t="s">
        <v>28</v>
      </c>
      <c r="G31" s="24" t="s">
        <v>17</v>
      </c>
      <c r="H31" s="24" t="s">
        <v>46</v>
      </c>
      <c r="I31" s="18" t="s">
        <v>1796</v>
      </c>
      <c r="J31" s="25">
        <v>44000</v>
      </c>
      <c r="K31" s="289"/>
      <c r="L31" s="650">
        <f t="shared" si="1"/>
        <v>44000</v>
      </c>
    </row>
    <row r="32" spans="1:12" s="26" customFormat="1" ht="31.5" x14ac:dyDescent="0.25">
      <c r="A32" s="23" t="s">
        <v>45</v>
      </c>
      <c r="B32" s="23" t="s">
        <v>15</v>
      </c>
      <c r="C32" s="23" t="s">
        <v>43</v>
      </c>
      <c r="D32" s="23" t="s">
        <v>28</v>
      </c>
      <c r="E32" s="23" t="s">
        <v>51</v>
      </c>
      <c r="F32" s="23" t="s">
        <v>28</v>
      </c>
      <c r="G32" s="24" t="s">
        <v>17</v>
      </c>
      <c r="H32" s="24" t="s">
        <v>46</v>
      </c>
      <c r="I32" s="18" t="s">
        <v>52</v>
      </c>
      <c r="J32" s="25">
        <v>1800000</v>
      </c>
      <c r="K32" s="289">
        <v>5950000</v>
      </c>
      <c r="L32" s="650">
        <f t="shared" si="1"/>
        <v>7750000</v>
      </c>
    </row>
    <row r="33" spans="1:12" s="26" customFormat="1" ht="81" customHeight="1" x14ac:dyDescent="0.25">
      <c r="A33" s="305" t="s">
        <v>14</v>
      </c>
      <c r="B33" s="305" t="s">
        <v>15</v>
      </c>
      <c r="C33" s="305" t="s">
        <v>43</v>
      </c>
      <c r="D33" s="305" t="s">
        <v>40</v>
      </c>
      <c r="E33" s="305" t="s">
        <v>14</v>
      </c>
      <c r="F33" s="305" t="s">
        <v>16</v>
      </c>
      <c r="G33" s="306" t="s">
        <v>17</v>
      </c>
      <c r="H33" s="306" t="s">
        <v>46</v>
      </c>
      <c r="I33" s="307" t="s">
        <v>1639</v>
      </c>
      <c r="J33" s="309">
        <v>402000</v>
      </c>
      <c r="K33" s="295">
        <f>K34</f>
        <v>0</v>
      </c>
      <c r="L33" s="295">
        <f>L34</f>
        <v>402000</v>
      </c>
    </row>
    <row r="34" spans="1:12" s="26" customFormat="1" ht="94.5" x14ac:dyDescent="0.25">
      <c r="A34" s="23" t="s">
        <v>37</v>
      </c>
      <c r="B34" s="23" t="s">
        <v>15</v>
      </c>
      <c r="C34" s="23" t="s">
        <v>43</v>
      </c>
      <c r="D34" s="23" t="s">
        <v>40</v>
      </c>
      <c r="E34" s="23" t="s">
        <v>1585</v>
      </c>
      <c r="F34" s="23" t="s">
        <v>28</v>
      </c>
      <c r="G34" s="24" t="s">
        <v>17</v>
      </c>
      <c r="H34" s="24" t="s">
        <v>46</v>
      </c>
      <c r="I34" s="18" t="s">
        <v>1573</v>
      </c>
      <c r="J34" s="25">
        <v>402000</v>
      </c>
      <c r="K34" s="289"/>
      <c r="L34" s="650">
        <f t="shared" si="1"/>
        <v>402000</v>
      </c>
    </row>
    <row r="35" spans="1:12" s="26" customFormat="1" ht="15.75" x14ac:dyDescent="0.25">
      <c r="A35" s="20" t="s">
        <v>14</v>
      </c>
      <c r="B35" s="20" t="s">
        <v>15</v>
      </c>
      <c r="C35" s="20" t="s">
        <v>53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14</v>
      </c>
      <c r="I35" s="14" t="s">
        <v>54</v>
      </c>
      <c r="J35" s="22">
        <v>2872000</v>
      </c>
      <c r="K35" s="296">
        <f>K36</f>
        <v>0</v>
      </c>
      <c r="L35" s="290">
        <f>J35+K35</f>
        <v>2872000</v>
      </c>
    </row>
    <row r="36" spans="1:12" ht="15.75" x14ac:dyDescent="0.2">
      <c r="A36" s="23" t="s">
        <v>14</v>
      </c>
      <c r="B36" s="23" t="s">
        <v>15</v>
      </c>
      <c r="C36" s="23" t="s">
        <v>53</v>
      </c>
      <c r="D36" s="23" t="s">
        <v>18</v>
      </c>
      <c r="E36" s="23" t="s">
        <v>14</v>
      </c>
      <c r="F36" s="23" t="s">
        <v>18</v>
      </c>
      <c r="G36" s="24" t="s">
        <v>17</v>
      </c>
      <c r="H36" s="24" t="s">
        <v>46</v>
      </c>
      <c r="I36" s="18" t="s">
        <v>55</v>
      </c>
      <c r="J36" s="19">
        <v>2872000</v>
      </c>
      <c r="K36" s="296"/>
      <c r="L36" s="650">
        <f t="shared" si="1"/>
        <v>2872000</v>
      </c>
    </row>
    <row r="37" spans="1:12" ht="31.5" x14ac:dyDescent="0.2">
      <c r="A37" s="20" t="s">
        <v>14</v>
      </c>
      <c r="B37" s="20" t="s">
        <v>15</v>
      </c>
      <c r="C37" s="20" t="s">
        <v>58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59</v>
      </c>
      <c r="I37" s="14" t="s">
        <v>60</v>
      </c>
      <c r="J37" s="22">
        <v>58347000</v>
      </c>
      <c r="K37" s="296">
        <f>K38</f>
        <v>-6000000</v>
      </c>
      <c r="L37" s="290">
        <f>L38</f>
        <v>52347000</v>
      </c>
    </row>
    <row r="38" spans="1:12" ht="31.5" x14ac:dyDescent="0.2">
      <c r="A38" s="23" t="s">
        <v>14</v>
      </c>
      <c r="B38" s="23" t="s">
        <v>15</v>
      </c>
      <c r="C38" s="23" t="s">
        <v>58</v>
      </c>
      <c r="D38" s="23" t="s">
        <v>18</v>
      </c>
      <c r="E38" s="23" t="s">
        <v>61</v>
      </c>
      <c r="F38" s="23" t="s">
        <v>28</v>
      </c>
      <c r="G38" s="24" t="s">
        <v>17</v>
      </c>
      <c r="H38" s="24" t="s">
        <v>59</v>
      </c>
      <c r="I38" s="18" t="s">
        <v>62</v>
      </c>
      <c r="J38" s="19">
        <v>58347000</v>
      </c>
      <c r="K38" s="296">
        <v>-6000000</v>
      </c>
      <c r="L38" s="650">
        <f t="shared" si="1"/>
        <v>52347000</v>
      </c>
    </row>
    <row r="39" spans="1:12" ht="24" customHeight="1" x14ac:dyDescent="0.2">
      <c r="A39" s="20" t="s">
        <v>14</v>
      </c>
      <c r="B39" s="20" t="s">
        <v>15</v>
      </c>
      <c r="C39" s="20" t="s">
        <v>63</v>
      </c>
      <c r="D39" s="20" t="s">
        <v>16</v>
      </c>
      <c r="E39" s="20" t="s">
        <v>14</v>
      </c>
      <c r="F39" s="20" t="s">
        <v>16</v>
      </c>
      <c r="G39" s="21" t="s">
        <v>17</v>
      </c>
      <c r="H39" s="21" t="s">
        <v>14</v>
      </c>
      <c r="I39" s="14" t="s">
        <v>64</v>
      </c>
      <c r="J39" s="22">
        <v>7125000</v>
      </c>
      <c r="K39" s="296">
        <f t="shared" ref="K39:L39" si="5">K40+K41</f>
        <v>2500000</v>
      </c>
      <c r="L39" s="290">
        <f t="shared" si="5"/>
        <v>9625000</v>
      </c>
    </row>
    <row r="40" spans="1:12" ht="78.75" x14ac:dyDescent="0.2">
      <c r="A40" s="23" t="s">
        <v>45</v>
      </c>
      <c r="B40" s="23" t="s">
        <v>15</v>
      </c>
      <c r="C40" s="23" t="s">
        <v>63</v>
      </c>
      <c r="D40" s="23" t="s">
        <v>21</v>
      </c>
      <c r="E40" s="23" t="s">
        <v>14</v>
      </c>
      <c r="F40" s="23" t="s">
        <v>16</v>
      </c>
      <c r="G40" s="24" t="s">
        <v>17</v>
      </c>
      <c r="H40" s="24" t="s">
        <v>14</v>
      </c>
      <c r="I40" s="18" t="s">
        <v>65</v>
      </c>
      <c r="J40" s="19">
        <v>2000000</v>
      </c>
      <c r="K40" s="296"/>
      <c r="L40" s="650">
        <f t="shared" si="1"/>
        <v>2000000</v>
      </c>
    </row>
    <row r="41" spans="1:12" ht="31.5" x14ac:dyDescent="0.2">
      <c r="A41" s="305" t="s">
        <v>14</v>
      </c>
      <c r="B41" s="305" t="s">
        <v>15</v>
      </c>
      <c r="C41" s="305" t="s">
        <v>63</v>
      </c>
      <c r="D41" s="305" t="s">
        <v>66</v>
      </c>
      <c r="E41" s="305" t="s">
        <v>14</v>
      </c>
      <c r="F41" s="305" t="s">
        <v>16</v>
      </c>
      <c r="G41" s="306" t="s">
        <v>17</v>
      </c>
      <c r="H41" s="306" t="s">
        <v>67</v>
      </c>
      <c r="I41" s="307" t="s">
        <v>68</v>
      </c>
      <c r="J41" s="308">
        <v>5125000</v>
      </c>
      <c r="K41" s="294">
        <f>K42+K43+K44</f>
        <v>2500000</v>
      </c>
      <c r="L41" s="294">
        <f>L42+L43+L44</f>
        <v>7625000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28</v>
      </c>
      <c r="G42" s="24" t="s">
        <v>17</v>
      </c>
      <c r="H42" s="24" t="s">
        <v>67</v>
      </c>
      <c r="I42" s="18" t="s">
        <v>1121</v>
      </c>
      <c r="J42" s="19">
        <v>2500000</v>
      </c>
      <c r="K42" s="296">
        <v>1600000</v>
      </c>
      <c r="L42" s="650">
        <f t="shared" si="1"/>
        <v>4100000</v>
      </c>
    </row>
    <row r="43" spans="1:12" ht="47.25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69</v>
      </c>
      <c r="F43" s="23" t="s">
        <v>58</v>
      </c>
      <c r="G43" s="24" t="s">
        <v>17</v>
      </c>
      <c r="H43" s="24" t="s">
        <v>67</v>
      </c>
      <c r="I43" s="18" t="s">
        <v>71</v>
      </c>
      <c r="J43" s="19">
        <v>2400000</v>
      </c>
      <c r="K43" s="296">
        <v>900000</v>
      </c>
      <c r="L43" s="650">
        <f t="shared" si="1"/>
        <v>3300000</v>
      </c>
    </row>
    <row r="44" spans="1:12" ht="63" x14ac:dyDescent="0.2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72</v>
      </c>
      <c r="F44" s="23" t="s">
        <v>28</v>
      </c>
      <c r="G44" s="24" t="s">
        <v>17</v>
      </c>
      <c r="H44" s="24" t="s">
        <v>67</v>
      </c>
      <c r="I44" s="18" t="s">
        <v>73</v>
      </c>
      <c r="J44" s="19">
        <v>225000</v>
      </c>
      <c r="K44" s="296"/>
      <c r="L44" s="650">
        <f t="shared" si="1"/>
        <v>225000</v>
      </c>
    </row>
    <row r="45" spans="1:12" ht="15.75" x14ac:dyDescent="0.2">
      <c r="A45" s="20" t="s">
        <v>14</v>
      </c>
      <c r="B45" s="20" t="s">
        <v>15</v>
      </c>
      <c r="C45" s="20" t="s">
        <v>74</v>
      </c>
      <c r="D45" s="20" t="s">
        <v>16</v>
      </c>
      <c r="E45" s="20" t="s">
        <v>14</v>
      </c>
      <c r="F45" s="20" t="s">
        <v>16</v>
      </c>
      <c r="G45" s="21" t="s">
        <v>17</v>
      </c>
      <c r="H45" s="21" t="s">
        <v>14</v>
      </c>
      <c r="I45" s="14" t="s">
        <v>75</v>
      </c>
      <c r="J45" s="22">
        <v>5544000</v>
      </c>
      <c r="K45" s="296"/>
      <c r="L45" s="768">
        <f t="shared" si="1"/>
        <v>5544000</v>
      </c>
    </row>
    <row r="46" spans="1:12" ht="15.75" x14ac:dyDescent="0.2">
      <c r="A46" s="20" t="s">
        <v>14</v>
      </c>
      <c r="B46" s="20" t="s">
        <v>15</v>
      </c>
      <c r="C46" s="20" t="s">
        <v>76</v>
      </c>
      <c r="D46" s="20" t="s">
        <v>16</v>
      </c>
      <c r="E46" s="20" t="s">
        <v>41</v>
      </c>
      <c r="F46" s="20" t="s">
        <v>16</v>
      </c>
      <c r="G46" s="21" t="s">
        <v>17</v>
      </c>
      <c r="H46" s="21" t="s">
        <v>14</v>
      </c>
      <c r="I46" s="14" t="s">
        <v>77</v>
      </c>
      <c r="J46" s="22">
        <v>1435460</v>
      </c>
      <c r="K46" s="296"/>
      <c r="L46" s="768">
        <f t="shared" si="1"/>
        <v>1435460</v>
      </c>
    </row>
    <row r="47" spans="1:12" ht="15.75" x14ac:dyDescent="0.2">
      <c r="A47" s="20" t="s">
        <v>14</v>
      </c>
      <c r="B47" s="20" t="s">
        <v>78</v>
      </c>
      <c r="C47" s="20" t="s">
        <v>16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79</v>
      </c>
      <c r="J47" s="22">
        <v>2509996350</v>
      </c>
      <c r="K47" s="296">
        <f>K48+K147</f>
        <v>8456329</v>
      </c>
      <c r="L47" s="290">
        <f>L48+L147</f>
        <v>2518452679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16</v>
      </c>
      <c r="E48" s="20" t="s">
        <v>14</v>
      </c>
      <c r="F48" s="20" t="s">
        <v>16</v>
      </c>
      <c r="G48" s="27" t="s">
        <v>17</v>
      </c>
      <c r="H48" s="27" t="s">
        <v>14</v>
      </c>
      <c r="I48" s="28" t="s">
        <v>80</v>
      </c>
      <c r="J48" s="22">
        <v>2503996350</v>
      </c>
      <c r="K48" s="296">
        <f>K49+K57+K76+K116</f>
        <v>14456329</v>
      </c>
      <c r="L48" s="290">
        <f>L49+L57+L76+L116</f>
        <v>2518452679</v>
      </c>
    </row>
    <row r="49" spans="1:12" ht="31.5" x14ac:dyDescent="0.2">
      <c r="A49" s="20" t="s">
        <v>14</v>
      </c>
      <c r="B49" s="20" t="s">
        <v>78</v>
      </c>
      <c r="C49" s="20" t="s">
        <v>21</v>
      </c>
      <c r="D49" s="20" t="s">
        <v>70</v>
      </c>
      <c r="E49" s="20" t="s">
        <v>14</v>
      </c>
      <c r="F49" s="20" t="s">
        <v>16</v>
      </c>
      <c r="G49" s="27" t="s">
        <v>17</v>
      </c>
      <c r="H49" s="27" t="s">
        <v>1173</v>
      </c>
      <c r="I49" s="28" t="s">
        <v>82</v>
      </c>
      <c r="J49" s="22">
        <v>562362136</v>
      </c>
      <c r="K49" s="296">
        <f>K50+K51+K52+K53+K54+K55+K56</f>
        <v>6071254</v>
      </c>
      <c r="L49" s="290">
        <f>L50+L51+L52+L53+L54+L55+L56</f>
        <v>568433390</v>
      </c>
    </row>
    <row r="50" spans="1:12" ht="31.5" x14ac:dyDescent="0.2">
      <c r="A50" s="23" t="s">
        <v>83</v>
      </c>
      <c r="B50" s="23" t="s">
        <v>78</v>
      </c>
      <c r="C50" s="23" t="s">
        <v>21</v>
      </c>
      <c r="D50" s="23" t="s">
        <v>663</v>
      </c>
      <c r="E50" s="23" t="s">
        <v>84</v>
      </c>
      <c r="F50" s="23" t="s">
        <v>28</v>
      </c>
      <c r="G50" s="29" t="s">
        <v>17</v>
      </c>
      <c r="H50" s="29" t="s">
        <v>1173</v>
      </c>
      <c r="I50" s="30" t="s">
        <v>85</v>
      </c>
      <c r="J50" s="19">
        <v>429133000</v>
      </c>
      <c r="K50" s="296"/>
      <c r="L50" s="650">
        <f t="shared" si="1"/>
        <v>429133000</v>
      </c>
    </row>
    <row r="51" spans="1:12" ht="31.5" x14ac:dyDescent="0.2">
      <c r="A51" s="23" t="s">
        <v>83</v>
      </c>
      <c r="B51" s="23" t="s">
        <v>78</v>
      </c>
      <c r="C51" s="23" t="s">
        <v>21</v>
      </c>
      <c r="D51" s="23" t="s">
        <v>663</v>
      </c>
      <c r="E51" s="23" t="s">
        <v>1069</v>
      </c>
      <c r="F51" s="23" t="s">
        <v>28</v>
      </c>
      <c r="G51" s="29" t="s">
        <v>17</v>
      </c>
      <c r="H51" s="29" t="s">
        <v>1173</v>
      </c>
      <c r="I51" s="30" t="s">
        <v>86</v>
      </c>
      <c r="J51" s="19">
        <v>92935000</v>
      </c>
      <c r="K51" s="296"/>
      <c r="L51" s="650">
        <f t="shared" si="1"/>
        <v>92935000</v>
      </c>
    </row>
    <row r="52" spans="1:12" ht="47.25" x14ac:dyDescent="0.2">
      <c r="A52" s="23" t="s">
        <v>83</v>
      </c>
      <c r="B52" s="23" t="s">
        <v>78</v>
      </c>
      <c r="C52" s="23" t="s">
        <v>21</v>
      </c>
      <c r="D52" s="23" t="s">
        <v>1317</v>
      </c>
      <c r="E52" s="23" t="s">
        <v>93</v>
      </c>
      <c r="F52" s="23" t="s">
        <v>28</v>
      </c>
      <c r="G52" s="29" t="s">
        <v>1318</v>
      </c>
      <c r="H52" s="29" t="s">
        <v>1173</v>
      </c>
      <c r="I52" s="30" t="s">
        <v>1316</v>
      </c>
      <c r="J52" s="19">
        <v>30485100</v>
      </c>
      <c r="K52" s="296">
        <v>6071254</v>
      </c>
      <c r="L52" s="650">
        <f>SUM(J52:K52)</f>
        <v>36556354</v>
      </c>
    </row>
    <row r="53" spans="1:12" ht="15.75" hidden="1" x14ac:dyDescent="0.2">
      <c r="A53" s="23" t="s">
        <v>37</v>
      </c>
      <c r="B53" s="23" t="s">
        <v>78</v>
      </c>
      <c r="C53" s="23" t="s">
        <v>21</v>
      </c>
      <c r="D53" s="23" t="s">
        <v>1317</v>
      </c>
      <c r="E53" s="23" t="s">
        <v>93</v>
      </c>
      <c r="F53" s="23" t="s">
        <v>28</v>
      </c>
      <c r="G53" s="29" t="s">
        <v>1586</v>
      </c>
      <c r="H53" s="29" t="s">
        <v>1173</v>
      </c>
      <c r="I53" s="30" t="s">
        <v>1587</v>
      </c>
      <c r="J53" s="19">
        <v>0</v>
      </c>
      <c r="K53" s="296"/>
      <c r="L53" s="650">
        <f>SUM(J53:K53)</f>
        <v>0</v>
      </c>
    </row>
    <row r="54" spans="1:12" ht="47.25" x14ac:dyDescent="0.2">
      <c r="A54" s="23" t="s">
        <v>37</v>
      </c>
      <c r="B54" s="23" t="s">
        <v>78</v>
      </c>
      <c r="C54" s="23" t="s">
        <v>21</v>
      </c>
      <c r="D54" s="23" t="s">
        <v>1317</v>
      </c>
      <c r="E54" s="23" t="s">
        <v>93</v>
      </c>
      <c r="F54" s="23" t="s">
        <v>28</v>
      </c>
      <c r="G54" s="29" t="s">
        <v>1707</v>
      </c>
      <c r="H54" s="29" t="s">
        <v>1173</v>
      </c>
      <c r="I54" s="30" t="s">
        <v>1751</v>
      </c>
      <c r="J54" s="19">
        <v>5000000</v>
      </c>
      <c r="K54" s="296"/>
      <c r="L54" s="650">
        <f>SUM(J54:K54)</f>
        <v>5000000</v>
      </c>
    </row>
    <row r="55" spans="1:12" ht="47.25" x14ac:dyDescent="0.2">
      <c r="A55" s="23" t="s">
        <v>37</v>
      </c>
      <c r="B55" s="23" t="s">
        <v>78</v>
      </c>
      <c r="C55" s="23" t="s">
        <v>21</v>
      </c>
      <c r="D55" s="23" t="s">
        <v>1317</v>
      </c>
      <c r="E55" s="23" t="s">
        <v>93</v>
      </c>
      <c r="F55" s="23" t="s">
        <v>28</v>
      </c>
      <c r="G55" s="29" t="s">
        <v>1766</v>
      </c>
      <c r="H55" s="29" t="s">
        <v>1173</v>
      </c>
      <c r="I55" s="30" t="s">
        <v>1767</v>
      </c>
      <c r="J55" s="19">
        <v>590000</v>
      </c>
      <c r="K55" s="296"/>
      <c r="L55" s="650">
        <f>SUM(J55:K55)</f>
        <v>590000</v>
      </c>
    </row>
    <row r="56" spans="1:12" ht="47.25" x14ac:dyDescent="0.2">
      <c r="A56" s="23" t="s">
        <v>37</v>
      </c>
      <c r="B56" s="23" t="s">
        <v>78</v>
      </c>
      <c r="C56" s="23" t="s">
        <v>21</v>
      </c>
      <c r="D56" s="23" t="s">
        <v>1317</v>
      </c>
      <c r="E56" s="23" t="s">
        <v>93</v>
      </c>
      <c r="F56" s="23" t="s">
        <v>28</v>
      </c>
      <c r="G56" s="29" t="s">
        <v>1790</v>
      </c>
      <c r="H56" s="29" t="s">
        <v>1173</v>
      </c>
      <c r="I56" s="30" t="s">
        <v>1791</v>
      </c>
      <c r="J56" s="19">
        <v>4219036</v>
      </c>
      <c r="K56" s="296"/>
      <c r="L56" s="650">
        <f>SUM(J56:K56)</f>
        <v>4219036</v>
      </c>
    </row>
    <row r="57" spans="1:12" ht="31.5" x14ac:dyDescent="0.2">
      <c r="A57" s="20" t="s">
        <v>14</v>
      </c>
      <c r="B57" s="20" t="s">
        <v>78</v>
      </c>
      <c r="C57" s="20" t="s">
        <v>21</v>
      </c>
      <c r="D57" s="20" t="s">
        <v>1070</v>
      </c>
      <c r="E57" s="20" t="s">
        <v>14</v>
      </c>
      <c r="F57" s="20" t="s">
        <v>16</v>
      </c>
      <c r="G57" s="27" t="s">
        <v>17</v>
      </c>
      <c r="H57" s="27" t="s">
        <v>1173</v>
      </c>
      <c r="I57" s="28" t="s">
        <v>87</v>
      </c>
      <c r="J57" s="22">
        <v>112075050</v>
      </c>
      <c r="K57" s="296">
        <f>SUM(K58:K75)</f>
        <v>5345874</v>
      </c>
      <c r="L57" s="290">
        <f>SUM(L58:L75)</f>
        <v>117420924</v>
      </c>
    </row>
    <row r="58" spans="1:12" ht="15.75" x14ac:dyDescent="0.2">
      <c r="A58" s="23" t="s">
        <v>37</v>
      </c>
      <c r="B58" s="23" t="s">
        <v>78</v>
      </c>
      <c r="C58" s="23" t="s">
        <v>21</v>
      </c>
      <c r="D58" s="23" t="s">
        <v>1070</v>
      </c>
      <c r="E58" s="23" t="s">
        <v>89</v>
      </c>
      <c r="F58" s="23" t="s">
        <v>28</v>
      </c>
      <c r="G58" s="29" t="s">
        <v>17</v>
      </c>
      <c r="H58" s="29" t="s">
        <v>1173</v>
      </c>
      <c r="I58" s="30" t="s">
        <v>90</v>
      </c>
      <c r="J58" s="19">
        <v>10771487</v>
      </c>
      <c r="K58" s="296"/>
      <c r="L58" s="650">
        <f>SUM(J58:K58)</f>
        <v>10771487</v>
      </c>
    </row>
    <row r="59" spans="1:12" ht="31.5" x14ac:dyDescent="0.2">
      <c r="A59" s="23" t="s">
        <v>37</v>
      </c>
      <c r="B59" s="23" t="s">
        <v>78</v>
      </c>
      <c r="C59" s="23" t="s">
        <v>21</v>
      </c>
      <c r="D59" s="23" t="s">
        <v>1070</v>
      </c>
      <c r="E59" s="23" t="s">
        <v>89</v>
      </c>
      <c r="F59" s="23" t="s">
        <v>28</v>
      </c>
      <c r="G59" s="29" t="s">
        <v>17</v>
      </c>
      <c r="H59" s="29" t="s">
        <v>1173</v>
      </c>
      <c r="I59" s="30" t="s">
        <v>1296</v>
      </c>
      <c r="J59" s="19"/>
      <c r="K59" s="296">
        <v>5592622</v>
      </c>
      <c r="L59" s="650">
        <f>SUM(J59:K59)</f>
        <v>5592622</v>
      </c>
    </row>
    <row r="60" spans="1:12" ht="63" x14ac:dyDescent="0.2">
      <c r="A60" s="23" t="s">
        <v>92</v>
      </c>
      <c r="B60" s="23" t="s">
        <v>78</v>
      </c>
      <c r="C60" s="23" t="s">
        <v>21</v>
      </c>
      <c r="D60" s="23" t="s">
        <v>1394</v>
      </c>
      <c r="E60" s="23" t="s">
        <v>1496</v>
      </c>
      <c r="F60" s="23" t="s">
        <v>28</v>
      </c>
      <c r="G60" s="29" t="s">
        <v>17</v>
      </c>
      <c r="H60" s="29" t="s">
        <v>1173</v>
      </c>
      <c r="I60" s="34" t="s">
        <v>1497</v>
      </c>
      <c r="J60" s="19">
        <v>1554507</v>
      </c>
      <c r="K60" s="296"/>
      <c r="L60" s="650">
        <f>SUM(J60:K60)</f>
        <v>1554507</v>
      </c>
    </row>
    <row r="61" spans="1:12" ht="31.5" x14ac:dyDescent="0.2">
      <c r="A61" s="287" t="s">
        <v>92</v>
      </c>
      <c r="B61" s="23" t="s">
        <v>78</v>
      </c>
      <c r="C61" s="23" t="s">
        <v>21</v>
      </c>
      <c r="D61" s="23" t="s">
        <v>1394</v>
      </c>
      <c r="E61" s="23" t="s">
        <v>1792</v>
      </c>
      <c r="F61" s="23" t="s">
        <v>28</v>
      </c>
      <c r="G61" s="542" t="s">
        <v>17</v>
      </c>
      <c r="H61" s="29" t="s">
        <v>1173</v>
      </c>
      <c r="I61" s="30" t="s">
        <v>1793</v>
      </c>
      <c r="J61" s="19">
        <v>29888908</v>
      </c>
      <c r="K61" s="296"/>
      <c r="L61" s="650">
        <f>SUM(J61:K61)</f>
        <v>29888908</v>
      </c>
    </row>
    <row r="62" spans="1:12" ht="47.25" x14ac:dyDescent="0.2">
      <c r="A62" s="287" t="s">
        <v>92</v>
      </c>
      <c r="B62" s="23" t="s">
        <v>78</v>
      </c>
      <c r="C62" s="23" t="s">
        <v>21</v>
      </c>
      <c r="D62" s="23" t="s">
        <v>1394</v>
      </c>
      <c r="E62" s="23" t="s">
        <v>1444</v>
      </c>
      <c r="F62" s="23" t="s">
        <v>28</v>
      </c>
      <c r="G62" s="542" t="s">
        <v>17</v>
      </c>
      <c r="H62" s="29" t="s">
        <v>1173</v>
      </c>
      <c r="I62" s="30" t="s">
        <v>1640</v>
      </c>
      <c r="J62" s="19">
        <v>164610</v>
      </c>
      <c r="K62" s="296"/>
      <c r="L62" s="650">
        <f>SUM(J62:K62)</f>
        <v>164610</v>
      </c>
    </row>
    <row r="63" spans="1:12" ht="47.25" x14ac:dyDescent="0.2">
      <c r="A63" s="287" t="s">
        <v>94</v>
      </c>
      <c r="B63" s="23" t="s">
        <v>78</v>
      </c>
      <c r="C63" s="23" t="s">
        <v>21</v>
      </c>
      <c r="D63" s="23" t="s">
        <v>1071</v>
      </c>
      <c r="E63" s="23" t="s">
        <v>93</v>
      </c>
      <c r="F63" s="23" t="s">
        <v>28</v>
      </c>
      <c r="G63" s="542" t="s">
        <v>1768</v>
      </c>
      <c r="H63" s="29" t="s">
        <v>1173</v>
      </c>
      <c r="I63" s="30" t="s">
        <v>1769</v>
      </c>
      <c r="J63" s="19">
        <v>1800000</v>
      </c>
      <c r="K63" s="296"/>
      <c r="L63" s="650">
        <f t="shared" ref="L63:L64" si="6">SUM(J63:K63)</f>
        <v>1800000</v>
      </c>
    </row>
    <row r="64" spans="1:12" ht="31.5" x14ac:dyDescent="0.2">
      <c r="A64" s="287" t="s">
        <v>92</v>
      </c>
      <c r="B64" s="23" t="s">
        <v>78</v>
      </c>
      <c r="C64" s="23" t="s">
        <v>21</v>
      </c>
      <c r="D64" s="23" t="s">
        <v>1071</v>
      </c>
      <c r="E64" s="23" t="s">
        <v>93</v>
      </c>
      <c r="F64" s="23" t="s">
        <v>28</v>
      </c>
      <c r="G64" s="542" t="s">
        <v>1770</v>
      </c>
      <c r="H64" s="29" t="s">
        <v>1173</v>
      </c>
      <c r="I64" s="30" t="s">
        <v>1771</v>
      </c>
      <c r="J64" s="19">
        <v>60473</v>
      </c>
      <c r="K64" s="296"/>
      <c r="L64" s="650">
        <f t="shared" si="6"/>
        <v>60473</v>
      </c>
    </row>
    <row r="65" spans="1:12" ht="31.5" x14ac:dyDescent="0.2">
      <c r="A65" s="23" t="s">
        <v>92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29" t="s">
        <v>1498</v>
      </c>
      <c r="H65" s="29" t="s">
        <v>1173</v>
      </c>
      <c r="I65" s="34" t="s">
        <v>1499</v>
      </c>
      <c r="J65" s="19">
        <v>2215744</v>
      </c>
      <c r="K65" s="296"/>
      <c r="L65" s="650">
        <f t="shared" si="1"/>
        <v>2215744</v>
      </c>
    </row>
    <row r="66" spans="1:12" ht="31.5" hidden="1" x14ac:dyDescent="0.2">
      <c r="A66" s="23" t="s">
        <v>94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29" t="s">
        <v>1500</v>
      </c>
      <c r="H66" s="29" t="s">
        <v>1173</v>
      </c>
      <c r="I66" s="34" t="s">
        <v>1611</v>
      </c>
      <c r="J66" s="19">
        <v>0</v>
      </c>
      <c r="K66" s="296"/>
      <c r="L66" s="650">
        <f t="shared" si="1"/>
        <v>0</v>
      </c>
    </row>
    <row r="67" spans="1:12" ht="47.25" x14ac:dyDescent="0.2">
      <c r="A67" s="23" t="s">
        <v>94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1116</v>
      </c>
      <c r="H67" s="29" t="s">
        <v>1173</v>
      </c>
      <c r="I67" s="34" t="s">
        <v>95</v>
      </c>
      <c r="J67" s="19">
        <v>928333</v>
      </c>
      <c r="K67" s="296"/>
      <c r="L67" s="650">
        <f t="shared" si="1"/>
        <v>928333</v>
      </c>
    </row>
    <row r="68" spans="1:12" ht="47.25" x14ac:dyDescent="0.2">
      <c r="A68" s="23" t="s">
        <v>37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1501</v>
      </c>
      <c r="H68" s="29" t="s">
        <v>1173</v>
      </c>
      <c r="I68" s="34" t="s">
        <v>1502</v>
      </c>
      <c r="J68" s="19">
        <v>12523054</v>
      </c>
      <c r="K68" s="296"/>
      <c r="L68" s="650">
        <f t="shared" si="1"/>
        <v>12523054</v>
      </c>
    </row>
    <row r="69" spans="1:12" ht="31.5" x14ac:dyDescent="0.2">
      <c r="A69" s="23" t="s">
        <v>37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29" t="s">
        <v>1357</v>
      </c>
      <c r="H69" s="29" t="s">
        <v>1173</v>
      </c>
      <c r="I69" s="34" t="s">
        <v>1358</v>
      </c>
      <c r="J69" s="19">
        <v>555156</v>
      </c>
      <c r="K69" s="296"/>
      <c r="L69" s="296">
        <f t="shared" si="1"/>
        <v>555156</v>
      </c>
    </row>
    <row r="70" spans="1:12" ht="31.5" x14ac:dyDescent="0.2">
      <c r="A70" s="287" t="s">
        <v>94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299" t="s">
        <v>1176</v>
      </c>
      <c r="H70" s="29" t="s">
        <v>1173</v>
      </c>
      <c r="I70" s="30" t="s">
        <v>1175</v>
      </c>
      <c r="J70" s="19">
        <v>8223075</v>
      </c>
      <c r="K70" s="296"/>
      <c r="L70" s="650">
        <f t="shared" si="1"/>
        <v>8223075</v>
      </c>
    </row>
    <row r="71" spans="1:12" ht="31.5" x14ac:dyDescent="0.2">
      <c r="A71" s="287" t="s">
        <v>92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299" t="s">
        <v>1174</v>
      </c>
      <c r="H71" s="29" t="s">
        <v>1173</v>
      </c>
      <c r="I71" s="30" t="s">
        <v>1177</v>
      </c>
      <c r="J71" s="19">
        <v>36844478</v>
      </c>
      <c r="K71" s="296"/>
      <c r="L71" s="650">
        <f t="shared" si="1"/>
        <v>36844478</v>
      </c>
    </row>
    <row r="72" spans="1:12" ht="31.5" x14ac:dyDescent="0.2">
      <c r="A72" s="287" t="s">
        <v>92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299" t="s">
        <v>1456</v>
      </c>
      <c r="H72" s="29" t="s">
        <v>1173</v>
      </c>
      <c r="I72" s="30" t="s">
        <v>1457</v>
      </c>
      <c r="J72" s="19">
        <v>888233</v>
      </c>
      <c r="K72" s="296"/>
      <c r="L72" s="650">
        <f t="shared" si="1"/>
        <v>888233</v>
      </c>
    </row>
    <row r="73" spans="1:12" ht="31.5" x14ac:dyDescent="0.2">
      <c r="A73" s="287" t="s">
        <v>37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299" t="s">
        <v>1641</v>
      </c>
      <c r="H73" s="29" t="s">
        <v>1173</v>
      </c>
      <c r="I73" s="30" t="s">
        <v>1642</v>
      </c>
      <c r="J73" s="19">
        <v>447065</v>
      </c>
      <c r="K73" s="296"/>
      <c r="L73" s="650">
        <f t="shared" si="1"/>
        <v>447065</v>
      </c>
    </row>
    <row r="74" spans="1:12" ht="31.5" x14ac:dyDescent="0.2">
      <c r="A74" s="287" t="s">
        <v>92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299" t="s">
        <v>1708</v>
      </c>
      <c r="H74" s="29" t="s">
        <v>1173</v>
      </c>
      <c r="I74" s="30" t="s">
        <v>1709</v>
      </c>
      <c r="J74" s="19">
        <v>3209927</v>
      </c>
      <c r="K74" s="296"/>
      <c r="L74" s="650">
        <f t="shared" si="1"/>
        <v>3209927</v>
      </c>
    </row>
    <row r="75" spans="1:12" ht="47.25" x14ac:dyDescent="0.2">
      <c r="A75" s="287" t="s">
        <v>94</v>
      </c>
      <c r="B75" s="23" t="s">
        <v>78</v>
      </c>
      <c r="C75" s="23" t="s">
        <v>21</v>
      </c>
      <c r="D75" s="23" t="s">
        <v>1071</v>
      </c>
      <c r="E75" s="23" t="s">
        <v>93</v>
      </c>
      <c r="F75" s="23" t="s">
        <v>28</v>
      </c>
      <c r="G75" s="542" t="s">
        <v>1455</v>
      </c>
      <c r="H75" s="29" t="s">
        <v>1173</v>
      </c>
      <c r="I75" s="30" t="s">
        <v>1710</v>
      </c>
      <c r="J75" s="19">
        <v>2000000</v>
      </c>
      <c r="K75" s="296">
        <v>-246748</v>
      </c>
      <c r="L75" s="650">
        <f t="shared" si="1"/>
        <v>1753252</v>
      </c>
    </row>
    <row r="76" spans="1:12" s="35" customFormat="1" ht="31.5" x14ac:dyDescent="0.25">
      <c r="A76" s="20" t="s">
        <v>14</v>
      </c>
      <c r="B76" s="20" t="s">
        <v>78</v>
      </c>
      <c r="C76" s="20" t="s">
        <v>21</v>
      </c>
      <c r="D76" s="20" t="s">
        <v>1076</v>
      </c>
      <c r="E76" s="20" t="s">
        <v>14</v>
      </c>
      <c r="F76" s="20" t="s">
        <v>16</v>
      </c>
      <c r="G76" s="27" t="s">
        <v>17</v>
      </c>
      <c r="H76" s="27" t="s">
        <v>1173</v>
      </c>
      <c r="I76" s="28" t="s">
        <v>97</v>
      </c>
      <c r="J76" s="22">
        <v>1355724506</v>
      </c>
      <c r="K76" s="296">
        <f>SUM(K77:K115)</f>
        <v>273670</v>
      </c>
      <c r="L76" s="290">
        <f>J76+K76</f>
        <v>1355998176</v>
      </c>
    </row>
    <row r="77" spans="1:12" s="35" customFormat="1" ht="31.5" x14ac:dyDescent="0.25">
      <c r="A77" s="23" t="s">
        <v>98</v>
      </c>
      <c r="B77" s="23" t="s">
        <v>78</v>
      </c>
      <c r="C77" s="23" t="s">
        <v>21</v>
      </c>
      <c r="D77" s="23" t="s">
        <v>1076</v>
      </c>
      <c r="E77" s="23" t="s">
        <v>1181</v>
      </c>
      <c r="F77" s="23" t="s">
        <v>28</v>
      </c>
      <c r="G77" s="29" t="s">
        <v>17</v>
      </c>
      <c r="H77" s="29" t="s">
        <v>1173</v>
      </c>
      <c r="I77" s="30" t="s">
        <v>101</v>
      </c>
      <c r="J77" s="19">
        <v>28658000</v>
      </c>
      <c r="K77" s="296"/>
      <c r="L77" s="650">
        <f>J77+K77</f>
        <v>28658000</v>
      </c>
    </row>
    <row r="78" spans="1:12" s="35" customFormat="1" ht="47.25" x14ac:dyDescent="0.25">
      <c r="A78" s="23" t="s">
        <v>98</v>
      </c>
      <c r="B78" s="23" t="s">
        <v>78</v>
      </c>
      <c r="C78" s="23" t="s">
        <v>21</v>
      </c>
      <c r="D78" s="23" t="s">
        <v>1076</v>
      </c>
      <c r="E78" s="23" t="s">
        <v>102</v>
      </c>
      <c r="F78" s="23" t="s">
        <v>28</v>
      </c>
      <c r="G78" s="29" t="s">
        <v>1096</v>
      </c>
      <c r="H78" s="29" t="s">
        <v>1173</v>
      </c>
      <c r="I78" s="18" t="s">
        <v>105</v>
      </c>
      <c r="J78" s="19">
        <v>13435</v>
      </c>
      <c r="K78" s="296"/>
      <c r="L78" s="650">
        <f>J78+K78</f>
        <v>13435</v>
      </c>
    </row>
    <row r="79" spans="1:12" s="35" customFormat="1" ht="31.5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102</v>
      </c>
      <c r="F79" s="23" t="s">
        <v>28</v>
      </c>
      <c r="G79" s="29" t="s">
        <v>1097</v>
      </c>
      <c r="H79" s="29" t="s">
        <v>1173</v>
      </c>
      <c r="I79" s="18" t="s">
        <v>1140</v>
      </c>
      <c r="J79" s="19">
        <v>2843334</v>
      </c>
      <c r="K79" s="296"/>
      <c r="L79" s="650">
        <f t="shared" ref="L79:L108" si="7">SUM(J79:K79)</f>
        <v>2843334</v>
      </c>
    </row>
    <row r="80" spans="1:12" s="35" customFormat="1" ht="63" x14ac:dyDescent="0.25">
      <c r="A80" s="23" t="s">
        <v>98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1098</v>
      </c>
      <c r="H80" s="29" t="s">
        <v>1173</v>
      </c>
      <c r="I80" s="18" t="s">
        <v>106</v>
      </c>
      <c r="J80" s="19">
        <v>68101000</v>
      </c>
      <c r="K80" s="296">
        <v>-1372537</v>
      </c>
      <c r="L80" s="650">
        <f t="shared" si="7"/>
        <v>66728463</v>
      </c>
    </row>
    <row r="81" spans="1:12" s="35" customFormat="1" ht="63" x14ac:dyDescent="0.25">
      <c r="A81" s="23" t="s">
        <v>94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1113</v>
      </c>
      <c r="H81" s="29" t="s">
        <v>1173</v>
      </c>
      <c r="I81" s="18" t="s">
        <v>120</v>
      </c>
      <c r="J81" s="19">
        <v>5536142</v>
      </c>
      <c r="K81" s="296"/>
      <c r="L81" s="650">
        <f t="shared" si="7"/>
        <v>5536142</v>
      </c>
    </row>
    <row r="82" spans="1:12" s="35" customFormat="1" ht="31.5" x14ac:dyDescent="0.25">
      <c r="A82" s="23" t="s">
        <v>94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1110</v>
      </c>
      <c r="H82" s="29" t="s">
        <v>1173</v>
      </c>
      <c r="I82" s="18" t="s">
        <v>117</v>
      </c>
      <c r="J82" s="19">
        <v>249601</v>
      </c>
      <c r="K82" s="296">
        <v>80000</v>
      </c>
      <c r="L82" s="650">
        <f t="shared" si="7"/>
        <v>329601</v>
      </c>
    </row>
    <row r="83" spans="1:12" s="35" customFormat="1" ht="63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1108</v>
      </c>
      <c r="H83" s="29" t="s">
        <v>1173</v>
      </c>
      <c r="I83" s="18" t="s">
        <v>115</v>
      </c>
      <c r="J83" s="19">
        <v>7112487</v>
      </c>
      <c r="K83" s="296">
        <f>-787436+101485</f>
        <v>-685951</v>
      </c>
      <c r="L83" s="650">
        <f t="shared" si="7"/>
        <v>6426536</v>
      </c>
    </row>
    <row r="84" spans="1:12" s="35" customFormat="1" ht="31.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1106</v>
      </c>
      <c r="H84" s="29" t="s">
        <v>1173</v>
      </c>
      <c r="I84" s="18" t="s">
        <v>113</v>
      </c>
      <c r="J84" s="19">
        <v>3627285</v>
      </c>
      <c r="K84" s="296">
        <v>-613987</v>
      </c>
      <c r="L84" s="650">
        <f t="shared" si="7"/>
        <v>3013298</v>
      </c>
    </row>
    <row r="85" spans="1:12" s="35" customFormat="1" ht="31.5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1093</v>
      </c>
      <c r="H85" s="29" t="s">
        <v>1173</v>
      </c>
      <c r="I85" s="18" t="s">
        <v>103</v>
      </c>
      <c r="J85" s="19">
        <v>231763122</v>
      </c>
      <c r="K85" s="296"/>
      <c r="L85" s="650">
        <f t="shared" si="7"/>
        <v>231763122</v>
      </c>
    </row>
    <row r="86" spans="1:12" s="35" customFormat="1" ht="31.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1107</v>
      </c>
      <c r="H86" s="29" t="s">
        <v>1173</v>
      </c>
      <c r="I86" s="18" t="s">
        <v>114</v>
      </c>
      <c r="J86" s="19">
        <v>426335618</v>
      </c>
      <c r="K86" s="296"/>
      <c r="L86" s="650">
        <f t="shared" si="7"/>
        <v>426335618</v>
      </c>
    </row>
    <row r="87" spans="1:12" s="35" customFormat="1" ht="31.5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1094</v>
      </c>
      <c r="H87" s="29" t="s">
        <v>1173</v>
      </c>
      <c r="I87" s="18" t="s">
        <v>104</v>
      </c>
      <c r="J87" s="19">
        <v>22323234</v>
      </c>
      <c r="K87" s="296">
        <v>-2798468</v>
      </c>
      <c r="L87" s="650">
        <f t="shared" si="7"/>
        <v>19524766</v>
      </c>
    </row>
    <row r="88" spans="1:12" s="35" customFormat="1" ht="47.25" x14ac:dyDescent="0.25">
      <c r="A88" s="23" t="s">
        <v>94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1111</v>
      </c>
      <c r="H88" s="29" t="s">
        <v>1173</v>
      </c>
      <c r="I88" s="18" t="s">
        <v>119</v>
      </c>
      <c r="J88" s="19">
        <v>25872992</v>
      </c>
      <c r="K88" s="296">
        <v>-1801353</v>
      </c>
      <c r="L88" s="650">
        <f t="shared" si="7"/>
        <v>24071639</v>
      </c>
    </row>
    <row r="89" spans="1:12" s="35" customFormat="1" ht="15.75" x14ac:dyDescent="0.25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1102</v>
      </c>
      <c r="H89" s="29" t="s">
        <v>1173</v>
      </c>
      <c r="I89" s="18" t="s">
        <v>111</v>
      </c>
      <c r="J89" s="19">
        <v>19156800</v>
      </c>
      <c r="K89" s="296">
        <v>-315000</v>
      </c>
      <c r="L89" s="650">
        <f t="shared" si="7"/>
        <v>18841800</v>
      </c>
    </row>
    <row r="90" spans="1:12" s="35" customFormat="1" ht="78.75" x14ac:dyDescent="0.25">
      <c r="A90" s="23" t="s">
        <v>98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1109</v>
      </c>
      <c r="H90" s="29" t="s">
        <v>1173</v>
      </c>
      <c r="I90" s="18" t="s">
        <v>116</v>
      </c>
      <c r="J90" s="19">
        <v>89229652</v>
      </c>
      <c r="K90" s="296">
        <v>-666095</v>
      </c>
      <c r="L90" s="650">
        <f t="shared" si="7"/>
        <v>88563557</v>
      </c>
    </row>
    <row r="91" spans="1:12" s="35" customFormat="1" ht="31.5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1103</v>
      </c>
      <c r="H91" s="29" t="s">
        <v>1173</v>
      </c>
      <c r="I91" s="18" t="s">
        <v>112</v>
      </c>
      <c r="J91" s="19">
        <v>4398600</v>
      </c>
      <c r="K91" s="296">
        <v>586240</v>
      </c>
      <c r="L91" s="650">
        <f t="shared" si="7"/>
        <v>4984840</v>
      </c>
    </row>
    <row r="92" spans="1:12" s="35" customFormat="1" ht="15.75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1104</v>
      </c>
      <c r="H92" s="29" t="s">
        <v>1173</v>
      </c>
      <c r="I92" s="18" t="s">
        <v>1555</v>
      </c>
      <c r="J92" s="19">
        <v>20140000</v>
      </c>
      <c r="K92" s="296"/>
      <c r="L92" s="650">
        <f t="shared" si="7"/>
        <v>20140000</v>
      </c>
    </row>
    <row r="93" spans="1:12" s="35" customFormat="1" ht="63" x14ac:dyDescent="0.25">
      <c r="A93" s="23" t="s">
        <v>98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1105</v>
      </c>
      <c r="H93" s="29" t="s">
        <v>1173</v>
      </c>
      <c r="I93" s="18" t="s">
        <v>1554</v>
      </c>
      <c r="J93" s="19">
        <v>37253000</v>
      </c>
      <c r="K93" s="296">
        <v>-280000</v>
      </c>
      <c r="L93" s="650">
        <f t="shared" si="7"/>
        <v>36973000</v>
      </c>
    </row>
    <row r="94" spans="1:12" s="35" customFormat="1" ht="47.25" x14ac:dyDescent="0.25">
      <c r="A94" s="23" t="s">
        <v>37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1115</v>
      </c>
      <c r="H94" s="29" t="s">
        <v>1173</v>
      </c>
      <c r="I94" s="18" t="s">
        <v>122</v>
      </c>
      <c r="J94" s="19">
        <v>4590</v>
      </c>
      <c r="K94" s="296"/>
      <c r="L94" s="650">
        <f t="shared" si="7"/>
        <v>4590</v>
      </c>
    </row>
    <row r="95" spans="1:12" s="35" customFormat="1" ht="31.5" x14ac:dyDescent="0.25">
      <c r="A95" s="23" t="s">
        <v>37</v>
      </c>
      <c r="B95" s="23" t="s">
        <v>78</v>
      </c>
      <c r="C95" s="23" t="s">
        <v>21</v>
      </c>
      <c r="D95" s="23" t="s">
        <v>1076</v>
      </c>
      <c r="E95" s="23" t="s">
        <v>102</v>
      </c>
      <c r="F95" s="23" t="s">
        <v>28</v>
      </c>
      <c r="G95" s="29" t="s">
        <v>1114</v>
      </c>
      <c r="H95" s="29" t="s">
        <v>1173</v>
      </c>
      <c r="I95" s="18" t="s">
        <v>1551</v>
      </c>
      <c r="J95" s="19">
        <v>757500</v>
      </c>
      <c r="K95" s="296"/>
      <c r="L95" s="650">
        <f t="shared" si="7"/>
        <v>757500</v>
      </c>
    </row>
    <row r="96" spans="1:12" s="35" customFormat="1" ht="31.5" x14ac:dyDescent="0.25">
      <c r="A96" s="36">
        <v>950</v>
      </c>
      <c r="B96" s="37" t="s">
        <v>78</v>
      </c>
      <c r="C96" s="37" t="s">
        <v>21</v>
      </c>
      <c r="D96" s="37" t="s">
        <v>1076</v>
      </c>
      <c r="E96" s="37" t="s">
        <v>102</v>
      </c>
      <c r="F96" s="37" t="s">
        <v>28</v>
      </c>
      <c r="G96" s="37" t="s">
        <v>1095</v>
      </c>
      <c r="H96" s="37" t="s">
        <v>1173</v>
      </c>
      <c r="I96" s="18" t="s">
        <v>107</v>
      </c>
      <c r="J96" s="19">
        <v>2779530</v>
      </c>
      <c r="K96" s="296"/>
      <c r="L96" s="650">
        <f t="shared" si="7"/>
        <v>2779530</v>
      </c>
    </row>
    <row r="97" spans="1:12" s="35" customFormat="1" ht="31.5" x14ac:dyDescent="0.25">
      <c r="A97" s="23" t="s">
        <v>98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1099</v>
      </c>
      <c r="H97" s="29" t="s">
        <v>1173</v>
      </c>
      <c r="I97" s="18" t="s">
        <v>108</v>
      </c>
      <c r="J97" s="19">
        <v>16450279</v>
      </c>
      <c r="K97" s="296">
        <v>-437000</v>
      </c>
      <c r="L97" s="650">
        <f t="shared" si="7"/>
        <v>16013279</v>
      </c>
    </row>
    <row r="98" spans="1:12" s="35" customFormat="1" ht="31.5" x14ac:dyDescent="0.25">
      <c r="A98" s="23" t="s">
        <v>94</v>
      </c>
      <c r="B98" s="23" t="s">
        <v>78</v>
      </c>
      <c r="C98" s="23" t="s">
        <v>21</v>
      </c>
      <c r="D98" s="23" t="s">
        <v>1076</v>
      </c>
      <c r="E98" s="23" t="s">
        <v>102</v>
      </c>
      <c r="F98" s="23" t="s">
        <v>28</v>
      </c>
      <c r="G98" s="29" t="s">
        <v>1100</v>
      </c>
      <c r="H98" s="29" t="s">
        <v>1173</v>
      </c>
      <c r="I98" s="18" t="s">
        <v>109</v>
      </c>
      <c r="J98" s="19">
        <v>4315658</v>
      </c>
      <c r="K98" s="296">
        <v>556858</v>
      </c>
      <c r="L98" s="650">
        <f t="shared" si="7"/>
        <v>4872516</v>
      </c>
    </row>
    <row r="99" spans="1:12" s="35" customFormat="1" ht="31.5" x14ac:dyDescent="0.25">
      <c r="A99" s="23" t="s">
        <v>37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1101</v>
      </c>
      <c r="H99" s="29" t="s">
        <v>1173</v>
      </c>
      <c r="I99" s="18" t="s">
        <v>110</v>
      </c>
      <c r="J99" s="19">
        <v>487448</v>
      </c>
      <c r="K99" s="296"/>
      <c r="L99" s="650">
        <f t="shared" si="7"/>
        <v>487448</v>
      </c>
    </row>
    <row r="100" spans="1:12" s="35" customFormat="1" ht="31.5" hidden="1" x14ac:dyDescent="0.25">
      <c r="A100" s="23" t="s">
        <v>94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1112</v>
      </c>
      <c r="H100" s="29" t="s">
        <v>1173</v>
      </c>
      <c r="I100" s="18" t="s">
        <v>118</v>
      </c>
      <c r="J100" s="19">
        <v>0</v>
      </c>
      <c r="K100" s="296"/>
      <c r="L100" s="650">
        <f t="shared" si="7"/>
        <v>0</v>
      </c>
    </row>
    <row r="101" spans="1:12" s="35" customFormat="1" ht="63" x14ac:dyDescent="0.25">
      <c r="A101" s="23" t="s">
        <v>98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1142</v>
      </c>
      <c r="H101" s="29" t="s">
        <v>1173</v>
      </c>
      <c r="I101" s="18" t="s">
        <v>1397</v>
      </c>
      <c r="J101" s="19">
        <v>630000</v>
      </c>
      <c r="K101" s="296">
        <v>-10000</v>
      </c>
      <c r="L101" s="650">
        <f t="shared" si="7"/>
        <v>620000</v>
      </c>
    </row>
    <row r="102" spans="1:12" s="35" customFormat="1" ht="63" x14ac:dyDescent="0.25">
      <c r="A102" s="23" t="s">
        <v>98</v>
      </c>
      <c r="B102" s="23" t="s">
        <v>78</v>
      </c>
      <c r="C102" s="23" t="s">
        <v>21</v>
      </c>
      <c r="D102" s="23" t="s">
        <v>1076</v>
      </c>
      <c r="E102" s="23" t="s">
        <v>102</v>
      </c>
      <c r="F102" s="23" t="s">
        <v>28</v>
      </c>
      <c r="G102" s="29" t="s">
        <v>1143</v>
      </c>
      <c r="H102" s="29" t="s">
        <v>1173</v>
      </c>
      <c r="I102" s="18" t="s">
        <v>1182</v>
      </c>
      <c r="J102" s="19">
        <v>30317</v>
      </c>
      <c r="K102" s="296">
        <v>-700</v>
      </c>
      <c r="L102" s="650">
        <f t="shared" si="7"/>
        <v>29617</v>
      </c>
    </row>
    <row r="103" spans="1:12" s="35" customFormat="1" ht="47.25" x14ac:dyDescent="0.25">
      <c r="A103" s="287" t="s">
        <v>98</v>
      </c>
      <c r="B103" s="287" t="s">
        <v>78</v>
      </c>
      <c r="C103" s="287" t="s">
        <v>21</v>
      </c>
      <c r="D103" s="287" t="s">
        <v>1076</v>
      </c>
      <c r="E103" s="287" t="s">
        <v>102</v>
      </c>
      <c r="F103" s="287" t="s">
        <v>28</v>
      </c>
      <c r="G103" s="299" t="s">
        <v>1523</v>
      </c>
      <c r="H103" s="299" t="s">
        <v>1173</v>
      </c>
      <c r="I103" s="277" t="s">
        <v>1552</v>
      </c>
      <c r="J103" s="296">
        <v>257038</v>
      </c>
      <c r="K103" s="296">
        <v>-68840</v>
      </c>
      <c r="L103" s="650">
        <f t="shared" si="7"/>
        <v>188198</v>
      </c>
    </row>
    <row r="104" spans="1:12" s="35" customFormat="1" ht="47.25" x14ac:dyDescent="0.25">
      <c r="A104" s="23" t="s">
        <v>98</v>
      </c>
      <c r="B104" s="23" t="s">
        <v>78</v>
      </c>
      <c r="C104" s="23" t="s">
        <v>21</v>
      </c>
      <c r="D104" s="23" t="s">
        <v>1076</v>
      </c>
      <c r="E104" s="23" t="s">
        <v>102</v>
      </c>
      <c r="F104" s="23" t="s">
        <v>28</v>
      </c>
      <c r="G104" s="29" t="s">
        <v>1503</v>
      </c>
      <c r="H104" s="29" t="s">
        <v>1173</v>
      </c>
      <c r="I104" s="18" t="s">
        <v>1504</v>
      </c>
      <c r="J104" s="19">
        <v>1815852</v>
      </c>
      <c r="K104" s="296">
        <v>-30800</v>
      </c>
      <c r="L104" s="650">
        <f t="shared" si="7"/>
        <v>1785052</v>
      </c>
    </row>
    <row r="105" spans="1:12" s="35" customFormat="1" ht="47.25" x14ac:dyDescent="0.25">
      <c r="A105" s="23" t="s">
        <v>98</v>
      </c>
      <c r="B105" s="23" t="s">
        <v>78</v>
      </c>
      <c r="C105" s="23" t="s">
        <v>21</v>
      </c>
      <c r="D105" s="23" t="s">
        <v>1072</v>
      </c>
      <c r="E105" s="23" t="s">
        <v>1141</v>
      </c>
      <c r="F105" s="23" t="s">
        <v>28</v>
      </c>
      <c r="G105" s="29" t="s">
        <v>17</v>
      </c>
      <c r="H105" s="29" t="s">
        <v>1173</v>
      </c>
      <c r="I105" s="18" t="s">
        <v>1399</v>
      </c>
      <c r="J105" s="19">
        <v>45225900</v>
      </c>
      <c r="K105" s="296">
        <v>3586477</v>
      </c>
      <c r="L105" s="650">
        <f t="shared" si="7"/>
        <v>48812377</v>
      </c>
    </row>
    <row r="106" spans="1:12" s="35" customFormat="1" ht="63" x14ac:dyDescent="0.25">
      <c r="A106" s="23" t="s">
        <v>37</v>
      </c>
      <c r="B106" s="23" t="s">
        <v>78</v>
      </c>
      <c r="C106" s="23" t="s">
        <v>21</v>
      </c>
      <c r="D106" s="23" t="s">
        <v>1072</v>
      </c>
      <c r="E106" s="23" t="s">
        <v>46</v>
      </c>
      <c r="F106" s="23" t="s">
        <v>28</v>
      </c>
      <c r="G106" s="29" t="s">
        <v>17</v>
      </c>
      <c r="H106" s="29" t="s">
        <v>1173</v>
      </c>
      <c r="I106" s="18" t="s">
        <v>1083</v>
      </c>
      <c r="J106" s="19">
        <v>51506</v>
      </c>
      <c r="K106" s="296"/>
      <c r="L106" s="650">
        <f t="shared" si="7"/>
        <v>51506</v>
      </c>
    </row>
    <row r="107" spans="1:12" s="35" customFormat="1" ht="53.25" customHeight="1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1074</v>
      </c>
      <c r="F107" s="23" t="s">
        <v>28</v>
      </c>
      <c r="G107" s="29" t="s">
        <v>17</v>
      </c>
      <c r="H107" s="29" t="s">
        <v>1173</v>
      </c>
      <c r="I107" s="18" t="s">
        <v>1645</v>
      </c>
      <c r="J107" s="19">
        <v>6519152</v>
      </c>
      <c r="K107" s="296"/>
      <c r="L107" s="650">
        <f t="shared" si="7"/>
        <v>6519152</v>
      </c>
    </row>
    <row r="108" spans="1:12" s="35" customFormat="1" ht="31.5" x14ac:dyDescent="0.25">
      <c r="A108" s="23" t="s">
        <v>98</v>
      </c>
      <c r="B108" s="23" t="s">
        <v>78</v>
      </c>
      <c r="C108" s="23" t="s">
        <v>21</v>
      </c>
      <c r="D108" s="23" t="s">
        <v>1072</v>
      </c>
      <c r="E108" s="23" t="s">
        <v>1073</v>
      </c>
      <c r="F108" s="23" t="s">
        <v>28</v>
      </c>
      <c r="G108" s="29" t="s">
        <v>17</v>
      </c>
      <c r="H108" s="29" t="s">
        <v>1173</v>
      </c>
      <c r="I108" s="18" t="s">
        <v>1646</v>
      </c>
      <c r="J108" s="19">
        <v>33985534</v>
      </c>
      <c r="K108" s="296">
        <v>-1553000</v>
      </c>
      <c r="L108" s="650">
        <f t="shared" si="7"/>
        <v>32432534</v>
      </c>
    </row>
    <row r="109" spans="1:12" s="35" customFormat="1" ht="47.25" x14ac:dyDescent="0.25">
      <c r="A109" s="23" t="s">
        <v>98</v>
      </c>
      <c r="B109" s="23" t="s">
        <v>78</v>
      </c>
      <c r="C109" s="23" t="s">
        <v>21</v>
      </c>
      <c r="D109" s="23" t="s">
        <v>1072</v>
      </c>
      <c r="E109" s="23" t="s">
        <v>1505</v>
      </c>
      <c r="F109" s="23" t="s">
        <v>28</v>
      </c>
      <c r="G109" s="29" t="s">
        <v>17</v>
      </c>
      <c r="H109" s="29" t="s">
        <v>1173</v>
      </c>
      <c r="I109" s="18" t="s">
        <v>1506</v>
      </c>
      <c r="J109" s="19">
        <v>134479078</v>
      </c>
      <c r="K109" s="296">
        <v>9040683</v>
      </c>
      <c r="L109" s="650">
        <f t="shared" ref="L109:L148" si="8">SUM(J109:K109)</f>
        <v>143519761</v>
      </c>
    </row>
    <row r="110" spans="1:12" s="35" customFormat="1" ht="63" x14ac:dyDescent="0.25">
      <c r="A110" s="23" t="s">
        <v>94</v>
      </c>
      <c r="B110" s="23" t="s">
        <v>78</v>
      </c>
      <c r="C110" s="23" t="s">
        <v>21</v>
      </c>
      <c r="D110" s="23" t="s">
        <v>1072</v>
      </c>
      <c r="E110" s="23" t="s">
        <v>1507</v>
      </c>
      <c r="F110" s="23" t="s">
        <v>28</v>
      </c>
      <c r="G110" s="29" t="s">
        <v>17</v>
      </c>
      <c r="H110" s="29" t="s">
        <v>1173</v>
      </c>
      <c r="I110" s="18" t="s">
        <v>1521</v>
      </c>
      <c r="J110" s="19">
        <v>23922670</v>
      </c>
      <c r="K110" s="296">
        <v>-787234</v>
      </c>
      <c r="L110" s="650">
        <f t="shared" si="8"/>
        <v>23135436</v>
      </c>
    </row>
    <row r="111" spans="1:12" s="35" customFormat="1" ht="63" x14ac:dyDescent="0.25">
      <c r="A111" s="23" t="s">
        <v>94</v>
      </c>
      <c r="B111" s="23" t="s">
        <v>78</v>
      </c>
      <c r="C111" s="23" t="s">
        <v>21</v>
      </c>
      <c r="D111" s="23" t="s">
        <v>1072</v>
      </c>
      <c r="E111" s="23" t="s">
        <v>1524</v>
      </c>
      <c r="F111" s="23" t="s">
        <v>28</v>
      </c>
      <c r="G111" s="29" t="s">
        <v>17</v>
      </c>
      <c r="H111" s="29" t="s">
        <v>1173</v>
      </c>
      <c r="I111" s="18" t="s">
        <v>1525</v>
      </c>
      <c r="J111" s="19">
        <v>29002134</v>
      </c>
      <c r="K111" s="296">
        <v>-2271439</v>
      </c>
      <c r="L111" s="650">
        <f t="shared" si="8"/>
        <v>26730695</v>
      </c>
    </row>
    <row r="112" spans="1:12" s="35" customFormat="1" ht="47.25" x14ac:dyDescent="0.25">
      <c r="A112" s="23" t="s">
        <v>98</v>
      </c>
      <c r="B112" s="23" t="s">
        <v>78</v>
      </c>
      <c r="C112" s="23" t="s">
        <v>21</v>
      </c>
      <c r="D112" s="23" t="s">
        <v>1072</v>
      </c>
      <c r="E112" s="23" t="s">
        <v>1553</v>
      </c>
      <c r="F112" s="23" t="s">
        <v>28</v>
      </c>
      <c r="G112" s="29" t="s">
        <v>17</v>
      </c>
      <c r="H112" s="29" t="s">
        <v>1173</v>
      </c>
      <c r="I112" s="18" t="s">
        <v>1522</v>
      </c>
      <c r="J112" s="19">
        <v>17293409</v>
      </c>
      <c r="K112" s="296">
        <f>-1585000+1675367</f>
        <v>90367</v>
      </c>
      <c r="L112" s="650">
        <f t="shared" si="8"/>
        <v>17383776</v>
      </c>
    </row>
    <row r="113" spans="1:13" s="35" customFormat="1" ht="47.25" x14ac:dyDescent="0.25">
      <c r="A113" s="31" t="s">
        <v>98</v>
      </c>
      <c r="B113" s="31" t="s">
        <v>78</v>
      </c>
      <c r="C113" s="31" t="s">
        <v>21</v>
      </c>
      <c r="D113" s="31" t="s">
        <v>1072</v>
      </c>
      <c r="E113" s="31" t="s">
        <v>1078</v>
      </c>
      <c r="F113" s="31" t="s">
        <v>28</v>
      </c>
      <c r="G113" s="38" t="s">
        <v>17</v>
      </c>
      <c r="H113" s="38" t="s">
        <v>1173</v>
      </c>
      <c r="I113" s="33" t="s">
        <v>124</v>
      </c>
      <c r="J113" s="19">
        <v>1806204</v>
      </c>
      <c r="K113" s="296"/>
      <c r="L113" s="650">
        <f>SUM(J113:K113)</f>
        <v>1806204</v>
      </c>
    </row>
    <row r="114" spans="1:13" s="35" customFormat="1" ht="48" customHeight="1" x14ac:dyDescent="0.25">
      <c r="A114" s="31" t="s">
        <v>98</v>
      </c>
      <c r="B114" s="31" t="s">
        <v>78</v>
      </c>
      <c r="C114" s="31" t="s">
        <v>21</v>
      </c>
      <c r="D114" s="31" t="s">
        <v>1072</v>
      </c>
      <c r="E114" s="31" t="s">
        <v>1179</v>
      </c>
      <c r="F114" s="31" t="s">
        <v>28</v>
      </c>
      <c r="G114" s="38" t="s">
        <v>17</v>
      </c>
      <c r="H114" s="38" t="s">
        <v>1173</v>
      </c>
      <c r="I114" s="33" t="s">
        <v>1180</v>
      </c>
      <c r="J114" s="19">
        <v>40679068</v>
      </c>
      <c r="K114" s="296"/>
      <c r="L114" s="650">
        <f t="shared" ref="L114:L115" si="9">SUM(J114:K114)</f>
        <v>40679068</v>
      </c>
    </row>
    <row r="115" spans="1:13" s="35" customFormat="1" ht="31.5" x14ac:dyDescent="0.25">
      <c r="A115" s="31" t="s">
        <v>37</v>
      </c>
      <c r="B115" s="31" t="s">
        <v>78</v>
      </c>
      <c r="C115" s="31" t="s">
        <v>21</v>
      </c>
      <c r="D115" s="31" t="s">
        <v>1072</v>
      </c>
      <c r="E115" s="31" t="s">
        <v>1144</v>
      </c>
      <c r="F115" s="31" t="s">
        <v>28</v>
      </c>
      <c r="G115" s="38" t="s">
        <v>17</v>
      </c>
      <c r="H115" s="38" t="s">
        <v>1173</v>
      </c>
      <c r="I115" s="33" t="s">
        <v>1082</v>
      </c>
      <c r="J115" s="19">
        <v>2617337</v>
      </c>
      <c r="K115" s="296">
        <v>25449</v>
      </c>
      <c r="L115" s="650">
        <f t="shared" si="9"/>
        <v>2642786</v>
      </c>
    </row>
    <row r="116" spans="1:13" s="35" customFormat="1" ht="15.75" x14ac:dyDescent="0.25">
      <c r="A116" s="20" t="s">
        <v>14</v>
      </c>
      <c r="B116" s="20" t="s">
        <v>78</v>
      </c>
      <c r="C116" s="20" t="s">
        <v>21</v>
      </c>
      <c r="D116" s="20" t="s">
        <v>1081</v>
      </c>
      <c r="E116" s="20" t="s">
        <v>14</v>
      </c>
      <c r="F116" s="20" t="s">
        <v>16</v>
      </c>
      <c r="G116" s="27" t="s">
        <v>17</v>
      </c>
      <c r="H116" s="27" t="s">
        <v>1173</v>
      </c>
      <c r="I116" s="28" t="s">
        <v>126</v>
      </c>
      <c r="J116" s="22">
        <v>473834658</v>
      </c>
      <c r="K116" s="296">
        <f>K117+K138+K140</f>
        <v>2765531</v>
      </c>
      <c r="L116" s="290">
        <f>J116+K116</f>
        <v>476600189</v>
      </c>
    </row>
    <row r="117" spans="1:13" s="35" customFormat="1" ht="78.75" x14ac:dyDescent="0.25">
      <c r="A117" s="673" t="s">
        <v>14</v>
      </c>
      <c r="B117" s="673" t="s">
        <v>78</v>
      </c>
      <c r="C117" s="673" t="s">
        <v>21</v>
      </c>
      <c r="D117" s="673" t="s">
        <v>1081</v>
      </c>
      <c r="E117" s="673" t="s">
        <v>128</v>
      </c>
      <c r="F117" s="673" t="s">
        <v>28</v>
      </c>
      <c r="G117" s="674" t="s">
        <v>17</v>
      </c>
      <c r="H117" s="674" t="s">
        <v>1173</v>
      </c>
      <c r="I117" s="675" t="s">
        <v>1590</v>
      </c>
      <c r="J117" s="676">
        <v>462848005</v>
      </c>
      <c r="K117" s="294">
        <f>K118+K119+K120+K121+K122+K123+K124+K125+K126+K127+K128+K129+K130+K131+K132+K133+K134+K135+K136+K137</f>
        <v>2774849</v>
      </c>
      <c r="L117" s="769">
        <f>J117+K117</f>
        <v>465622854</v>
      </c>
      <c r="M117" s="709"/>
    </row>
    <row r="118" spans="1:13" s="35" customFormat="1" ht="36" customHeight="1" x14ac:dyDescent="0.25">
      <c r="A118" s="23" t="s">
        <v>83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1647</v>
      </c>
      <c r="H118" s="29" t="s">
        <v>1173</v>
      </c>
      <c r="I118" s="30" t="s">
        <v>1648</v>
      </c>
      <c r="J118" s="19">
        <v>22456608</v>
      </c>
      <c r="K118" s="296"/>
      <c r="L118" s="650">
        <f t="shared" si="8"/>
        <v>22456608</v>
      </c>
    </row>
    <row r="119" spans="1:13" s="35" customFormat="1" ht="47.25" x14ac:dyDescent="0.25">
      <c r="A119" s="23" t="s">
        <v>45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1713</v>
      </c>
      <c r="H119" s="29" t="s">
        <v>1173</v>
      </c>
      <c r="I119" s="30" t="s">
        <v>1731</v>
      </c>
      <c r="J119" s="19">
        <v>1724300</v>
      </c>
      <c r="K119" s="296">
        <v>-331925</v>
      </c>
      <c r="L119" s="650">
        <f t="shared" si="8"/>
        <v>1392375</v>
      </c>
    </row>
    <row r="120" spans="1:13" s="35" customFormat="1" ht="47.25" x14ac:dyDescent="0.25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1714</v>
      </c>
      <c r="H120" s="29" t="s">
        <v>1173</v>
      </c>
      <c r="I120" s="30" t="s">
        <v>1732</v>
      </c>
      <c r="J120" s="19">
        <v>645000</v>
      </c>
      <c r="K120" s="296"/>
      <c r="L120" s="650">
        <f t="shared" si="8"/>
        <v>645000</v>
      </c>
    </row>
    <row r="121" spans="1:13" s="35" customFormat="1" ht="31.5" x14ac:dyDescent="0.25">
      <c r="A121" s="23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1715</v>
      </c>
      <c r="H121" s="29" t="s">
        <v>1173</v>
      </c>
      <c r="I121" s="30" t="s">
        <v>1733</v>
      </c>
      <c r="J121" s="19">
        <v>183955371</v>
      </c>
      <c r="K121" s="316">
        <v>1230</v>
      </c>
      <c r="L121" s="650">
        <f t="shared" si="8"/>
        <v>183956601</v>
      </c>
    </row>
    <row r="122" spans="1:13" s="35" customFormat="1" ht="47.25" x14ac:dyDescent="0.25">
      <c r="A122" s="23" t="s">
        <v>37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1716</v>
      </c>
      <c r="H122" s="29" t="s">
        <v>1173</v>
      </c>
      <c r="I122" s="30" t="s">
        <v>1734</v>
      </c>
      <c r="J122" s="19">
        <v>6927090</v>
      </c>
      <c r="K122" s="296">
        <v>21557</v>
      </c>
      <c r="L122" s="650">
        <f t="shared" si="8"/>
        <v>6948647</v>
      </c>
    </row>
    <row r="123" spans="1:13" s="35" customFormat="1" ht="31.5" x14ac:dyDescent="0.25">
      <c r="A123" s="23" t="s">
        <v>37</v>
      </c>
      <c r="B123" s="23" t="s">
        <v>88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1717</v>
      </c>
      <c r="H123" s="29" t="s">
        <v>1173</v>
      </c>
      <c r="I123" s="18" t="s">
        <v>1735</v>
      </c>
      <c r="J123" s="19">
        <v>4165246</v>
      </c>
      <c r="K123" s="296">
        <v>55305</v>
      </c>
      <c r="L123" s="650">
        <f t="shared" si="8"/>
        <v>4220551</v>
      </c>
    </row>
    <row r="124" spans="1:13" s="35" customFormat="1" ht="31.5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1718</v>
      </c>
      <c r="H124" s="29" t="s">
        <v>1173</v>
      </c>
      <c r="I124" s="18" t="s">
        <v>1736</v>
      </c>
      <c r="J124" s="278">
        <v>361083</v>
      </c>
      <c r="K124" s="296">
        <v>-291</v>
      </c>
      <c r="L124" s="650">
        <f t="shared" si="8"/>
        <v>360792</v>
      </c>
    </row>
    <row r="125" spans="1:13" s="35" customFormat="1" ht="47.25" x14ac:dyDescent="0.25">
      <c r="A125" s="23" t="s">
        <v>37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1719</v>
      </c>
      <c r="H125" s="29" t="s">
        <v>1173</v>
      </c>
      <c r="I125" s="18" t="s">
        <v>1737</v>
      </c>
      <c r="J125" s="278">
        <v>1446306</v>
      </c>
      <c r="K125" s="296"/>
      <c r="L125" s="650">
        <f t="shared" si="8"/>
        <v>1446306</v>
      </c>
    </row>
    <row r="126" spans="1:13" s="35" customFormat="1" ht="47.25" x14ac:dyDescent="0.25">
      <c r="A126" s="23" t="s">
        <v>92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1720</v>
      </c>
      <c r="H126" s="29" t="s">
        <v>1173</v>
      </c>
      <c r="I126" s="18" t="s">
        <v>1738</v>
      </c>
      <c r="J126" s="278">
        <v>1814050</v>
      </c>
      <c r="K126" s="296">
        <v>0</v>
      </c>
      <c r="L126" s="650">
        <f t="shared" si="8"/>
        <v>1814050</v>
      </c>
    </row>
    <row r="127" spans="1:13" s="35" customFormat="1" ht="47.25" x14ac:dyDescent="0.25">
      <c r="A127" s="23" t="s">
        <v>94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1721</v>
      </c>
      <c r="H127" s="29" t="s">
        <v>1173</v>
      </c>
      <c r="I127" s="39" t="s">
        <v>1739</v>
      </c>
      <c r="J127" s="278">
        <v>350000</v>
      </c>
      <c r="K127" s="296"/>
      <c r="L127" s="650">
        <f t="shared" si="8"/>
        <v>350000</v>
      </c>
    </row>
    <row r="128" spans="1:13" s="35" customFormat="1" ht="31.5" x14ac:dyDescent="0.25">
      <c r="A128" s="23" t="s">
        <v>37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1722</v>
      </c>
      <c r="H128" s="29" t="s">
        <v>1173</v>
      </c>
      <c r="I128" s="18" t="s">
        <v>1740</v>
      </c>
      <c r="J128" s="278">
        <v>50851893</v>
      </c>
      <c r="K128" s="296">
        <v>4940000</v>
      </c>
      <c r="L128" s="650">
        <f t="shared" si="8"/>
        <v>55791893</v>
      </c>
    </row>
    <row r="129" spans="1:12" s="35" customFormat="1" ht="31.5" x14ac:dyDescent="0.25">
      <c r="A129" s="23" t="s">
        <v>37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1723</v>
      </c>
      <c r="H129" s="29" t="s">
        <v>1173</v>
      </c>
      <c r="I129" s="18" t="s">
        <v>1741</v>
      </c>
      <c r="J129" s="278">
        <v>136174169</v>
      </c>
      <c r="K129" s="296">
        <v>-1719339</v>
      </c>
      <c r="L129" s="650">
        <f t="shared" si="8"/>
        <v>134454830</v>
      </c>
    </row>
    <row r="130" spans="1:12" s="35" customFormat="1" ht="31.5" x14ac:dyDescent="0.25">
      <c r="A130" s="23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1742</v>
      </c>
      <c r="H130" s="29" t="s">
        <v>1173</v>
      </c>
      <c r="I130" s="18" t="s">
        <v>1743</v>
      </c>
      <c r="J130" s="278">
        <v>618234</v>
      </c>
      <c r="K130" s="296"/>
      <c r="L130" s="650">
        <f t="shared" si="8"/>
        <v>618234</v>
      </c>
    </row>
    <row r="131" spans="1:12" s="35" customFormat="1" ht="47.25" x14ac:dyDescent="0.25">
      <c r="A131" s="392" t="s">
        <v>37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1724</v>
      </c>
      <c r="H131" s="29" t="s">
        <v>1173</v>
      </c>
      <c r="I131" s="18" t="s">
        <v>1744</v>
      </c>
      <c r="J131" s="278">
        <v>2520000</v>
      </c>
      <c r="K131" s="296">
        <v>-54545</v>
      </c>
      <c r="L131" s="650">
        <f t="shared" si="8"/>
        <v>2465455</v>
      </c>
    </row>
    <row r="132" spans="1:12" s="35" customFormat="1" ht="31.5" x14ac:dyDescent="0.25">
      <c r="A132" s="392" t="s">
        <v>92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1726</v>
      </c>
      <c r="H132" s="29" t="s">
        <v>1173</v>
      </c>
      <c r="I132" s="18" t="s">
        <v>1745</v>
      </c>
      <c r="J132" s="278">
        <v>180000</v>
      </c>
      <c r="K132" s="296">
        <v>-22</v>
      </c>
      <c r="L132" s="650">
        <f t="shared" si="8"/>
        <v>179978</v>
      </c>
    </row>
    <row r="133" spans="1:12" s="35" customFormat="1" ht="33.75" customHeight="1" x14ac:dyDescent="0.25">
      <c r="A133" s="23" t="s">
        <v>37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1725</v>
      </c>
      <c r="H133" s="29" t="s">
        <v>1173</v>
      </c>
      <c r="I133" s="18" t="s">
        <v>1746</v>
      </c>
      <c r="J133" s="278">
        <v>700000</v>
      </c>
      <c r="K133" s="296"/>
      <c r="L133" s="650">
        <f>SUM(J133:K133)</f>
        <v>700000</v>
      </c>
    </row>
    <row r="134" spans="1:12" s="35" customFormat="1" ht="31.5" x14ac:dyDescent="0.25">
      <c r="A134" s="23" t="s">
        <v>92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1727</v>
      </c>
      <c r="H134" s="29" t="s">
        <v>1173</v>
      </c>
      <c r="I134" s="39" t="s">
        <v>1747</v>
      </c>
      <c r="J134" s="278">
        <v>130000</v>
      </c>
      <c r="K134" s="296">
        <v>-32925</v>
      </c>
      <c r="L134" s="650">
        <f t="shared" si="8"/>
        <v>97075</v>
      </c>
    </row>
    <row r="135" spans="1:12" s="35" customFormat="1" ht="33" customHeight="1" x14ac:dyDescent="0.25">
      <c r="A135" s="23" t="s">
        <v>98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1728</v>
      </c>
      <c r="H135" s="29" t="s">
        <v>1173</v>
      </c>
      <c r="I135" s="18" t="s">
        <v>1748</v>
      </c>
      <c r="J135" s="278">
        <v>587122</v>
      </c>
      <c r="K135" s="296"/>
      <c r="L135" s="650">
        <f t="shared" si="8"/>
        <v>587122</v>
      </c>
    </row>
    <row r="136" spans="1:12" s="35" customFormat="1" ht="63" x14ac:dyDescent="0.25">
      <c r="A136" s="23" t="s">
        <v>37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1729</v>
      </c>
      <c r="H136" s="29" t="s">
        <v>1173</v>
      </c>
      <c r="I136" s="18" t="s">
        <v>1749</v>
      </c>
      <c r="J136" s="278">
        <v>47018529</v>
      </c>
      <c r="K136" s="296"/>
      <c r="L136" s="650">
        <f t="shared" si="8"/>
        <v>47018529</v>
      </c>
    </row>
    <row r="137" spans="1:12" s="35" customFormat="1" ht="47.25" x14ac:dyDescent="0.25">
      <c r="A137" s="23" t="s">
        <v>37</v>
      </c>
      <c r="B137" s="23" t="s">
        <v>78</v>
      </c>
      <c r="C137" s="23" t="s">
        <v>21</v>
      </c>
      <c r="D137" s="23" t="s">
        <v>1081</v>
      </c>
      <c r="E137" s="23" t="s">
        <v>128</v>
      </c>
      <c r="F137" s="23" t="s">
        <v>28</v>
      </c>
      <c r="G137" s="29" t="s">
        <v>1730</v>
      </c>
      <c r="H137" s="29" t="s">
        <v>1173</v>
      </c>
      <c r="I137" s="18" t="s">
        <v>1750</v>
      </c>
      <c r="J137" s="278">
        <v>223004</v>
      </c>
      <c r="K137" s="296">
        <v>-104196</v>
      </c>
      <c r="L137" s="650">
        <f t="shared" si="8"/>
        <v>118808</v>
      </c>
    </row>
    <row r="138" spans="1:12" s="35" customFormat="1" ht="63" x14ac:dyDescent="0.25">
      <c r="A138" s="673" t="s">
        <v>14</v>
      </c>
      <c r="B138" s="673" t="s">
        <v>78</v>
      </c>
      <c r="C138" s="673" t="s">
        <v>21</v>
      </c>
      <c r="D138" s="673" t="s">
        <v>1309</v>
      </c>
      <c r="E138" s="673" t="s">
        <v>1359</v>
      </c>
      <c r="F138" s="673" t="s">
        <v>28</v>
      </c>
      <c r="G138" s="674" t="s">
        <v>17</v>
      </c>
      <c r="H138" s="674" t="s">
        <v>1173</v>
      </c>
      <c r="I138" s="679" t="s">
        <v>127</v>
      </c>
      <c r="J138" s="677">
        <v>74490</v>
      </c>
      <c r="K138" s="294">
        <f>K139</f>
        <v>0</v>
      </c>
      <c r="L138" s="770">
        <f>J138+K138</f>
        <v>74490</v>
      </c>
    </row>
    <row r="139" spans="1:12" s="35" customFormat="1" ht="63" x14ac:dyDescent="0.25">
      <c r="A139" s="23" t="s">
        <v>83</v>
      </c>
      <c r="B139" s="23" t="s">
        <v>78</v>
      </c>
      <c r="C139" s="23" t="s">
        <v>21</v>
      </c>
      <c r="D139" s="23" t="s">
        <v>1309</v>
      </c>
      <c r="E139" s="23" t="s">
        <v>1359</v>
      </c>
      <c r="F139" s="23" t="s">
        <v>28</v>
      </c>
      <c r="G139" s="29" t="s">
        <v>1360</v>
      </c>
      <c r="H139" s="29" t="s">
        <v>1173</v>
      </c>
      <c r="I139" s="18" t="s">
        <v>1361</v>
      </c>
      <c r="J139" s="278">
        <v>74490</v>
      </c>
      <c r="K139" s="771"/>
      <c r="L139" s="650">
        <f t="shared" si="8"/>
        <v>74490</v>
      </c>
    </row>
    <row r="140" spans="1:12" s="35" customFormat="1" ht="31.5" x14ac:dyDescent="0.25">
      <c r="A140" s="673" t="s">
        <v>14</v>
      </c>
      <c r="B140" s="673" t="s">
        <v>78</v>
      </c>
      <c r="C140" s="673" t="s">
        <v>21</v>
      </c>
      <c r="D140" s="673" t="s">
        <v>1332</v>
      </c>
      <c r="E140" s="673" t="s">
        <v>93</v>
      </c>
      <c r="F140" s="673" t="s">
        <v>28</v>
      </c>
      <c r="G140" s="674" t="s">
        <v>17</v>
      </c>
      <c r="H140" s="674" t="s">
        <v>1173</v>
      </c>
      <c r="I140" s="678" t="s">
        <v>302</v>
      </c>
      <c r="J140" s="677">
        <v>10912163</v>
      </c>
      <c r="K140" s="294">
        <f>K141+K142+K143+K144+K145+K146</f>
        <v>-9318</v>
      </c>
      <c r="L140" s="770">
        <f>J140+K140</f>
        <v>10902845</v>
      </c>
    </row>
    <row r="141" spans="1:12" s="35" customFormat="1" ht="63" hidden="1" x14ac:dyDescent="0.25">
      <c r="A141" s="23" t="s">
        <v>37</v>
      </c>
      <c r="B141" s="23" t="s">
        <v>78</v>
      </c>
      <c r="C141" s="23" t="s">
        <v>21</v>
      </c>
      <c r="D141" s="23" t="s">
        <v>1332</v>
      </c>
      <c r="E141" s="23" t="s">
        <v>93</v>
      </c>
      <c r="F141" s="23" t="s">
        <v>28</v>
      </c>
      <c r="G141" s="29" t="s">
        <v>1333</v>
      </c>
      <c r="H141" s="29" t="s">
        <v>1173</v>
      </c>
      <c r="I141" s="18" t="s">
        <v>1334</v>
      </c>
      <c r="J141" s="278">
        <v>0</v>
      </c>
      <c r="K141" s="771"/>
      <c r="L141" s="650">
        <f t="shared" si="8"/>
        <v>0</v>
      </c>
    </row>
    <row r="142" spans="1:12" s="35" customFormat="1" ht="63" x14ac:dyDescent="0.25">
      <c r="A142" s="23" t="s">
        <v>98</v>
      </c>
      <c r="B142" s="23" t="s">
        <v>78</v>
      </c>
      <c r="C142" s="23" t="s">
        <v>21</v>
      </c>
      <c r="D142" s="23" t="s">
        <v>1332</v>
      </c>
      <c r="E142" s="23" t="s">
        <v>93</v>
      </c>
      <c r="F142" s="23" t="s">
        <v>28</v>
      </c>
      <c r="G142" s="29" t="s">
        <v>1508</v>
      </c>
      <c r="H142" s="29" t="s">
        <v>1173</v>
      </c>
      <c r="I142" s="18" t="s">
        <v>1509</v>
      </c>
      <c r="J142" s="278">
        <v>370000</v>
      </c>
      <c r="K142" s="771"/>
      <c r="L142" s="650">
        <f t="shared" si="8"/>
        <v>370000</v>
      </c>
    </row>
    <row r="143" spans="1:12" s="35" customFormat="1" ht="31.5" x14ac:dyDescent="0.25">
      <c r="A143" s="23" t="s">
        <v>94</v>
      </c>
      <c r="B143" s="23" t="s">
        <v>78</v>
      </c>
      <c r="C143" s="23" t="s">
        <v>21</v>
      </c>
      <c r="D143" s="23" t="s">
        <v>1332</v>
      </c>
      <c r="E143" s="23" t="s">
        <v>93</v>
      </c>
      <c r="F143" s="23" t="s">
        <v>28</v>
      </c>
      <c r="G143" s="29" t="s">
        <v>1589</v>
      </c>
      <c r="H143" s="29" t="s">
        <v>1173</v>
      </c>
      <c r="I143" s="18" t="s">
        <v>1594</v>
      </c>
      <c r="J143" s="278">
        <v>1000000</v>
      </c>
      <c r="K143" s="771"/>
      <c r="L143" s="650">
        <f t="shared" si="8"/>
        <v>1000000</v>
      </c>
    </row>
    <row r="144" spans="1:12" s="35" customFormat="1" ht="31.5" x14ac:dyDescent="0.25">
      <c r="A144" s="23" t="s">
        <v>45</v>
      </c>
      <c r="B144" s="23" t="s">
        <v>78</v>
      </c>
      <c r="C144" s="23" t="s">
        <v>21</v>
      </c>
      <c r="D144" s="23" t="s">
        <v>1332</v>
      </c>
      <c r="E144" s="23" t="s">
        <v>93</v>
      </c>
      <c r="F144" s="23" t="s">
        <v>28</v>
      </c>
      <c r="G144" s="29" t="s">
        <v>1711</v>
      </c>
      <c r="H144" s="29" t="s">
        <v>1173</v>
      </c>
      <c r="I144" s="18" t="s">
        <v>1712</v>
      </c>
      <c r="J144" s="278">
        <v>2128223</v>
      </c>
      <c r="K144" s="771"/>
      <c r="L144" s="650">
        <f t="shared" si="8"/>
        <v>2128223</v>
      </c>
    </row>
    <row r="145" spans="1:12" s="35" customFormat="1" ht="63" x14ac:dyDescent="0.25">
      <c r="A145" s="23" t="s">
        <v>92</v>
      </c>
      <c r="B145" s="23" t="s">
        <v>78</v>
      </c>
      <c r="C145" s="23" t="s">
        <v>21</v>
      </c>
      <c r="D145" s="23" t="s">
        <v>1332</v>
      </c>
      <c r="E145" s="23" t="s">
        <v>93</v>
      </c>
      <c r="F145" s="23" t="s">
        <v>28</v>
      </c>
      <c r="G145" s="29" t="s">
        <v>1772</v>
      </c>
      <c r="H145" s="29" t="s">
        <v>1173</v>
      </c>
      <c r="I145" s="18" t="s">
        <v>1774</v>
      </c>
      <c r="J145" s="278">
        <v>900000</v>
      </c>
      <c r="K145" s="771"/>
      <c r="L145" s="650">
        <f t="shared" si="8"/>
        <v>900000</v>
      </c>
    </row>
    <row r="146" spans="1:12" s="35" customFormat="1" ht="63" x14ac:dyDescent="0.25">
      <c r="A146" s="23" t="s">
        <v>94</v>
      </c>
      <c r="B146" s="23" t="s">
        <v>78</v>
      </c>
      <c r="C146" s="23" t="s">
        <v>21</v>
      </c>
      <c r="D146" s="23" t="s">
        <v>1332</v>
      </c>
      <c r="E146" s="23" t="s">
        <v>93</v>
      </c>
      <c r="F146" s="23" t="s">
        <v>28</v>
      </c>
      <c r="G146" s="29" t="s">
        <v>1773</v>
      </c>
      <c r="H146" s="29" t="s">
        <v>1173</v>
      </c>
      <c r="I146" s="18" t="s">
        <v>1775</v>
      </c>
      <c r="J146" s="278">
        <v>6513940</v>
      </c>
      <c r="K146" s="296">
        <v>-9318</v>
      </c>
      <c r="L146" s="650">
        <f t="shared" si="8"/>
        <v>6504622</v>
      </c>
    </row>
    <row r="147" spans="1:12" s="35" customFormat="1" ht="15.75" hidden="1" x14ac:dyDescent="0.25">
      <c r="A147" s="20" t="s">
        <v>14</v>
      </c>
      <c r="B147" s="20" t="s">
        <v>78</v>
      </c>
      <c r="C147" s="20" t="s">
        <v>38</v>
      </c>
      <c r="D147" s="20" t="s">
        <v>16</v>
      </c>
      <c r="E147" s="20" t="s">
        <v>14</v>
      </c>
      <c r="F147" s="20" t="s">
        <v>16</v>
      </c>
      <c r="G147" s="27" t="s">
        <v>17</v>
      </c>
      <c r="H147" s="27" t="s">
        <v>14</v>
      </c>
      <c r="I147" s="14" t="s">
        <v>1362</v>
      </c>
      <c r="J147" s="15">
        <v>6000000</v>
      </c>
      <c r="K147" s="650">
        <f>K148</f>
        <v>-6000000</v>
      </c>
      <c r="L147" s="768">
        <f>J147+K147</f>
        <v>0</v>
      </c>
    </row>
    <row r="148" spans="1:12" s="35" customFormat="1" ht="31.5" hidden="1" x14ac:dyDescent="0.25">
      <c r="A148" s="23" t="s">
        <v>37</v>
      </c>
      <c r="B148" s="23" t="s">
        <v>78</v>
      </c>
      <c r="C148" s="23" t="s">
        <v>38</v>
      </c>
      <c r="D148" s="23" t="s">
        <v>28</v>
      </c>
      <c r="E148" s="23" t="s">
        <v>1363</v>
      </c>
      <c r="F148" s="23" t="s">
        <v>28</v>
      </c>
      <c r="G148" s="29" t="s">
        <v>17</v>
      </c>
      <c r="H148" s="29" t="s">
        <v>1173</v>
      </c>
      <c r="I148" s="18" t="s">
        <v>1364</v>
      </c>
      <c r="J148" s="278">
        <v>6000000</v>
      </c>
      <c r="K148" s="296">
        <v>-6000000</v>
      </c>
      <c r="L148" s="650">
        <f t="shared" si="8"/>
        <v>0</v>
      </c>
    </row>
    <row r="149" spans="1:12" s="35" customFormat="1" ht="15.75" x14ac:dyDescent="0.25">
      <c r="A149" s="23"/>
      <c r="B149" s="23"/>
      <c r="C149" s="23"/>
      <c r="D149" s="23"/>
      <c r="E149" s="23"/>
      <c r="F149" s="23"/>
      <c r="G149" s="29"/>
      <c r="H149" s="29"/>
      <c r="I149" s="14" t="s">
        <v>129</v>
      </c>
      <c r="J149" s="22">
        <v>2768488800</v>
      </c>
      <c r="K149" s="296">
        <f>K11+K47</f>
        <v>12571339</v>
      </c>
      <c r="L149" s="290">
        <f>L11+L47</f>
        <v>2781060139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6"/>
  <sheetViews>
    <sheetView showGridLines="0" view="pageBreakPreview" zoomScale="86" zoomScaleSheetLayoutView="86" workbookViewId="0">
      <selection activeCell="C5" sqref="C5"/>
    </sheetView>
  </sheetViews>
  <sheetFormatPr defaultColWidth="9.140625" defaultRowHeight="15.75" x14ac:dyDescent="0.25"/>
  <cols>
    <col min="1" max="1" width="42.140625" style="822" customWidth="1"/>
    <col min="2" max="2" width="9.7109375" style="816" customWidth="1"/>
    <col min="3" max="3" width="10.5703125" style="821" customWidth="1"/>
    <col min="4" max="4" width="10.140625" style="816" customWidth="1"/>
    <col min="5" max="5" width="10.28515625" style="816" customWidth="1"/>
    <col min="6" max="6" width="10.28515625" style="802" customWidth="1"/>
    <col min="7" max="8" width="20.5703125" style="808" hidden="1" customWidth="1"/>
    <col min="9" max="9" width="20.5703125" style="803" customWidth="1"/>
    <col min="10" max="10" width="11.7109375" style="92" customWidth="1"/>
    <col min="11" max="11" width="13.28515625" style="92" bestFit="1" customWidth="1"/>
    <col min="12" max="12" width="11.28515625" style="92" customWidth="1"/>
    <col min="13" max="13" width="16.28515625" style="92" customWidth="1"/>
    <col min="14" max="16384" width="9.140625" style="92"/>
  </cols>
  <sheetData>
    <row r="1" spans="1:9" s="764" customFormat="1" x14ac:dyDescent="0.25">
      <c r="A1" s="898" t="s">
        <v>1609</v>
      </c>
      <c r="B1" s="898"/>
      <c r="C1" s="898"/>
      <c r="D1" s="898"/>
      <c r="E1" s="898"/>
      <c r="F1" s="898"/>
      <c r="G1" s="898"/>
      <c r="H1" s="898"/>
      <c r="I1" s="898"/>
    </row>
    <row r="2" spans="1:9" s="764" customFormat="1" x14ac:dyDescent="0.25">
      <c r="A2" s="898" t="s">
        <v>1</v>
      </c>
      <c r="B2" s="898"/>
      <c r="C2" s="898"/>
      <c r="D2" s="898"/>
      <c r="E2" s="898"/>
      <c r="F2" s="898"/>
      <c r="G2" s="898"/>
      <c r="H2" s="898"/>
      <c r="I2" s="898"/>
    </row>
    <row r="3" spans="1:9" s="764" customFormat="1" x14ac:dyDescent="0.25">
      <c r="A3" s="898" t="s">
        <v>2</v>
      </c>
      <c r="B3" s="898"/>
      <c r="C3" s="898"/>
      <c r="D3" s="898"/>
      <c r="E3" s="898"/>
      <c r="F3" s="898"/>
      <c r="G3" s="898"/>
      <c r="H3" s="898"/>
      <c r="I3" s="898"/>
    </row>
    <row r="4" spans="1:9" s="764" customFormat="1" x14ac:dyDescent="0.25">
      <c r="A4" s="898" t="s">
        <v>1808</v>
      </c>
      <c r="B4" s="898"/>
      <c r="C4" s="898"/>
      <c r="D4" s="898"/>
      <c r="E4" s="898"/>
      <c r="F4" s="898"/>
      <c r="G4" s="898"/>
      <c r="H4" s="898"/>
      <c r="I4" s="898"/>
    </row>
    <row r="5" spans="1:9" s="764" customFormat="1" x14ac:dyDescent="0.25">
      <c r="A5" s="822"/>
      <c r="B5" s="807"/>
      <c r="C5" s="818"/>
      <c r="D5" s="807"/>
      <c r="E5" s="807"/>
      <c r="F5" s="798"/>
      <c r="G5" s="808"/>
      <c r="H5" s="808"/>
      <c r="I5" s="803"/>
    </row>
    <row r="6" spans="1:9" s="764" customFormat="1" x14ac:dyDescent="0.25">
      <c r="A6" s="899" t="s">
        <v>1631</v>
      </c>
      <c r="B6" s="899"/>
      <c r="C6" s="899"/>
      <c r="D6" s="899"/>
      <c r="E6" s="899"/>
      <c r="F6" s="899"/>
      <c r="G6" s="899"/>
      <c r="H6" s="899"/>
      <c r="I6" s="899"/>
    </row>
    <row r="7" spans="1:9" s="764" customFormat="1" ht="22.9" customHeight="1" x14ac:dyDescent="0.3">
      <c r="A7" s="823"/>
      <c r="B7" s="809"/>
      <c r="C7" s="819"/>
      <c r="D7" s="809"/>
      <c r="E7" s="809"/>
      <c r="F7" s="799"/>
      <c r="G7" s="808"/>
      <c r="H7" s="808"/>
      <c r="I7" s="803"/>
    </row>
    <row r="8" spans="1:9" s="764" customFormat="1" x14ac:dyDescent="0.25">
      <c r="A8" s="900" t="s">
        <v>139</v>
      </c>
      <c r="B8" s="901" t="s">
        <v>303</v>
      </c>
      <c r="C8" s="902" t="s">
        <v>304</v>
      </c>
      <c r="D8" s="903" t="s">
        <v>305</v>
      </c>
      <c r="E8" s="903"/>
      <c r="F8" s="896" t="s">
        <v>306</v>
      </c>
      <c r="G8" s="896" t="s">
        <v>140</v>
      </c>
      <c r="H8" s="896" t="s">
        <v>140</v>
      </c>
      <c r="I8" s="897" t="s">
        <v>140</v>
      </c>
    </row>
    <row r="9" spans="1:9" s="765" customFormat="1" x14ac:dyDescent="0.2">
      <c r="A9" s="900"/>
      <c r="B9" s="901"/>
      <c r="C9" s="902"/>
      <c r="D9" s="810" t="s">
        <v>307</v>
      </c>
      <c r="E9" s="810" t="s">
        <v>308</v>
      </c>
      <c r="F9" s="896"/>
      <c r="G9" s="896"/>
      <c r="H9" s="896"/>
      <c r="I9" s="897"/>
    </row>
    <row r="10" spans="1:9" s="766" customFormat="1" ht="31.5" x14ac:dyDescent="0.25">
      <c r="A10" s="825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758">
        <v>950</v>
      </c>
      <c r="C10" s="759"/>
      <c r="D10" s="760"/>
      <c r="E10" s="760"/>
      <c r="F10" s="763"/>
      <c r="G10" s="811">
        <v>698101473.33000004</v>
      </c>
      <c r="H10" s="811">
        <f>H11+H17+H29+H37+H137+H145+H156+H166+H231+H248+H258+H313+H369+H389+H402+H412+H421+H434+H33+H379</f>
        <v>11465217.020000001</v>
      </c>
      <c r="I10" s="804">
        <f>I11+I17+I29+I33+I37+I137+I145+I156+I166+I231+I248+I313+I369+I379+I389+I402+I412+I421+I434+I258</f>
        <v>709566690.35000002</v>
      </c>
    </row>
    <row r="11" spans="1:9" s="101" customFormat="1" ht="63" x14ac:dyDescent="0.25">
      <c r="A11" s="826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760"/>
      <c r="C11" s="827">
        <v>102</v>
      </c>
      <c r="D11" s="760"/>
      <c r="E11" s="760"/>
      <c r="F11" s="763"/>
      <c r="G11" s="812">
        <v>3390947</v>
      </c>
      <c r="H11" s="812">
        <f t="shared" ref="H11:I13" si="0">H12</f>
        <v>-602424</v>
      </c>
      <c r="I11" s="805">
        <f t="shared" si="0"/>
        <v>2788523</v>
      </c>
    </row>
    <row r="12" spans="1:9" s="101" customFormat="1" x14ac:dyDescent="0.25">
      <c r="A12" s="826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760"/>
      <c r="C12" s="762"/>
      <c r="D12" s="760" t="s">
        <v>311</v>
      </c>
      <c r="E12" s="760"/>
      <c r="F12" s="763"/>
      <c r="G12" s="812">
        <v>3390947</v>
      </c>
      <c r="H12" s="812">
        <f>H13+H16</f>
        <v>-602424</v>
      </c>
      <c r="I12" s="805">
        <f>I13+I16</f>
        <v>2788523</v>
      </c>
    </row>
    <row r="13" spans="1:9" s="101" customFormat="1" ht="31.5" x14ac:dyDescent="0.25">
      <c r="A13" s="826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760"/>
      <c r="C13" s="762"/>
      <c r="D13" s="760"/>
      <c r="E13" s="760">
        <v>12020</v>
      </c>
      <c r="F13" s="763"/>
      <c r="G13" s="812">
        <v>3073872</v>
      </c>
      <c r="H13" s="812">
        <f t="shared" si="0"/>
        <v>-602424</v>
      </c>
      <c r="I13" s="805">
        <f t="shared" si="0"/>
        <v>2471448</v>
      </c>
    </row>
    <row r="14" spans="1:9" s="101" customFormat="1" ht="110.25" x14ac:dyDescent="0.25">
      <c r="A14" s="826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760"/>
      <c r="C14" s="762"/>
      <c r="D14" s="760"/>
      <c r="E14" s="760"/>
      <c r="F14" s="763">
        <v>100</v>
      </c>
      <c r="G14" s="812">
        <v>3073872</v>
      </c>
      <c r="H14" s="812">
        <f>-359233-243191</f>
        <v>-602424</v>
      </c>
      <c r="I14" s="805">
        <f t="shared" ref="I14:I117" si="1">SUM(G14:H14)</f>
        <v>2471448</v>
      </c>
    </row>
    <row r="15" spans="1:9" s="101" customFormat="1" ht="63" x14ac:dyDescent="0.25">
      <c r="A15" s="826" t="str">
        <f>IF(B15&gt;0,VLOOKUP(B15,КВСР!A6:B1171,2),IF(C15&gt;0,VLOOKUP(C15,КФСР!A6:B1518,2),IF(D15&gt;0,VLOOKUP(D15,Программа!A$1:B$5124,2),IF(F15&gt;0,VLOOKUP(F15,КВР!A$1:B$5001,2),IF(E15&gt;0,VLOOKUP(E15,Направление!A$1:B$4816,2))))))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5" s="760"/>
      <c r="C15" s="820"/>
      <c r="D15" s="760"/>
      <c r="E15" s="760">
        <v>55490</v>
      </c>
      <c r="F15" s="763"/>
      <c r="G15" s="812">
        <v>317075</v>
      </c>
      <c r="H15" s="812">
        <f>H16</f>
        <v>0</v>
      </c>
      <c r="I15" s="805">
        <f t="shared" si="1"/>
        <v>317075</v>
      </c>
    </row>
    <row r="16" spans="1:9" s="101" customFormat="1" ht="110.25" x14ac:dyDescent="0.25">
      <c r="A16" s="826" t="str">
        <f>IF(B16&gt;0,VLOOKUP(B16,КВСР!A7:B1172,2),IF(C16&gt;0,VLOOKUP(C16,КФСР!A7:B1519,2),IF(D16&gt;0,VLOOKUP(D16,Программа!A$1:B$5124,2),IF(F16&gt;0,VLOOKUP(F16,КВР!A$1:B$5001,2),IF(E16&gt;0,VLOOKUP(E16,Направление!A$1:B$4816,2))))))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" s="760"/>
      <c r="C16" s="820"/>
      <c r="D16" s="760"/>
      <c r="E16" s="760"/>
      <c r="F16" s="763">
        <v>100</v>
      </c>
      <c r="G16" s="812">
        <v>317075</v>
      </c>
      <c r="H16" s="812"/>
      <c r="I16" s="805">
        <f t="shared" si="1"/>
        <v>317075</v>
      </c>
    </row>
    <row r="17" spans="1:9" s="101" customFormat="1" ht="94.5" x14ac:dyDescent="0.25">
      <c r="A17" s="826" t="str">
        <f>IF(B17&gt;0,VLOOKUP(B17,КВСР!A7:B1172,2),IF(C17&gt;0,VLOOKUP(C17,КФСР!A7:B1519,2),IF(D17&gt;0,VLOOKUP(D17,Программа!A$1:B$5124,2),IF(F17&gt;0,VLOOKUP(F17,КВР!A$1:B$5001,2),IF(E17&gt;0,VLOOKUP(E17,Направление!A$1:B$4816,2))))))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7" s="760"/>
      <c r="C17" s="827">
        <v>104</v>
      </c>
      <c r="D17" s="760"/>
      <c r="E17" s="760"/>
      <c r="F17" s="763"/>
      <c r="G17" s="812">
        <v>50814035.710000001</v>
      </c>
      <c r="H17" s="812">
        <f>H18</f>
        <v>3006374.4299999997</v>
      </c>
      <c r="I17" s="805">
        <f>I18</f>
        <v>53820410.140000001</v>
      </c>
    </row>
    <row r="18" spans="1:9" s="101" customFormat="1" x14ac:dyDescent="0.25">
      <c r="A18" s="826" t="str">
        <f>IF(B18&gt;0,VLOOKUP(B18,КВСР!A8:B1173,2),IF(C18&gt;0,VLOOKUP(C18,КФСР!A8:B1520,2),IF(D18&gt;0,VLOOKUP(D18,Программа!A$1:B$5124,2),IF(F18&gt;0,VLOOKUP(F18,КВР!A$1:B$5001,2),IF(E18&gt;0,VLOOKUP(E18,Направление!A$1:B$4816,2))))))</f>
        <v>Непрограммные расходы бюджета</v>
      </c>
      <c r="B18" s="760"/>
      <c r="C18" s="820"/>
      <c r="D18" s="760" t="s">
        <v>311</v>
      </c>
      <c r="E18" s="760"/>
      <c r="F18" s="763"/>
      <c r="G18" s="812">
        <v>50814035.710000001</v>
      </c>
      <c r="H18" s="812">
        <f>H19+H26+H24</f>
        <v>3006374.4299999997</v>
      </c>
      <c r="I18" s="805">
        <f>I19+I26+I24</f>
        <v>53820410.140000001</v>
      </c>
    </row>
    <row r="19" spans="1:9" s="101" customFormat="1" x14ac:dyDescent="0.25">
      <c r="A19" s="826" t="str">
        <f>IF(B19&gt;0,VLOOKUP(B19,КВСР!A9:B1174,2),IF(C19&gt;0,VLOOKUP(C19,КФСР!A9:B1521,2),IF(D19&gt;0,VLOOKUP(D19,Программа!A$1:B$5124,2),IF(F19&gt;0,VLOOKUP(F19,КВР!A$1:B$5001,2),IF(E19&gt;0,VLOOKUP(E19,Направление!A$1:B$4816,2))))))</f>
        <v>Содержание центрального аппарата</v>
      </c>
      <c r="B19" s="760"/>
      <c r="C19" s="820"/>
      <c r="D19" s="760"/>
      <c r="E19" s="760">
        <v>12010</v>
      </c>
      <c r="F19" s="763"/>
      <c r="G19" s="812">
        <v>26674614.710000001</v>
      </c>
      <c r="H19" s="812">
        <f t="shared" ref="H19" si="2">H20+H21+H23+H22</f>
        <v>3006374.4299999997</v>
      </c>
      <c r="I19" s="805">
        <f t="shared" ref="I19" si="3">I20+I21+I23+I22</f>
        <v>29680989.139999997</v>
      </c>
    </row>
    <row r="20" spans="1:9" s="101" customFormat="1" ht="110.25" x14ac:dyDescent="0.25">
      <c r="A20" s="826" t="str">
        <f>IF(B20&gt;0,VLOOKUP(B20,КВСР!A10:B1175,2),IF(C20&gt;0,VLOOKUP(C20,КФСР!A10:B1522,2),IF(D20&gt;0,VLOOKUP(D20,Программа!A$1:B$5124,2),IF(F20&gt;0,VLOOKUP(F20,КВР!A$1:B$5001,2),IF(E20&gt;0,VLOOKUP(E20,Направление!A$1:B$4816,2))))))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" s="760"/>
      <c r="C20" s="820"/>
      <c r="D20" s="760"/>
      <c r="E20" s="760"/>
      <c r="F20" s="763">
        <v>100</v>
      </c>
      <c r="G20" s="812">
        <v>21390446.030000001</v>
      </c>
      <c r="H20" s="812">
        <f>-330123.57+2219074+1037613</f>
        <v>2926563.4299999997</v>
      </c>
      <c r="I20" s="805">
        <f t="shared" si="1"/>
        <v>24317009.460000001</v>
      </c>
    </row>
    <row r="21" spans="1:9" s="101" customFormat="1" ht="63" x14ac:dyDescent="0.25">
      <c r="A21" s="826" t="str">
        <f>IF(B21&gt;0,VLOOKUP(B21,КВСР!A11:B1176,2),IF(C21&gt;0,VLOOKUP(C21,КФСР!A11:B1523,2),IF(D21&gt;0,VLOOKUP(D21,Программа!A$1:B$5124,2),IF(F21&gt;0,VLOOKUP(F21,КВР!A$1:B$5001,2),IF(E21&gt;0,VLOOKUP(E21,Направление!A$1:B$4816,2))))))</f>
        <v xml:space="preserve">Закупка товаров, работ и услуг для обеспечения государственных (муниципальных) нужд
</v>
      </c>
      <c r="B21" s="760"/>
      <c r="C21" s="820"/>
      <c r="D21" s="760"/>
      <c r="E21" s="760"/>
      <c r="F21" s="763">
        <v>200</v>
      </c>
      <c r="G21" s="812">
        <v>4811324.0199999996</v>
      </c>
      <c r="H21" s="812">
        <v>-2113.4</v>
      </c>
      <c r="I21" s="805">
        <f t="shared" si="1"/>
        <v>4809210.6199999992</v>
      </c>
    </row>
    <row r="22" spans="1:9" s="101" customFormat="1" ht="31.5" x14ac:dyDescent="0.25">
      <c r="A22" s="826" t="str">
        <f>IF(B22&gt;0,VLOOKUP(B22,КВСР!A12:B1177,2),IF(C22&gt;0,VLOOKUP(C22,КФСР!A12:B1524,2),IF(D22&gt;0,VLOOKUP(D22,Программа!A$1:B$5124,2),IF(F22&gt;0,VLOOKUP(F22,КВР!A$1:B$5001,2),IF(E22&gt;0,VLOOKUP(E22,Направление!A$1:B$4816,2))))))</f>
        <v>Социальное обеспечение и иные выплаты населению</v>
      </c>
      <c r="B22" s="760"/>
      <c r="C22" s="820"/>
      <c r="D22" s="760"/>
      <c r="E22" s="760"/>
      <c r="F22" s="763">
        <v>300</v>
      </c>
      <c r="G22" s="812">
        <v>1796</v>
      </c>
      <c r="H22" s="812"/>
      <c r="I22" s="805">
        <f t="shared" si="1"/>
        <v>1796</v>
      </c>
    </row>
    <row r="23" spans="1:9" s="101" customFormat="1" x14ac:dyDescent="0.25">
      <c r="A23" s="826" t="str">
        <f>IF(B23&gt;0,VLOOKUP(B23,КВСР!A12:B1177,2),IF(C23&gt;0,VLOOKUP(C23,КФСР!A12:B1524,2),IF(D23&gt;0,VLOOKUP(D23,Программа!A$1:B$5124,2),IF(F23&gt;0,VLOOKUP(F23,КВР!A$1:B$5001,2),IF(E23&gt;0,VLOOKUP(E23,Направление!A$1:B$4816,2))))))</f>
        <v>Иные бюджетные ассигнования</v>
      </c>
      <c r="B23" s="760"/>
      <c r="C23" s="820"/>
      <c r="D23" s="760"/>
      <c r="E23" s="760"/>
      <c r="F23" s="763">
        <v>800</v>
      </c>
      <c r="G23" s="812">
        <v>471048.66000000003</v>
      </c>
      <c r="H23" s="812">
        <f>2113.4+79811</f>
        <v>81924.399999999994</v>
      </c>
      <c r="I23" s="805">
        <f t="shared" si="1"/>
        <v>552973.06000000006</v>
      </c>
    </row>
    <row r="24" spans="1:9" s="101" customFormat="1" ht="63" x14ac:dyDescent="0.25">
      <c r="A24" s="826" t="str">
        <f>IF(B24&gt;0,VLOOKUP(B24,КВСР!A13:B1178,2),IF(C24&gt;0,VLOOKUP(C24,КФСР!A13:B1525,2),IF(D24&gt;0,VLOOKUP(D24,Программа!A$1:B$5124,2),IF(F24&gt;0,VLOOKUP(F24,КВР!A$1:B$5001,2),IF(E24&gt;0,VLOOKUP(E24,Направление!A$1:B$4816,2))))))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24" s="760"/>
      <c r="C24" s="820"/>
      <c r="D24" s="760"/>
      <c r="E24" s="760">
        <v>55490</v>
      </c>
      <c r="F24" s="763"/>
      <c r="G24" s="812">
        <v>1740641</v>
      </c>
      <c r="H24" s="812">
        <f>H25</f>
        <v>0</v>
      </c>
      <c r="I24" s="805">
        <f t="shared" si="1"/>
        <v>1740641</v>
      </c>
    </row>
    <row r="25" spans="1:9" s="101" customFormat="1" ht="110.25" x14ac:dyDescent="0.25">
      <c r="A25" s="826" t="str">
        <f>IF(B25&gt;0,VLOOKUP(B25,КВСР!A14:B1179,2),IF(C25&gt;0,VLOOKUP(C25,КФСР!A14:B1526,2),IF(D25&gt;0,VLOOKUP(D25,Программа!A$1:B$5124,2),IF(F25&gt;0,VLOOKUP(F25,КВР!A$1:B$5001,2),IF(E25&gt;0,VLOOKUP(E25,Направление!A$1:B$4816,2))))))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" s="760"/>
      <c r="C25" s="820"/>
      <c r="D25" s="760"/>
      <c r="E25" s="760"/>
      <c r="F25" s="763">
        <v>100</v>
      </c>
      <c r="G25" s="812">
        <v>1740641</v>
      </c>
      <c r="H25" s="812"/>
      <c r="I25" s="805">
        <f t="shared" si="1"/>
        <v>1740641</v>
      </c>
    </row>
    <row r="26" spans="1:9" s="101" customFormat="1" ht="47.25" x14ac:dyDescent="0.25">
      <c r="A26" s="826" t="str">
        <f>IF(B26&gt;0,VLOOKUP(B26,КВСР!A13:B1178,2),IF(C26&gt;0,VLOOKUP(C26,КФСР!A13:B1525,2),IF(D26&gt;0,VLOOKUP(D26,Программа!A$1:B$5124,2),IF(F26&gt;0,VLOOKUP(F26,КВР!A$1:B$5001,2),IF(E26&gt;0,VLOOKUP(E26,Направление!A$1:B$4816,2))))))</f>
        <v>Содержание органов местного самоуправления за счет средств поселений</v>
      </c>
      <c r="B26" s="760"/>
      <c r="C26" s="820"/>
      <c r="D26" s="760"/>
      <c r="E26" s="760">
        <v>29016</v>
      </c>
      <c r="F26" s="763"/>
      <c r="G26" s="812">
        <v>22398780</v>
      </c>
      <c r="H26" s="812">
        <f>H27+H28</f>
        <v>0</v>
      </c>
      <c r="I26" s="805">
        <f>I27+I28</f>
        <v>22398780</v>
      </c>
    </row>
    <row r="27" spans="1:9" s="101" customFormat="1" ht="110.25" x14ac:dyDescent="0.25">
      <c r="A27" s="826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760"/>
      <c r="C27" s="820"/>
      <c r="D27" s="760"/>
      <c r="E27" s="760"/>
      <c r="F27" s="763">
        <v>100</v>
      </c>
      <c r="G27" s="812">
        <v>22398780</v>
      </c>
      <c r="H27" s="812"/>
      <c r="I27" s="805">
        <f t="shared" si="1"/>
        <v>22398780</v>
      </c>
    </row>
    <row r="28" spans="1:9" s="101" customFormat="1" ht="63" hidden="1" x14ac:dyDescent="0.25">
      <c r="A28" s="826" t="str">
        <f>IF(B28&gt;0,VLOOKUP(B28,КВСР!A15:B1180,2),IF(C28&gt;0,VLOOKUP(C28,КФСР!A15:B1527,2),IF(D28&gt;0,VLOOKUP(D28,Программа!A$1:B$5124,2),IF(F28&gt;0,VLOOKUP(F28,КВР!A$1:B$5001,2),IF(E28&gt;0,VLOOKUP(E28,Направление!A$1:B$4816,2))))))</f>
        <v xml:space="preserve">Закупка товаров, работ и услуг для обеспечения государственных (муниципальных) нужд
</v>
      </c>
      <c r="B28" s="760"/>
      <c r="C28" s="820"/>
      <c r="D28" s="760"/>
      <c r="E28" s="760"/>
      <c r="F28" s="763">
        <v>200</v>
      </c>
      <c r="G28" s="812">
        <v>0</v>
      </c>
      <c r="H28" s="812"/>
      <c r="I28" s="805">
        <f t="shared" si="1"/>
        <v>0</v>
      </c>
    </row>
    <row r="29" spans="1:9" s="101" customFormat="1" x14ac:dyDescent="0.25">
      <c r="A29" s="826" t="str">
        <f>IF(B29&gt;0,VLOOKUP(B29,КВСР!A16:B1181,2),IF(C29&gt;0,VLOOKUP(C29,КФСР!A16:B1528,2),IF(D29&gt;0,VLOOKUP(D29,Программа!A$1:B$5124,2),IF(F29&gt;0,VLOOKUP(F29,КВР!A$1:B$5001,2),IF(E29&gt;0,VLOOKUP(E29,Направление!A$1:B$4816,2))))))</f>
        <v>Судебная система</v>
      </c>
      <c r="B29" s="760"/>
      <c r="C29" s="827">
        <v>105</v>
      </c>
      <c r="D29" s="760"/>
      <c r="E29" s="760"/>
      <c r="F29" s="763"/>
      <c r="G29" s="812">
        <v>51506</v>
      </c>
      <c r="H29" s="812">
        <f t="shared" ref="H29:I31" si="4">H30</f>
        <v>0</v>
      </c>
      <c r="I29" s="805">
        <f t="shared" si="4"/>
        <v>51506</v>
      </c>
    </row>
    <row r="30" spans="1:9" s="101" customFormat="1" x14ac:dyDescent="0.25">
      <c r="A30" s="826" t="str">
        <f>IF(B30&gt;0,VLOOKUP(B30,КВСР!A17:B1182,2),IF(C30&gt;0,VLOOKUP(C30,КФСР!A17:B1529,2),IF(D30&gt;0,VLOOKUP(D30,Программа!A$1:B$5124,2),IF(F30&gt;0,VLOOKUP(F30,КВР!A$1:B$5001,2),IF(E30&gt;0,VLOOKUP(E30,Направление!A$1:B$4816,2))))))</f>
        <v>Непрограммные расходы бюджета</v>
      </c>
      <c r="B30" s="760"/>
      <c r="C30" s="820"/>
      <c r="D30" s="760" t="s">
        <v>311</v>
      </c>
      <c r="E30" s="760"/>
      <c r="F30" s="763"/>
      <c r="G30" s="812">
        <v>51506</v>
      </c>
      <c r="H30" s="812">
        <v>0</v>
      </c>
      <c r="I30" s="805">
        <f t="shared" si="4"/>
        <v>51506</v>
      </c>
    </row>
    <row r="31" spans="1:9" s="101" customFormat="1" ht="78.75" x14ac:dyDescent="0.25">
      <c r="A31" s="826" t="str">
        <f>IF(B31&gt;0,VLOOKUP(B31,КВСР!A18:B1183,2),IF(C31&gt;0,VLOOKUP(C31,КФСР!A18:B1530,2),IF(D31&gt;0,VLOOKUP(D31,Программа!A$1:B$5124,2),IF(F31&gt;0,VLOOKUP(F31,КВР!A$1:B$5001,2),IF(E31&gt;0,VLOOKUP(E31,Направление!A$1:B$4816,2))))))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1" s="760"/>
      <c r="C31" s="820"/>
      <c r="D31" s="760"/>
      <c r="E31" s="760">
        <v>51200</v>
      </c>
      <c r="F31" s="763"/>
      <c r="G31" s="812">
        <v>51506</v>
      </c>
      <c r="H31" s="812">
        <f t="shared" si="4"/>
        <v>0</v>
      </c>
      <c r="I31" s="805">
        <f t="shared" si="4"/>
        <v>51506</v>
      </c>
    </row>
    <row r="32" spans="1:9" s="101" customFormat="1" ht="63" x14ac:dyDescent="0.25">
      <c r="A32" s="826" t="str">
        <f>IF(B32&gt;0,VLOOKUP(B32,КВСР!A19:B1184,2),IF(C32&gt;0,VLOOKUP(C32,КФСР!A19:B1531,2),IF(D32&gt;0,VLOOKUP(D32,Программа!A$1:B$5124,2),IF(F32&gt;0,VLOOKUP(F32,КВР!A$1:B$5001,2),IF(E32&gt;0,VLOOKUP(E32,Направление!A$1:B$4816,2))))))</f>
        <v xml:space="preserve">Закупка товаров, работ и услуг для обеспечения государственных (муниципальных) нужд
</v>
      </c>
      <c r="B32" s="760"/>
      <c r="C32" s="820"/>
      <c r="D32" s="760"/>
      <c r="E32" s="760"/>
      <c r="F32" s="763">
        <v>200</v>
      </c>
      <c r="G32" s="812">
        <v>51506</v>
      </c>
      <c r="H32" s="812"/>
      <c r="I32" s="805">
        <f t="shared" si="1"/>
        <v>51506</v>
      </c>
    </row>
    <row r="33" spans="1:9" s="101" customFormat="1" hidden="1" x14ac:dyDescent="0.25">
      <c r="A33" s="826" t="str">
        <f>IF(B33&gt;0,VLOOKUP(B33,КВСР!A21:B1186,2),IF(C33&gt;0,VLOOKUP(C33,КФСР!A21:B1533,2),IF(D33&gt;0,VLOOKUP(D33,Программа!A$1:B$5124,2),IF(F33&gt;0,VLOOKUP(F33,КВР!A$1:B$5001,2),IF(E33&gt;0,VLOOKUP(E33,Направление!A$1:B$4816,2))))))</f>
        <v>Резервные фонды</v>
      </c>
      <c r="B33" s="760"/>
      <c r="C33" s="820">
        <v>111</v>
      </c>
      <c r="D33" s="760"/>
      <c r="E33" s="760"/>
      <c r="F33" s="763"/>
      <c r="G33" s="812">
        <v>2542598.2000000002</v>
      </c>
      <c r="H33" s="812">
        <f t="shared" ref="H33:I35" si="5">H34</f>
        <v>-2542598.1999999997</v>
      </c>
      <c r="I33" s="805">
        <f t="shared" si="5"/>
        <v>0</v>
      </c>
    </row>
    <row r="34" spans="1:9" s="101" customFormat="1" hidden="1" x14ac:dyDescent="0.25">
      <c r="A34" s="826" t="str">
        <f>IF(B34&gt;0,VLOOKUP(B34,КВСР!A22:B1187,2),IF(C34&gt;0,VLOOKUP(C34,КФСР!A22:B1534,2),IF(D34&gt;0,VLOOKUP(D34,Программа!A$1:B$5124,2),IF(F34&gt;0,VLOOKUP(F34,КВР!A$1:B$5001,2),IF(E34&gt;0,VLOOKUP(E34,Направление!A$1:B$4816,2))))))</f>
        <v>Непрограммные расходы бюджета</v>
      </c>
      <c r="B34" s="760"/>
      <c r="C34" s="820"/>
      <c r="D34" s="760" t="s">
        <v>311</v>
      </c>
      <c r="E34" s="760"/>
      <c r="F34" s="763"/>
      <c r="G34" s="812">
        <v>2542598.2000000002</v>
      </c>
      <c r="H34" s="812">
        <f t="shared" si="5"/>
        <v>-2542598.1999999997</v>
      </c>
      <c r="I34" s="805">
        <f t="shared" si="5"/>
        <v>0</v>
      </c>
    </row>
    <row r="35" spans="1:9" s="101" customFormat="1" ht="31.5" hidden="1" x14ac:dyDescent="0.25">
      <c r="A35" s="826" t="str">
        <f>IF(B35&gt;0,VLOOKUP(B35,КВСР!A23:B1188,2),IF(C35&gt;0,VLOOKUP(C35,КФСР!A23:B1535,2),IF(D35&gt;0,VLOOKUP(D35,Программа!A$1:B$5124,2),IF(F35&gt;0,VLOOKUP(F35,КВР!A$1:B$5001,2),IF(E35&gt;0,VLOOKUP(E35,Направление!A$1:B$4816,2))))))</f>
        <v>Резервные фонды местных администраций</v>
      </c>
      <c r="B35" s="760"/>
      <c r="C35" s="820"/>
      <c r="D35" s="760"/>
      <c r="E35" s="760">
        <v>12900</v>
      </c>
      <c r="F35" s="763"/>
      <c r="G35" s="812">
        <v>2542598.2000000002</v>
      </c>
      <c r="H35" s="812">
        <f t="shared" si="5"/>
        <v>-2542598.1999999997</v>
      </c>
      <c r="I35" s="805">
        <f t="shared" si="5"/>
        <v>0</v>
      </c>
    </row>
    <row r="36" spans="1:9" s="101" customFormat="1" hidden="1" x14ac:dyDescent="0.25">
      <c r="A36" s="826" t="str">
        <f>IF(B36&gt;0,VLOOKUP(B36,КВСР!A24:B1189,2),IF(C36&gt;0,VLOOKUP(C36,КФСР!A24:B1536,2),IF(D36&gt;0,VLOOKUP(D36,Программа!A$1:B$5124,2),IF(F36&gt;0,VLOOKUP(F36,КВР!A$1:B$5001,2),IF(E36&gt;0,VLOOKUP(E36,Направление!A$1:B$4816,2))))))</f>
        <v>Иные бюджетные ассигнования</v>
      </c>
      <c r="B36" s="760"/>
      <c r="C36" s="820"/>
      <c r="D36" s="760"/>
      <c r="E36" s="760"/>
      <c r="F36" s="763">
        <v>800</v>
      </c>
      <c r="G36" s="812">
        <v>2542598.2000000002</v>
      </c>
      <c r="H36" s="812">
        <f>-290086.44-2252511.76</f>
        <v>-2542598.1999999997</v>
      </c>
      <c r="I36" s="805">
        <f t="shared" si="1"/>
        <v>0</v>
      </c>
    </row>
    <row r="37" spans="1:9" s="101" customFormat="1" x14ac:dyDescent="0.25">
      <c r="A37" s="826" t="str">
        <f>IF(B37&gt;0,VLOOKUP(B37,КВСР!A25:B1190,2),IF(C37&gt;0,VLOOKUP(C37,КФСР!A25:B1537,2),IF(D37&gt;0,VLOOKUP(D37,Программа!A$1:B$5124,2),IF(F37&gt;0,VLOOKUP(F37,КВР!A$1:B$5001,2),IF(E37&gt;0,VLOOKUP(E37,Направление!A$1:B$4816,2))))))</f>
        <v>Другие общегосударственные вопросы</v>
      </c>
      <c r="B37" s="760"/>
      <c r="C37" s="827">
        <v>113</v>
      </c>
      <c r="D37" s="760"/>
      <c r="E37" s="760"/>
      <c r="F37" s="763"/>
      <c r="G37" s="812">
        <v>86544507.020000011</v>
      </c>
      <c r="H37" s="812">
        <f>H38+H42+H50+H89+H57+H79+H70+H75+H85+H130+H127</f>
        <v>267343.79999999981</v>
      </c>
      <c r="I37" s="805">
        <f>I38+I42+I50+I89+I57+I79+I70+I75+I85+I130+I127</f>
        <v>86811850.820000008</v>
      </c>
    </row>
    <row r="38" spans="1:9" s="101" customFormat="1" ht="78.75" x14ac:dyDescent="0.25">
      <c r="A38" s="826" t="str">
        <f>IF(B38&gt;0,VLOOKUP(B38,КВСР!A26:B1191,2),IF(C38&gt;0,VLOOKUP(C38,КФСР!A26:B1538,2),IF(D38&gt;0,VLOOKUP(D38,Программа!A$1:B$5124,2),IF(F38&gt;0,VLOOKUP(F38,КВР!A$1:B$5001,2),IF(E38&gt;0,VLOOKUP(E38,Направление!A$1:B$4816,2))))))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8" s="760"/>
      <c r="C38" s="820"/>
      <c r="D38" s="760" t="s">
        <v>318</v>
      </c>
      <c r="E38" s="760"/>
      <c r="F38" s="763"/>
      <c r="G38" s="812">
        <v>350000</v>
      </c>
      <c r="H38" s="812">
        <f t="shared" ref="H38:I40" si="6">H39</f>
        <v>0</v>
      </c>
      <c r="I38" s="805">
        <f t="shared" si="6"/>
        <v>350000</v>
      </c>
    </row>
    <row r="39" spans="1:9" s="101" customFormat="1" ht="78.75" x14ac:dyDescent="0.25">
      <c r="A39" s="826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9" s="760"/>
      <c r="C39" s="820"/>
      <c r="D39" s="760" t="s">
        <v>481</v>
      </c>
      <c r="E39" s="760"/>
      <c r="F39" s="763"/>
      <c r="G39" s="812">
        <v>350000</v>
      </c>
      <c r="H39" s="812">
        <f t="shared" si="6"/>
        <v>0</v>
      </c>
      <c r="I39" s="805">
        <f t="shared" si="6"/>
        <v>350000</v>
      </c>
    </row>
    <row r="40" spans="1:9" s="101" customFormat="1" ht="47.25" x14ac:dyDescent="0.25">
      <c r="A40" s="826" t="str">
        <f>IF(B40&gt;0,VLOOKUP(B40,КВСР!A28:B1193,2),IF(C40&gt;0,VLOOKUP(C40,КФСР!A28:B1540,2),IF(D40&gt;0,VLOOKUP(D40,Программа!A$1:B$5124,2),IF(F40&gt;0,VLOOKUP(F40,КВР!A$1:B$5001,2),IF(E40&gt;0,VLOOKUP(E40,Направление!A$1:B$4816,2))))))</f>
        <v>Предоставление субсидий некоммерческим организациям на конкурсной основе</v>
      </c>
      <c r="B40" s="760"/>
      <c r="C40" s="820"/>
      <c r="D40" s="760"/>
      <c r="E40" s="760">
        <v>13140</v>
      </c>
      <c r="F40" s="763"/>
      <c r="G40" s="812">
        <v>350000</v>
      </c>
      <c r="H40" s="812">
        <f t="shared" si="6"/>
        <v>0</v>
      </c>
      <c r="I40" s="805">
        <f t="shared" si="6"/>
        <v>350000</v>
      </c>
    </row>
    <row r="41" spans="1:9" s="101" customFormat="1" ht="47.25" x14ac:dyDescent="0.25">
      <c r="A41" s="826" t="str">
        <f>IF(B41&gt;0,VLOOKUP(B41,КВСР!A29:B1194,2),IF(C41&gt;0,VLOOKUP(C41,КФСР!A29:B1541,2),IF(D41&gt;0,VLOOKUP(D41,Программа!A$1:B$5124,2),IF(F41&gt;0,VLOOKUP(F41,КВР!A$1:B$5001,2),IF(E41&gt;0,VLOOKUP(E41,Направление!A$1:B$4816,2))))))</f>
        <v>Предоставление субсидий бюджетным, автономным учреждениям и иным некоммерческим организациям</v>
      </c>
      <c r="B41" s="760"/>
      <c r="C41" s="820"/>
      <c r="D41" s="760"/>
      <c r="E41" s="760"/>
      <c r="F41" s="763">
        <v>600</v>
      </c>
      <c r="G41" s="812">
        <v>350000</v>
      </c>
      <c r="H41" s="812"/>
      <c r="I41" s="805">
        <f t="shared" si="1"/>
        <v>350000</v>
      </c>
    </row>
    <row r="42" spans="1:9" s="101" customFormat="1" ht="94.5" x14ac:dyDescent="0.25">
      <c r="A42" s="826" t="str">
        <f>IF(B42&gt;0,VLOOKUP(B42,КВСР!A26:B1191,2),IF(C42&gt;0,VLOOKUP(C42,КФСР!A26:B1538,2),IF(D42&gt;0,VLOOKUP(D42,Программа!A$1:B$5124,2),IF(F42&gt;0,VLOOKUP(F42,КВР!A$1:B$5001,2),IF(E42&gt;0,VLOOKUP(E42,Направление!A$1:B$4816,2))))))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2" s="760"/>
      <c r="C42" s="820"/>
      <c r="D42" s="760" t="s">
        <v>322</v>
      </c>
      <c r="E42" s="760"/>
      <c r="F42" s="763"/>
      <c r="G42" s="812">
        <v>3627567</v>
      </c>
      <c r="H42" s="812">
        <f>H43+H46</f>
        <v>-556127</v>
      </c>
      <c r="I42" s="805">
        <f>I43+I46</f>
        <v>3071440</v>
      </c>
    </row>
    <row r="43" spans="1:9" s="101" customFormat="1" ht="78.75" x14ac:dyDescent="0.25">
      <c r="A43" s="826" t="str">
        <f>IF(B43&gt;0,VLOOKUP(B43,КВСР!A27:B1192,2),IF(C43&gt;0,VLOOKUP(C43,КФСР!A27:B1539,2),IF(D43&gt;0,VLOOKUP(D43,Программа!A$1:B$5124,2),IF(F43&gt;0,VLOOKUP(F43,КВР!A$1:B$5001,2),IF(E43&gt;0,VLOOKUP(E43,Направление!A$1:B$4816,2))))))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3" s="760"/>
      <c r="C43" s="820"/>
      <c r="D43" s="760" t="s">
        <v>323</v>
      </c>
      <c r="E43" s="760"/>
      <c r="F43" s="763"/>
      <c r="G43" s="812">
        <v>118651</v>
      </c>
      <c r="H43" s="812">
        <f t="shared" ref="H43:I44" si="7">H44</f>
        <v>0</v>
      </c>
      <c r="I43" s="805">
        <f t="shared" si="7"/>
        <v>118651</v>
      </c>
    </row>
    <row r="44" spans="1:9" s="101" customFormat="1" ht="31.5" x14ac:dyDescent="0.25">
      <c r="A44" s="826" t="str">
        <f>IF(B44&gt;0,VLOOKUP(B44,КВСР!A28:B1193,2),IF(C44&gt;0,VLOOKUP(C44,КФСР!A28:B1540,2),IF(D44&gt;0,VLOOKUP(D44,Программа!A$1:B$5124,2),IF(F44&gt;0,VLOOKUP(F44,КВР!A$1:B$5001,2),IF(E44&gt;0,VLOOKUP(E44,Направление!A$1:B$4816,2))))))</f>
        <v>Расходы на развитие муниципальной службы</v>
      </c>
      <c r="B44" s="760"/>
      <c r="C44" s="820"/>
      <c r="D44" s="760"/>
      <c r="E44" s="760">
        <v>12200</v>
      </c>
      <c r="F44" s="763"/>
      <c r="G44" s="812">
        <v>118651</v>
      </c>
      <c r="H44" s="812">
        <f t="shared" si="7"/>
        <v>0</v>
      </c>
      <c r="I44" s="805">
        <f t="shared" si="7"/>
        <v>118651</v>
      </c>
    </row>
    <row r="45" spans="1:9" s="101" customFormat="1" ht="63" x14ac:dyDescent="0.25">
      <c r="A45" s="826" t="str">
        <f>IF(B45&gt;0,VLOOKUP(B45,КВСР!A29:B1194,2),IF(C45&gt;0,VLOOKUP(C45,КФСР!A29:B1541,2),IF(D45&gt;0,VLOOKUP(D45,Программа!A$1:B$5124,2),IF(F45&gt;0,VLOOKUP(F45,КВР!A$1:B$5001,2),IF(E45&gt;0,VLOOKUP(E45,Направление!A$1:B$4816,2))))))</f>
        <v xml:space="preserve">Закупка товаров, работ и услуг для обеспечения государственных (муниципальных) нужд
</v>
      </c>
      <c r="B45" s="760"/>
      <c r="C45" s="820"/>
      <c r="D45" s="760"/>
      <c r="E45" s="760"/>
      <c r="F45" s="763">
        <v>200</v>
      </c>
      <c r="G45" s="812">
        <v>118651</v>
      </c>
      <c r="H45" s="812"/>
      <c r="I45" s="805">
        <f t="shared" si="1"/>
        <v>118651</v>
      </c>
    </row>
    <row r="46" spans="1:9" s="101" customFormat="1" ht="94.5" x14ac:dyDescent="0.25">
      <c r="A46" s="826" t="str">
        <f>IF(B46&gt;0,VLOOKUP(B46,КВСР!A30:B1195,2),IF(C46&gt;0,VLOOKUP(C46,КФСР!A30:B1542,2),IF(D46&gt;0,VLOOKUP(D46,Программа!A$1:B$5124,2),IF(F46&gt;0,VLOOKUP(F46,КВР!A$1:B$5001,2),IF(E46&gt;0,VLOOKUP(E46,Направление!A$1:B$4816,2))))))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" s="760"/>
      <c r="C46" s="820"/>
      <c r="D46" s="760" t="s">
        <v>1516</v>
      </c>
      <c r="E46" s="760"/>
      <c r="F46" s="763"/>
      <c r="G46" s="812">
        <v>3508916</v>
      </c>
      <c r="H46" s="812">
        <f t="shared" ref="H46:I46" si="8">H47</f>
        <v>-556127</v>
      </c>
      <c r="I46" s="805">
        <f t="shared" si="8"/>
        <v>2952789</v>
      </c>
    </row>
    <row r="47" spans="1:9" s="101" customFormat="1" ht="31.5" x14ac:dyDescent="0.25">
      <c r="A47" s="826" t="str">
        <f>IF(B47&gt;0,VLOOKUP(B47,КВСР!A31:B1196,2),IF(C47&gt;0,VLOOKUP(C47,КФСР!A31:B1543,2),IF(D47&gt;0,VLOOKUP(D47,Программа!A$1:B$5124,2),IF(F47&gt;0,VLOOKUP(F47,КВР!A$1:B$5001,2),IF(E47&gt;0,VLOOKUP(E47,Направление!A$1:B$4816,2))))))</f>
        <v>Внедрение проектной деятельности и бережливых технологий</v>
      </c>
      <c r="B47" s="760"/>
      <c r="C47" s="820"/>
      <c r="D47" s="760"/>
      <c r="E47" s="760">
        <v>12300</v>
      </c>
      <c r="F47" s="763"/>
      <c r="G47" s="812">
        <v>3508916</v>
      </c>
      <c r="H47" s="812">
        <f>H48+H49</f>
        <v>-556127</v>
      </c>
      <c r="I47" s="805">
        <f>I48+I49</f>
        <v>2952789</v>
      </c>
    </row>
    <row r="48" spans="1:9" s="101" customFormat="1" ht="110.25" x14ac:dyDescent="0.25">
      <c r="A48" s="826" t="str">
        <f>IF(B48&gt;0,VLOOKUP(B48,КВСР!A32:B1197,2),IF(C48&gt;0,VLOOKUP(C48,КФСР!A32:B1544,2),IF(D48&gt;0,VLOOKUP(D48,Программа!A$1:B$5124,2),IF(F48&gt;0,VLOOKUP(F48,КВР!A$1:B$5001,2),IF(E48&gt;0,VLOOKUP(E48,Направление!A$1:B$4816,2))))))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760"/>
      <c r="C48" s="820"/>
      <c r="D48" s="760"/>
      <c r="E48" s="760"/>
      <c r="F48" s="763">
        <v>100</v>
      </c>
      <c r="G48" s="812">
        <v>3478916</v>
      </c>
      <c r="H48" s="812">
        <f>-476000-268915+300000-111212+30000</f>
        <v>-526127</v>
      </c>
      <c r="I48" s="805">
        <f>G48+H48</f>
        <v>2952789</v>
      </c>
    </row>
    <row r="49" spans="1:9" s="101" customFormat="1" ht="47.25" hidden="1" x14ac:dyDescent="0.25">
      <c r="A49" s="826" t="str">
        <f>IF(B49&gt;0,VLOOKUP(B49,КВСР!A33:B1198,2),IF(C49&gt;0,VLOOKUP(C49,КФСР!A33:B1545,2),IF(D49&gt;0,VLOOKUP(D49,Программа!A$1:B$5124,2),IF(F49&gt;0,VLOOKUP(F49,КВР!A$1:B$5001,2),IF(E49&gt;0,VLOOKUP(E49,Направление!A$1:B$4816,2))))))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760"/>
      <c r="C49" s="820"/>
      <c r="D49" s="760"/>
      <c r="E49" s="760"/>
      <c r="F49" s="763">
        <v>600</v>
      </c>
      <c r="G49" s="812">
        <v>30000</v>
      </c>
      <c r="H49" s="812">
        <v>-30000</v>
      </c>
      <c r="I49" s="805">
        <f>G49+H49</f>
        <v>0</v>
      </c>
    </row>
    <row r="50" spans="1:9" s="101" customFormat="1" ht="63" x14ac:dyDescent="0.25">
      <c r="A50" s="826" t="str">
        <f>IF(B50&gt;0,VLOOKUP(B50,КВСР!A30:B1195,2),IF(C50&gt;0,VLOOKUP(C50,КФСР!A30:B1542,2),IF(D50&gt;0,VLOOKUP(D50,Программа!A$1:B$5124,2),IF(F50&gt;0,VLOOKUP(F50,КВР!A$1:B$5001,2),IF(E50&gt;0,VLOOKUP(E50,Направление!A$1:B$4816,2))))))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0" s="760"/>
      <c r="C50" s="820"/>
      <c r="D50" s="760" t="s">
        <v>326</v>
      </c>
      <c r="E50" s="760"/>
      <c r="F50" s="763"/>
      <c r="G50" s="812">
        <v>876398</v>
      </c>
      <c r="H50" s="812">
        <f t="shared" ref="H50" si="9">H54+H51</f>
        <v>0</v>
      </c>
      <c r="I50" s="805">
        <f t="shared" ref="I50" si="10">I54+I51</f>
        <v>876398</v>
      </c>
    </row>
    <row r="51" spans="1:9" s="101" customFormat="1" ht="31.5" x14ac:dyDescent="0.25">
      <c r="A51" s="826" t="str">
        <f>IF(B51&gt;0,VLOOKUP(B51,КВСР!A31:B1196,2),IF(C51&gt;0,VLOOKUP(C51,КФСР!A31:B1543,2),IF(D51&gt;0,VLOOKUP(D51,Программа!A$1:B$5124,2),IF(F51&gt;0,VLOOKUP(F51,КВР!A$1:B$5001,2),IF(E51&gt;0,VLOOKUP(E51,Направление!A$1:B$4816,2))))))</f>
        <v>Бесперебойное функционирование информационных систем</v>
      </c>
      <c r="B51" s="760"/>
      <c r="C51" s="820"/>
      <c r="D51" s="760" t="s">
        <v>360</v>
      </c>
      <c r="E51" s="760"/>
      <c r="F51" s="763"/>
      <c r="G51" s="812">
        <v>101433</v>
      </c>
      <c r="H51" s="812">
        <f>H52</f>
        <v>0</v>
      </c>
      <c r="I51" s="805">
        <f>I52</f>
        <v>101433</v>
      </c>
    </row>
    <row r="52" spans="1:9" s="101" customFormat="1" ht="31.5" x14ac:dyDescent="0.25">
      <c r="A52" s="826" t="str">
        <f>IF(B52&gt;0,VLOOKUP(B52,КВСР!A32:B1197,2),IF(C52&gt;0,VLOOKUP(C52,КФСР!A32:B1544,2),IF(D52&gt;0,VLOOKUP(D52,Программа!A$1:B$5124,2),IF(F52&gt;0,VLOOKUP(F52,КВР!A$1:B$5001,2),IF(E52&gt;0,VLOOKUP(E52,Направление!A$1:B$4816,2))))))</f>
        <v>Расходы на проведение мероприятий по информатизации</v>
      </c>
      <c r="B52" s="760"/>
      <c r="C52" s="820"/>
      <c r="D52" s="760"/>
      <c r="E52" s="760">
        <v>12210</v>
      </c>
      <c r="F52" s="763"/>
      <c r="G52" s="812">
        <v>101433</v>
      </c>
      <c r="H52" s="812">
        <f>H53</f>
        <v>0</v>
      </c>
      <c r="I52" s="805">
        <f>I53</f>
        <v>101433</v>
      </c>
    </row>
    <row r="53" spans="1:9" s="101" customFormat="1" ht="63" x14ac:dyDescent="0.25">
      <c r="A53" s="826" t="str">
        <f>IF(B53&gt;0,VLOOKUP(B53,КВСР!A33:B1198,2),IF(C53&gt;0,VLOOKUP(C53,КФСР!A33:B1545,2),IF(D53&gt;0,VLOOKUP(D53,Программа!A$1:B$5124,2),IF(F53&gt;0,VLOOKUP(F53,КВР!A$1:B$5001,2),IF(E53&gt;0,VLOOKUP(E53,Направление!A$1:B$4816,2))))))</f>
        <v xml:space="preserve">Закупка товаров, работ и услуг для обеспечения государственных (муниципальных) нужд
</v>
      </c>
      <c r="B53" s="760"/>
      <c r="C53" s="820"/>
      <c r="D53" s="760"/>
      <c r="E53" s="760"/>
      <c r="F53" s="763">
        <v>200</v>
      </c>
      <c r="G53" s="812">
        <v>101433</v>
      </c>
      <c r="H53" s="812"/>
      <c r="I53" s="805">
        <f t="shared" si="1"/>
        <v>101433</v>
      </c>
    </row>
    <row r="54" spans="1:9" s="101" customFormat="1" ht="63" x14ac:dyDescent="0.25">
      <c r="A54" s="826" t="str">
        <f>IF(B54&gt;0,VLOOKUP(B54,КВСР!A31:B1196,2),IF(C54&gt;0,VLOOKUP(C54,КФСР!A31:B1543,2),IF(D54&gt;0,VLOOKUP(D54,Программа!A$1:B$5124,2),IF(F54&gt;0,VLOOKUP(F54,КВР!A$1:B$5001,2),IF(E54&gt;0,VLOOKUP(E54,Направление!A$1:B$4816,2))))))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4" s="760"/>
      <c r="C54" s="820"/>
      <c r="D54" s="760" t="s">
        <v>328</v>
      </c>
      <c r="E54" s="760"/>
      <c r="F54" s="763"/>
      <c r="G54" s="812">
        <v>774965</v>
      </c>
      <c r="H54" s="812">
        <f t="shared" ref="H54:I55" si="11">H55</f>
        <v>0</v>
      </c>
      <c r="I54" s="805">
        <f t="shared" si="11"/>
        <v>774965</v>
      </c>
    </row>
    <row r="55" spans="1:9" s="101" customFormat="1" ht="31.5" x14ac:dyDescent="0.25">
      <c r="A55" s="826" t="str">
        <f>IF(B55&gt;0,VLOOKUP(B55,КВСР!A32:B1197,2),IF(C55&gt;0,VLOOKUP(C55,КФСР!A32:B1544,2),IF(D55&gt;0,VLOOKUP(D55,Программа!A$1:B$5124,2),IF(F55&gt;0,VLOOKUP(F55,КВР!A$1:B$5001,2),IF(E55&gt;0,VLOOKUP(E55,Направление!A$1:B$4816,2))))))</f>
        <v>Расходы на проведение мероприятий по информатизации</v>
      </c>
      <c r="B55" s="760"/>
      <c r="C55" s="820"/>
      <c r="D55" s="760"/>
      <c r="E55" s="760">
        <v>12210</v>
      </c>
      <c r="F55" s="763"/>
      <c r="G55" s="812">
        <v>774965</v>
      </c>
      <c r="H55" s="812">
        <f t="shared" si="11"/>
        <v>0</v>
      </c>
      <c r="I55" s="805">
        <f t="shared" si="11"/>
        <v>774965</v>
      </c>
    </row>
    <row r="56" spans="1:9" s="101" customFormat="1" ht="63" x14ac:dyDescent="0.25">
      <c r="A56" s="826" t="str">
        <f>IF(B56&gt;0,VLOOKUP(B56,КВСР!A33:B1198,2),IF(C56&gt;0,VLOOKUP(C56,КФСР!A33:B1545,2),IF(D56&gt;0,VLOOKUP(D56,Программа!A$1:B$5124,2),IF(F56&gt;0,VLOOKUP(F56,КВР!A$1:B$5001,2),IF(E56&gt;0,VLOOKUP(E56,Направление!A$1:B$4816,2))))))</f>
        <v xml:space="preserve">Закупка товаров, работ и услуг для обеспечения государственных (муниципальных) нужд
</v>
      </c>
      <c r="B56" s="760"/>
      <c r="C56" s="820"/>
      <c r="D56" s="760"/>
      <c r="E56" s="760"/>
      <c r="F56" s="763">
        <v>200</v>
      </c>
      <c r="G56" s="812">
        <v>774965</v>
      </c>
      <c r="H56" s="812"/>
      <c r="I56" s="805">
        <f t="shared" si="1"/>
        <v>774965</v>
      </c>
    </row>
    <row r="57" spans="1:9" s="101" customFormat="1" ht="94.5" x14ac:dyDescent="0.25">
      <c r="A57" s="826" t="str">
        <f>IF(B57&gt;0,VLOOKUP(B57,КВСР!A38:B1203,2),IF(C57&gt;0,VLOOKUP(C57,КФСР!A38:B1550,2),IF(D57&gt;0,VLOOKUP(D57,Программа!A$1:B$5124,2),IF(F57&gt;0,VLOOKUP(F57,КВР!A$1:B$5001,2),IF(E57&gt;0,VLOOKUP(E57,Направление!A$1:B$4816,2))))))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7" s="760"/>
      <c r="C57" s="820"/>
      <c r="D57" s="760" t="s">
        <v>330</v>
      </c>
      <c r="E57" s="760"/>
      <c r="F57" s="763"/>
      <c r="G57" s="812">
        <v>2024056</v>
      </c>
      <c r="H57" s="812">
        <f>H58+H67</f>
        <v>0</v>
      </c>
      <c r="I57" s="805">
        <f>I58+I67</f>
        <v>2024056</v>
      </c>
    </row>
    <row r="58" spans="1:9" s="101" customFormat="1" ht="94.5" x14ac:dyDescent="0.25">
      <c r="A58" s="826" t="str">
        <f>IF(B58&gt;0,VLOOKUP(B58,КВСР!A31:B1196,2),IF(C58&gt;0,VLOOKUP(C58,КФСР!A31:B1543,2),IF(D58&gt;0,VLOOKUP(D58,Программа!A$1:B$5124,2),IF(F58&gt;0,VLOOKUP(F58,КВР!A$1:B$5001,2),IF(E58&gt;0,VLOOKUP(E58,Направление!A$1:B$4816,2))))))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8" s="760"/>
      <c r="C58" s="820"/>
      <c r="D58" s="760" t="s">
        <v>1684</v>
      </c>
      <c r="E58" s="760"/>
      <c r="F58" s="763"/>
      <c r="G58" s="812">
        <v>2024056</v>
      </c>
      <c r="H58" s="812">
        <f>H59+H62+H65</f>
        <v>0</v>
      </c>
      <c r="I58" s="805">
        <f t="shared" ref="I58" si="12">I59+I62+I65</f>
        <v>2024056</v>
      </c>
    </row>
    <row r="59" spans="1:9" s="101" customFormat="1" ht="47.25" x14ac:dyDescent="0.25">
      <c r="A59" s="826" t="str">
        <f>IF(B59&gt;0,VLOOKUP(B59,КВСР!A32:B1197,2),IF(C59&gt;0,VLOOKUP(C59,КФСР!A32:B1544,2),IF(D59&gt;0,VLOOKUP(D59,Программа!A$1:B$5124,2),IF(F59&gt;0,VLOOKUP(F59,КВР!A$1:B$5001,2),IF(E59&gt;0,VLOOKUP(E59,Направление!A$1:B$4816,2))))))</f>
        <v>Предоставление субсидий некоммерческим организациям на конкурсной основе</v>
      </c>
      <c r="B59" s="760"/>
      <c r="C59" s="820"/>
      <c r="D59" s="760"/>
      <c r="E59" s="760">
        <v>13140</v>
      </c>
      <c r="F59" s="763"/>
      <c r="G59" s="812">
        <v>768900</v>
      </c>
      <c r="H59" s="812">
        <f t="shared" ref="H59:I59" si="13">H61+H60</f>
        <v>0</v>
      </c>
      <c r="I59" s="805">
        <f t="shared" si="13"/>
        <v>768900</v>
      </c>
    </row>
    <row r="60" spans="1:9" s="101" customFormat="1" hidden="1" x14ac:dyDescent="0.25">
      <c r="A60" s="826" t="str">
        <f>IF(B60&gt;0,VLOOKUP(B60,КВСР!A33:B1198,2),IF(C60&gt;0,VLOOKUP(C60,КФСР!A33:B1545,2),IF(D60&gt;0,VLOOKUP(D60,Программа!A$1:B$5124,2),IF(F60&gt;0,VLOOKUP(F60,КВР!A$1:B$5001,2),IF(E60&gt;0,VLOOKUP(E60,Направление!A$1:B$4816,2))))))</f>
        <v>Премии и гранты</v>
      </c>
      <c r="B60" s="760"/>
      <c r="C60" s="820"/>
      <c r="D60" s="760"/>
      <c r="E60" s="760"/>
      <c r="F60" s="763">
        <v>350</v>
      </c>
      <c r="G60" s="812">
        <v>0</v>
      </c>
      <c r="H60" s="812"/>
      <c r="I60" s="805">
        <f t="shared" si="1"/>
        <v>0</v>
      </c>
    </row>
    <row r="61" spans="1:9" s="101" customFormat="1" ht="47.25" x14ac:dyDescent="0.25">
      <c r="A61" s="826" t="str">
        <f>IF(B61&gt;0,VLOOKUP(B61,КВСР!A33:B1198,2),IF(C61&gt;0,VLOOKUP(C61,КФСР!A33:B1545,2),IF(D61&gt;0,VLOOKUP(D61,Программа!A$1:B$5124,2),IF(F61&gt;0,VLOOKUP(F61,КВР!A$1:B$5001,2),IF(E61&gt;0,VLOOKUP(E61,Направление!A$1:B$4816,2))))))</f>
        <v>Предоставление субсидий бюджетным, автономным учреждениям и иным некоммерческим организациям</v>
      </c>
      <c r="B61" s="760"/>
      <c r="C61" s="820"/>
      <c r="D61" s="760"/>
      <c r="E61" s="760"/>
      <c r="F61" s="763">
        <v>600</v>
      </c>
      <c r="G61" s="812">
        <v>768900</v>
      </c>
      <c r="H61" s="812"/>
      <c r="I61" s="805">
        <f t="shared" si="1"/>
        <v>768900</v>
      </c>
    </row>
    <row r="62" spans="1:9" s="101" customFormat="1" ht="47.25" x14ac:dyDescent="0.25">
      <c r="A62" s="826" t="str">
        <f>IF(B62&gt;0,VLOOKUP(B62,КВСР!A34:B1199,2),IF(C62&gt;0,VLOOKUP(C62,КФСР!A34:B1546,2),IF(D62&gt;0,VLOOKUP(D62,Программа!A$1:B$5124,2),IF(F62&gt;0,VLOOKUP(F62,КВР!A$1:B$5001,2),IF(E62&gt;0,VLOOKUP(E62,Направление!A$1:B$4816,2))))))</f>
        <v>Поддержки деятельности социально-ориентированных некоммерческих организаций</v>
      </c>
      <c r="B62" s="760"/>
      <c r="C62" s="820"/>
      <c r="D62" s="760"/>
      <c r="E62" s="760">
        <v>29516</v>
      </c>
      <c r="F62" s="763"/>
      <c r="G62" s="812">
        <v>700000</v>
      </c>
      <c r="H62" s="812">
        <f>H64+H63</f>
        <v>0</v>
      </c>
      <c r="I62" s="805">
        <f>I64+I63</f>
        <v>700000</v>
      </c>
    </row>
    <row r="63" spans="1:9" s="101" customFormat="1" x14ac:dyDescent="0.25">
      <c r="A63" s="826" t="str">
        <f>IF(B63&gt;0,VLOOKUP(B63,КВСР!A35:B1200,2),IF(C63&gt;0,VLOOKUP(C63,КФСР!A35:B1547,2),IF(D63&gt;0,VLOOKUP(D63,Программа!A$1:B$5124,2),IF(F63&gt;0,VLOOKUP(F63,КВР!A$1:B$5001,2),IF(E63&gt;0,VLOOKUP(E63,Направление!A$1:B$4816,2))))))</f>
        <v>Премии и гранты</v>
      </c>
      <c r="B63" s="760"/>
      <c r="C63" s="820"/>
      <c r="D63" s="760"/>
      <c r="E63" s="760"/>
      <c r="F63" s="763">
        <v>350</v>
      </c>
      <c r="G63" s="812">
        <v>150000</v>
      </c>
      <c r="H63" s="812"/>
      <c r="I63" s="805">
        <f t="shared" si="1"/>
        <v>150000</v>
      </c>
    </row>
    <row r="64" spans="1:9" s="101" customFormat="1" ht="47.25" x14ac:dyDescent="0.25">
      <c r="A64" s="826" t="str">
        <f>IF(B64&gt;0,VLOOKUP(B64,КВСР!A35:B1200,2),IF(C64&gt;0,VLOOKUP(C64,КФСР!A35:B1547,2),IF(D64&gt;0,VLOOKUP(D64,Программа!A$1:B$5124,2),IF(F64&gt;0,VLOOKUP(F64,КВР!A$1:B$5001,2),IF(E64&gt;0,VLOOKUP(E64,Направление!A$1:B$4816,2))))))</f>
        <v>Предоставление субсидий бюджетным, автономным учреждениям и иным некоммерческим организациям</v>
      </c>
      <c r="B64" s="760"/>
      <c r="C64" s="820"/>
      <c r="D64" s="760"/>
      <c r="E64" s="760"/>
      <c r="F64" s="763">
        <v>600</v>
      </c>
      <c r="G64" s="812">
        <v>550000</v>
      </c>
      <c r="H64" s="812"/>
      <c r="I64" s="805">
        <f t="shared" si="1"/>
        <v>550000</v>
      </c>
    </row>
    <row r="65" spans="1:9" s="101" customFormat="1" ht="47.25" x14ac:dyDescent="0.25">
      <c r="A65" s="826" t="str">
        <f>IF(B65&gt;0,VLOOKUP(B65,КВСР!A36:B1201,2),IF(C65&gt;0,VLOOKUP(C65,КФСР!A36:B1548,2),IF(D65&gt;0,VLOOKUP(D65,Программа!A$1:B$5124,2),IF(F65&gt;0,VLOOKUP(F65,КВР!A$1:B$5001,2),IF(E65&gt;0,VLOOKUP(E65,Направление!A$1:B$4816,2))))))</f>
        <v>Предоставление субсидий социально ориентированным некоммерческим организациям на конкурсной основе</v>
      </c>
      <c r="B65" s="760"/>
      <c r="C65" s="820"/>
      <c r="D65" s="760"/>
      <c r="E65" s="760">
        <v>73140</v>
      </c>
      <c r="F65" s="763"/>
      <c r="G65" s="812">
        <v>555156</v>
      </c>
      <c r="H65" s="812">
        <f t="shared" ref="H65:I65" si="14">H66</f>
        <v>0</v>
      </c>
      <c r="I65" s="805">
        <f t="shared" si="14"/>
        <v>555156</v>
      </c>
    </row>
    <row r="66" spans="1:9" s="101" customFormat="1" ht="47.25" x14ac:dyDescent="0.25">
      <c r="A66" s="826" t="str">
        <f>IF(B66&gt;0,VLOOKUP(B66,КВСР!A37:B1202,2),IF(C66&gt;0,VLOOKUP(C66,КФСР!A37:B1549,2),IF(D66&gt;0,VLOOKUP(D66,Программа!A$1:B$5124,2),IF(F66&gt;0,VLOOKUP(F66,КВР!A$1:B$5001,2),IF(E66&gt;0,VLOOKUP(E66,Направление!A$1:B$4816,2))))))</f>
        <v>Предоставление субсидий бюджетным, автономным учреждениям и иным некоммерческим организациям</v>
      </c>
      <c r="B66" s="760"/>
      <c r="C66" s="820"/>
      <c r="D66" s="760"/>
      <c r="E66" s="760"/>
      <c r="F66" s="763">
        <v>600</v>
      </c>
      <c r="G66" s="812">
        <v>555156</v>
      </c>
      <c r="H66" s="812"/>
      <c r="I66" s="805">
        <f>G66+H66</f>
        <v>555156</v>
      </c>
    </row>
    <row r="67" spans="1:9" s="101" customFormat="1" ht="94.5" hidden="1" x14ac:dyDescent="0.25">
      <c r="A67" s="826" t="str">
        <f>IF(B67&gt;0,VLOOKUP(B67,КВСР!A34:B1199,2),IF(C67&gt;0,VLOOKUP(C67,КФСР!A34:B1546,2),IF(D67&gt;0,VLOOKUP(D67,Программа!A$1:B$5124,2),IF(F67&gt;0,VLOOKUP(F67,КВР!A$1:B$5001,2),IF(E67&gt;0,VLOOKUP(E67,Направление!A$1:B$4816,2))))))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7" s="760"/>
      <c r="C67" s="820"/>
      <c r="D67" s="760" t="s">
        <v>616</v>
      </c>
      <c r="E67" s="760"/>
      <c r="F67" s="763"/>
      <c r="G67" s="812">
        <v>0</v>
      </c>
      <c r="H67" s="812">
        <f t="shared" ref="H67:I67" si="15">H68</f>
        <v>0</v>
      </c>
      <c r="I67" s="806">
        <f t="shared" si="15"/>
        <v>0</v>
      </c>
    </row>
    <row r="68" spans="1:9" s="101" customFormat="1" ht="47.25" hidden="1" x14ac:dyDescent="0.25">
      <c r="A68" s="826" t="str">
        <f>IF(B68&gt;0,VLOOKUP(B68,КВСР!A34:B1199,2),IF(C68&gt;0,VLOOKUP(C68,КФСР!A34:B1546,2),IF(D68&gt;0,VLOOKUP(D68,Программа!A$1:B$5124,2),IF(F68&gt;0,VLOOKUP(F68,КВР!A$1:B$5001,2),IF(E68&gt;0,VLOOKUP(E68,Направление!A$1:B$4816,2))))))</f>
        <v>Расходы на поддержку общественного самоуправления и некоммерческих организаций</v>
      </c>
      <c r="B68" s="760"/>
      <c r="C68" s="820"/>
      <c r="D68" s="760"/>
      <c r="E68" s="760">
        <v>12240</v>
      </c>
      <c r="F68" s="763"/>
      <c r="G68" s="812">
        <v>0</v>
      </c>
      <c r="H68" s="812">
        <f t="shared" ref="H68:I68" si="16">H69</f>
        <v>0</v>
      </c>
      <c r="I68" s="806">
        <f t="shared" si="16"/>
        <v>0</v>
      </c>
    </row>
    <row r="69" spans="1:9" s="101" customFormat="1" ht="63" hidden="1" x14ac:dyDescent="0.25">
      <c r="A69" s="826" t="str">
        <f>IF(B69&gt;0,VLOOKUP(B69,КВСР!A35:B1200,2),IF(C69&gt;0,VLOOKUP(C69,КФСР!A35:B1547,2),IF(D69&gt;0,VLOOKUP(D69,Программа!A$1:B$5124,2),IF(F69&gt;0,VLOOKUP(F69,КВР!A$1:B$5001,2),IF(E69&gt;0,VLOOKUP(E69,Направление!A$1:B$4816,2))))))</f>
        <v xml:space="preserve">Закупка товаров, работ и услуг для обеспечения государственных (муниципальных) нужд
</v>
      </c>
      <c r="B69" s="760"/>
      <c r="C69" s="820"/>
      <c r="D69" s="760"/>
      <c r="E69" s="760"/>
      <c r="F69" s="763">
        <v>200</v>
      </c>
      <c r="G69" s="812">
        <v>0</v>
      </c>
      <c r="H69" s="812"/>
      <c r="I69" s="805">
        <f>G69+H69</f>
        <v>0</v>
      </c>
    </row>
    <row r="70" spans="1:9" s="101" customFormat="1" ht="63" x14ac:dyDescent="0.25">
      <c r="A70" s="826" t="str">
        <f>IF(B70&gt;0,VLOOKUP(B70,КВСР!A34:B1199,2),IF(C70&gt;0,VLOOKUP(C70,КФСР!A34:B1546,2),IF(D70&gt;0,VLOOKUP(D70,Программа!A$1:B$5124,2),IF(F70&gt;0,VLOOKUP(F70,КВР!A$1:B$5001,2),IF(E70&gt;0,VLOOKUP(E70,Направление!A$1:B$4816,2))))))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760"/>
      <c r="C70" s="820"/>
      <c r="D70" s="760" t="s">
        <v>426</v>
      </c>
      <c r="E70" s="760"/>
      <c r="F70" s="763"/>
      <c r="G70" s="812">
        <v>109200</v>
      </c>
      <c r="H70" s="812">
        <f>H71</f>
        <v>-291</v>
      </c>
      <c r="I70" s="805">
        <f t="shared" si="1"/>
        <v>108909</v>
      </c>
    </row>
    <row r="71" spans="1:9" s="101" customFormat="1" ht="31.5" x14ac:dyDescent="0.25">
      <c r="A71" s="826" t="str">
        <f>IF(B71&gt;0,VLOOKUP(B71,КВСР!A35:B1200,2),IF(C71&gt;0,VLOOKUP(C71,КФСР!A35:B1547,2),IF(D71&gt;0,VLOOKUP(D71,Программа!A$1:B$5124,2),IF(F71&gt;0,VLOOKUP(F71,КВР!A$1:B$5001,2),IF(E71&gt;0,VLOOKUP(E71,Направление!A$1:B$4816,2))))))</f>
        <v>Воспрепятствование проявлениям терроризма и экстремизма</v>
      </c>
      <c r="B71" s="760"/>
      <c r="C71" s="820"/>
      <c r="D71" s="760" t="s">
        <v>1778</v>
      </c>
      <c r="E71" s="760"/>
      <c r="F71" s="763"/>
      <c r="G71" s="812">
        <v>109200</v>
      </c>
      <c r="H71" s="812">
        <f>H72</f>
        <v>-291</v>
      </c>
      <c r="I71" s="805">
        <f t="shared" si="1"/>
        <v>108909</v>
      </c>
    </row>
    <row r="72" spans="1:9" s="101" customFormat="1" ht="31.5" x14ac:dyDescent="0.25">
      <c r="A72" s="826" t="str">
        <f>IF(B72&gt;0,VLOOKUP(B72,КВСР!A36:B1201,2),IF(C72&gt;0,VLOOKUP(C72,КФСР!A36:B1548,2),IF(D72&gt;0,VLOOKUP(D72,Программа!A$1:B$5124,2),IF(F72&gt;0,VLOOKUP(F72,КВР!A$1:B$5001,2),IF(E72&gt;0,VLOOKUP(E72,Направление!A$1:B$4816,2))))))</f>
        <v>Обеспечение мероприятий по безопасности жителей города</v>
      </c>
      <c r="B72" s="760"/>
      <c r="C72" s="820"/>
      <c r="D72" s="760"/>
      <c r="E72" s="760">
        <v>29766</v>
      </c>
      <c r="F72" s="763"/>
      <c r="G72" s="812">
        <v>109200</v>
      </c>
      <c r="H72" s="812">
        <f>H73+H74</f>
        <v>-291</v>
      </c>
      <c r="I72" s="805">
        <f t="shared" si="1"/>
        <v>108909</v>
      </c>
    </row>
    <row r="73" spans="1:9" s="101" customFormat="1" ht="63" x14ac:dyDescent="0.25">
      <c r="A73" s="826" t="str">
        <f>IF(B73&gt;0,VLOOKUP(B73,КВСР!A37:B1202,2),IF(C73&gt;0,VLOOKUP(C73,КФСР!A37:B1549,2),IF(D73&gt;0,VLOOKUP(D73,Программа!A$1:B$5124,2),IF(F73&gt;0,VLOOKUP(F73,КВР!A$1:B$5001,2),IF(E73&gt;0,VLOOKUP(E73,Направление!A$1:B$4816,2))))))</f>
        <v xml:space="preserve">Закупка товаров, работ и услуг для обеспечения государственных (муниципальных) нужд
</v>
      </c>
      <c r="B73" s="760"/>
      <c r="C73" s="820"/>
      <c r="D73" s="760"/>
      <c r="E73" s="760"/>
      <c r="F73" s="763">
        <v>200</v>
      </c>
      <c r="G73" s="812">
        <v>109200</v>
      </c>
      <c r="H73" s="812">
        <v>-291</v>
      </c>
      <c r="I73" s="805">
        <f t="shared" si="1"/>
        <v>108909</v>
      </c>
    </row>
    <row r="74" spans="1:9" s="101" customFormat="1" hidden="1" x14ac:dyDescent="0.25">
      <c r="A74" s="826" t="str">
        <f>IF(B74&gt;0,VLOOKUP(B74,КВСР!A37:B1202,2),IF(C74&gt;0,VLOOKUP(C74,КФСР!A37:B1549,2),IF(D74&gt;0,VLOOKUP(D74,Программа!A$1:B$5124,2),IF(F74&gt;0,VLOOKUP(F74,КВР!A$1:B$5001,2),IF(E74&gt;0,VLOOKUP(E74,Направление!A$1:B$4816,2))))))</f>
        <v>Иные бюджетные ассигнования</v>
      </c>
      <c r="B74" s="760"/>
      <c r="C74" s="820"/>
      <c r="D74" s="760"/>
      <c r="E74" s="760"/>
      <c r="F74" s="763">
        <v>800</v>
      </c>
      <c r="G74" s="812">
        <v>0</v>
      </c>
      <c r="H74" s="812"/>
      <c r="I74" s="805">
        <f t="shared" si="1"/>
        <v>0</v>
      </c>
    </row>
    <row r="75" spans="1:9" s="101" customFormat="1" ht="47.25" hidden="1" x14ac:dyDescent="0.25">
      <c r="A75" s="826" t="str">
        <f>IF(B75&gt;0,VLOOKUP(B75,КВСР!A38:B1203,2),IF(C75&gt;0,VLOOKUP(C75,КФСР!A38:B1550,2),IF(D75&gt;0,VLOOKUP(D75,Программа!A$1:B$5124,2),IF(F75&gt;0,VLOOKUP(F75,КВР!A$1:B$5001,2),IF(E75&gt;0,VLOOKUP(E75,Направление!A$1:B$4816,2))))))</f>
        <v>Муниципальная программа "Обеспечение муниципальных закупок в Тутаевском муниципальном районе"</v>
      </c>
      <c r="B75" s="760"/>
      <c r="C75" s="820"/>
      <c r="D75" s="760" t="s">
        <v>1038</v>
      </c>
      <c r="E75" s="760"/>
      <c r="F75" s="763"/>
      <c r="G75" s="812">
        <v>0</v>
      </c>
      <c r="H75" s="812">
        <f t="shared" ref="H75:H77" si="17">H76</f>
        <v>0</v>
      </c>
      <c r="I75" s="805">
        <f>I76</f>
        <v>0</v>
      </c>
    </row>
    <row r="76" spans="1:9" s="101" customFormat="1" ht="63" hidden="1" x14ac:dyDescent="0.25">
      <c r="A76" s="826" t="str">
        <f>IF(B76&gt;0,VLOOKUP(B76,КВСР!A39:B1204,2),IF(C76&gt;0,VLOOKUP(C76,КФСР!A39:B1551,2),IF(D76&gt;0,VLOOKUP(D76,Программа!A$1:B$5124,2),IF(F76&gt;0,VLOOKUP(F76,КВР!A$1:B$5001,2),IF(E76&gt;0,VLOOKUP(E76,Направление!A$1:B$4816,2))))))</f>
        <v>Организация системы подготовки, планирования, информационного сопровождения и осуществления муниципальных закупок</v>
      </c>
      <c r="B76" s="760"/>
      <c r="C76" s="820"/>
      <c r="D76" s="760" t="s">
        <v>1040</v>
      </c>
      <c r="E76" s="760"/>
      <c r="F76" s="763"/>
      <c r="G76" s="812">
        <v>0</v>
      </c>
      <c r="H76" s="812">
        <f t="shared" si="17"/>
        <v>0</v>
      </c>
      <c r="I76" s="805">
        <f>I77</f>
        <v>0</v>
      </c>
    </row>
    <row r="77" spans="1:9" s="101" customFormat="1" ht="47.25" hidden="1" x14ac:dyDescent="0.25">
      <c r="A77" s="826" t="str">
        <f>IF(B77&gt;0,VLOOKUP(B77,КВСР!A40:B1205,2),IF(C77&gt;0,VLOOKUP(C77,КФСР!A40:B1552,2),IF(D77&gt;0,VLOOKUP(D77,Программа!A$1:B$5124,2),IF(F77&gt;0,VLOOKUP(F77,КВР!A$1:B$5001,2),IF(E77&gt;0,VLOOKUP(E77,Направление!A$1:B$4816,2))))))</f>
        <v>Субсидия на реализацию мероприятий по информационному обеспечению муниципальных закупок</v>
      </c>
      <c r="B77" s="760"/>
      <c r="C77" s="820"/>
      <c r="D77" s="760"/>
      <c r="E77" s="760" t="s">
        <v>1158</v>
      </c>
      <c r="F77" s="763"/>
      <c r="G77" s="812">
        <v>0</v>
      </c>
      <c r="H77" s="812">
        <f t="shared" si="17"/>
        <v>0</v>
      </c>
      <c r="I77" s="805">
        <f>I78</f>
        <v>0</v>
      </c>
    </row>
    <row r="78" spans="1:9" s="101" customFormat="1" ht="63" hidden="1" x14ac:dyDescent="0.25">
      <c r="A78" s="826" t="str">
        <f>IF(B78&gt;0,VLOOKUP(B78,КВСР!A41:B1206,2),IF(C78&gt;0,VLOOKUP(C78,КФСР!A41:B1553,2),IF(D78&gt;0,VLOOKUP(D78,Программа!A$1:B$5124,2),IF(F78&gt;0,VLOOKUP(F78,КВР!A$1:B$5001,2),IF(E78&gt;0,VLOOKUP(E78,Направление!A$1:B$4816,2))))))</f>
        <v xml:space="preserve">Закупка товаров, работ и услуг для обеспечения государственных (муниципальных) нужд
</v>
      </c>
      <c r="B78" s="760"/>
      <c r="C78" s="820"/>
      <c r="D78" s="760"/>
      <c r="E78" s="760"/>
      <c r="F78" s="763">
        <v>200</v>
      </c>
      <c r="G78" s="812">
        <v>0</v>
      </c>
      <c r="H78" s="812"/>
      <c r="I78" s="805">
        <f>G78+H78</f>
        <v>0</v>
      </c>
    </row>
    <row r="79" spans="1:9" s="101" customFormat="1" ht="78.75" x14ac:dyDescent="0.25">
      <c r="A79" s="826" t="str">
        <f>IF(B79&gt;0,VLOOKUP(B79,КВСР!A34:B1199,2),IF(C79&gt;0,VLOOKUP(C79,КФСР!A34:B1546,2),IF(D79&gt;0,VLOOKUP(D79,Программа!A$1:B$5124,2),IF(F79&gt;0,VLOOKUP(F79,КВР!A$1:B$5001,2),IF(E79&gt;0,VLOOKUP(E79,Направление!A$1:B$4816,2))))))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760"/>
      <c r="C79" s="820"/>
      <c r="D79" s="760" t="s">
        <v>1136</v>
      </c>
      <c r="E79" s="760"/>
      <c r="F79" s="763"/>
      <c r="G79" s="812">
        <v>281883</v>
      </c>
      <c r="H79" s="812">
        <f t="shared" ref="H79:I79" si="18">H80</f>
        <v>0</v>
      </c>
      <c r="I79" s="805">
        <f t="shared" si="18"/>
        <v>281883</v>
      </c>
    </row>
    <row r="80" spans="1:9" s="101" customFormat="1" ht="31.5" x14ac:dyDescent="0.25">
      <c r="A80" s="826" t="str">
        <f>IF(B80&gt;0,VLOOKUP(B80,КВСР!A35:B1200,2),IF(C80&gt;0,VLOOKUP(C80,КФСР!A35:B1547,2),IF(D80&gt;0,VLOOKUP(D80,Программа!A$1:B$5124,2),IF(F80&gt;0,VLOOKUP(F80,КВР!A$1:B$5001,2),IF(E80&gt;0,VLOOKUP(E80,Направление!A$1:B$4816,2))))))</f>
        <v>Мероприятия по обеспечению безопасности жителей района</v>
      </c>
      <c r="B80" s="760"/>
      <c r="C80" s="820"/>
      <c r="D80" s="760" t="s">
        <v>1137</v>
      </c>
      <c r="E80" s="760"/>
      <c r="F80" s="763"/>
      <c r="G80" s="812">
        <v>281883</v>
      </c>
      <c r="H80" s="812">
        <f t="shared" ref="H80" si="19">H81+H83</f>
        <v>0</v>
      </c>
      <c r="I80" s="805">
        <f t="shared" ref="I80" si="20">I81+I83</f>
        <v>281883</v>
      </c>
    </row>
    <row r="81" spans="1:9" s="101" customFormat="1" ht="31.5" x14ac:dyDescent="0.25">
      <c r="A81" s="826" t="str">
        <f>IF(B81&gt;0,VLOOKUP(B81,КВСР!A36:B1201,2),IF(C81&gt;0,VLOOKUP(C81,КФСР!A36:B1548,2),IF(D81&gt;0,VLOOKUP(D81,Программа!A$1:B$5124,2),IF(F81&gt;0,VLOOKUP(F81,КВР!A$1:B$5001,2),IF(E81&gt;0,VLOOKUP(E81,Направление!A$1:B$4816,2))))))</f>
        <v>Расходы на обеспечение безопасности жителей района</v>
      </c>
      <c r="B81" s="760"/>
      <c r="C81" s="820"/>
      <c r="D81" s="760"/>
      <c r="E81" s="760">
        <v>12270</v>
      </c>
      <c r="F81" s="763"/>
      <c r="G81" s="812">
        <v>30000</v>
      </c>
      <c r="H81" s="812">
        <f>H82</f>
        <v>0</v>
      </c>
      <c r="I81" s="805">
        <f>I82</f>
        <v>30000</v>
      </c>
    </row>
    <row r="82" spans="1:9" s="101" customFormat="1" ht="63" x14ac:dyDescent="0.25">
      <c r="A82" s="826" t="str">
        <f>IF(B82&gt;0,VLOOKUP(B82,КВСР!A37:B1202,2),IF(C82&gt;0,VLOOKUP(C82,КФСР!A37:B1549,2),IF(D82&gt;0,VLOOKUP(D82,Программа!A$1:B$5124,2),IF(F82&gt;0,VLOOKUP(F82,КВР!A$1:B$5001,2),IF(E82&gt;0,VLOOKUP(E82,Направление!A$1:B$4816,2))))))</f>
        <v xml:space="preserve">Закупка товаров, работ и услуг для обеспечения государственных (муниципальных) нужд
</v>
      </c>
      <c r="B82" s="760"/>
      <c r="C82" s="820"/>
      <c r="D82" s="760"/>
      <c r="E82" s="760"/>
      <c r="F82" s="763">
        <v>200</v>
      </c>
      <c r="G82" s="812">
        <v>30000</v>
      </c>
      <c r="H82" s="812"/>
      <c r="I82" s="805">
        <f t="shared" si="1"/>
        <v>30000</v>
      </c>
    </row>
    <row r="83" spans="1:9" s="101" customFormat="1" ht="31.5" x14ac:dyDescent="0.25">
      <c r="A83" s="826" t="str">
        <f>IF(B83&gt;0,VLOOKUP(B83,КВСР!A38:B1203,2),IF(C83&gt;0,VLOOKUP(C83,КФСР!A38:B1550,2),IF(D83&gt;0,VLOOKUP(D83,Программа!A$1:B$5124,2),IF(F83&gt;0,VLOOKUP(F83,КВР!A$1:B$5001,2),IF(E83&gt;0,VLOOKUP(E83,Направление!A$1:B$4816,2))))))</f>
        <v>Обеспечение мероприятий по безопасности жителей города</v>
      </c>
      <c r="B83" s="760"/>
      <c r="C83" s="820"/>
      <c r="D83" s="760"/>
      <c r="E83" s="760">
        <v>29766</v>
      </c>
      <c r="F83" s="763"/>
      <c r="G83" s="812">
        <v>251883</v>
      </c>
      <c r="H83" s="812">
        <f t="shared" ref="H83:I83" si="21">H84</f>
        <v>0</v>
      </c>
      <c r="I83" s="805">
        <f t="shared" si="21"/>
        <v>251883</v>
      </c>
    </row>
    <row r="84" spans="1:9" s="101" customFormat="1" ht="63" x14ac:dyDescent="0.25">
      <c r="A84" s="826" t="str">
        <f>IF(B84&gt;0,VLOOKUP(B84,КВСР!A39:B1204,2),IF(C84&gt;0,VLOOKUP(C84,КФСР!A39:B1551,2),IF(D84&gt;0,VLOOKUP(D84,Программа!A$1:B$5124,2),IF(F84&gt;0,VLOOKUP(F84,КВР!A$1:B$5001,2),IF(E84&gt;0,VLOOKUP(E84,Направление!A$1:B$4816,2))))))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760"/>
      <c r="C84" s="820"/>
      <c r="D84" s="760"/>
      <c r="E84" s="760"/>
      <c r="F84" s="763">
        <v>200</v>
      </c>
      <c r="G84" s="812">
        <v>251883</v>
      </c>
      <c r="H84" s="812">
        <v>0</v>
      </c>
      <c r="I84" s="805">
        <f>G84+H84</f>
        <v>251883</v>
      </c>
    </row>
    <row r="85" spans="1:9" s="101" customFormat="1" ht="78.75" hidden="1" x14ac:dyDescent="0.25">
      <c r="A85" s="826" t="str">
        <f>IF(B85&gt;0,VLOOKUP(B85,КВСР!A38:B1203,2),IF(C85&gt;0,VLOOKUP(C85,КФСР!A38:B1550,2),IF(D85&gt;0,VLOOKUP(D85,Программа!A$1:B$5124,2),IF(F85&gt;0,VLOOKUP(F85,КВР!A$1:B$5001,2),IF(E85&gt;0,VLOOKUP(E85,Направление!A$1:B$4816,2))))))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760"/>
      <c r="C85" s="820"/>
      <c r="D85" s="760" t="s">
        <v>1188</v>
      </c>
      <c r="E85" s="760"/>
      <c r="F85" s="763"/>
      <c r="G85" s="812">
        <v>0</v>
      </c>
      <c r="H85" s="812">
        <f t="shared" ref="H85:I87" si="22">H86</f>
        <v>0</v>
      </c>
      <c r="I85" s="805">
        <f t="shared" si="22"/>
        <v>0</v>
      </c>
    </row>
    <row r="86" spans="1:9" s="101" customFormat="1" ht="47.25" hidden="1" x14ac:dyDescent="0.25">
      <c r="A86" s="826" t="str">
        <f>IF(B86&gt;0,VLOOKUP(B86,КВСР!A39:B1204,2),IF(C86&gt;0,VLOOKUP(C86,КФСР!A39:B1551,2),IF(D86&gt;0,VLOOKUP(D86,Программа!A$1:B$5124,2),IF(F86&gt;0,VLOOKUP(F86,КВР!A$1:B$5001,2),IF(E86&gt;0,VLOOKUP(E86,Направление!A$1:B$4816,2))))))</f>
        <v>Проведение историко-культурной экспертизы объектов культурного наследия</v>
      </c>
      <c r="B86" s="760"/>
      <c r="C86" s="820"/>
      <c r="D86" s="760" t="s">
        <v>1192</v>
      </c>
      <c r="E86" s="760"/>
      <c r="F86" s="763"/>
      <c r="G86" s="812">
        <v>0</v>
      </c>
      <c r="H86" s="812">
        <f t="shared" si="22"/>
        <v>0</v>
      </c>
      <c r="I86" s="805">
        <f t="shared" si="22"/>
        <v>0</v>
      </c>
    </row>
    <row r="87" spans="1:9" s="101" customFormat="1" ht="31.5" hidden="1" x14ac:dyDescent="0.25">
      <c r="A87" s="826" t="str">
        <f>IF(B87&gt;0,VLOOKUP(B87,КВСР!A40:B1205,2),IF(C87&gt;0,VLOOKUP(C87,КФСР!A40:B1552,2),IF(D87&gt;0,VLOOKUP(D87,Программа!A$1:B$5124,2),IF(F87&gt;0,VLOOKUP(F87,КВР!A$1:B$5001,2),IF(E87&gt;0,VLOOKUP(E87,Направление!A$1:B$4816,2))))))</f>
        <v>Выполнение других обязательств органов местного самоуправления</v>
      </c>
      <c r="B87" s="760"/>
      <c r="C87" s="820"/>
      <c r="D87" s="760"/>
      <c r="E87" s="760">
        <v>12080</v>
      </c>
      <c r="F87" s="763"/>
      <c r="G87" s="812">
        <v>0</v>
      </c>
      <c r="H87" s="812">
        <f t="shared" si="22"/>
        <v>0</v>
      </c>
      <c r="I87" s="805">
        <f t="shared" si="22"/>
        <v>0</v>
      </c>
    </row>
    <row r="88" spans="1:9" s="101" customFormat="1" ht="63" hidden="1" x14ac:dyDescent="0.25">
      <c r="A88" s="826" t="str">
        <f>IF(B88&gt;0,VLOOKUP(B88,КВСР!A41:B1206,2),IF(C88&gt;0,VLOOKUP(C88,КФСР!A41:B1553,2),IF(D88&gt;0,VLOOKUP(D88,Программа!A$1:B$5124,2),IF(F88&gt;0,VLOOKUP(F88,КВР!A$1:B$5001,2),IF(E88&gt;0,VLOOKUP(E88,Направление!A$1:B$4816,2))))))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760"/>
      <c r="C88" s="820"/>
      <c r="D88" s="760"/>
      <c r="E88" s="760"/>
      <c r="F88" s="763">
        <v>200</v>
      </c>
      <c r="G88" s="812">
        <v>0</v>
      </c>
      <c r="H88" s="812"/>
      <c r="I88" s="805">
        <f>G88+H88</f>
        <v>0</v>
      </c>
    </row>
    <row r="89" spans="1:9" s="101" customFormat="1" x14ac:dyDescent="0.25">
      <c r="A89" s="826" t="str">
        <f>IF(B89&gt;0,VLOOKUP(B89,КВСР!A26:B1191,2),IF(C89&gt;0,VLOOKUP(C89,КФСР!A26:B1538,2),IF(D89&gt;0,VLOOKUP(D89,Программа!A$1:B$5124,2),IF(F89&gt;0,VLOOKUP(F89,КВР!A$1:B$5001,2),IF(E89&gt;0,VLOOKUP(E89,Направление!A$1:B$4816,2))))))</f>
        <v>Непрограммные расходы бюджета</v>
      </c>
      <c r="B89" s="760"/>
      <c r="C89" s="820"/>
      <c r="D89" s="760" t="s">
        <v>311</v>
      </c>
      <c r="E89" s="760"/>
      <c r="F89" s="763"/>
      <c r="G89" s="812">
        <v>78777364.620000005</v>
      </c>
      <c r="H89" s="812">
        <f>H121+H124+H115+H92+H96+H105+H102+H109+H111+H113+H118+H90+H107</f>
        <v>823761.79999999981</v>
      </c>
      <c r="I89" s="805">
        <f>I121+I124+I115+I92+I96+I105+I102+I109+I111+I113+I118+I90+I107</f>
        <v>79601126.420000002</v>
      </c>
    </row>
    <row r="90" spans="1:9" s="101" customFormat="1" x14ac:dyDescent="0.25">
      <c r="A90" s="826" t="str">
        <f>IF(B90&gt;0,VLOOKUP(B90,КВСР!A27:B1192,2),IF(C90&gt;0,VLOOKUP(C90,КФСР!A27:B1539,2),IF(D90&gt;0,VLOOKUP(D90,Программа!A$1:B$5124,2),IF(F90&gt;0,VLOOKUP(F90,КВР!A$1:B$5001,2),IF(E90&gt;0,VLOOKUP(E90,Направление!A$1:B$4816,2))))))</f>
        <v>Содержание центрального аппарата</v>
      </c>
      <c r="B90" s="760"/>
      <c r="C90" s="820"/>
      <c r="D90" s="760"/>
      <c r="E90" s="760">
        <v>12010</v>
      </c>
      <c r="F90" s="763"/>
      <c r="G90" s="812">
        <v>1923426</v>
      </c>
      <c r="H90" s="812">
        <f>H91</f>
        <v>488577</v>
      </c>
      <c r="I90" s="805">
        <f>I91</f>
        <v>2412003</v>
      </c>
    </row>
    <row r="91" spans="1:9" s="101" customFormat="1" ht="110.25" x14ac:dyDescent="0.25">
      <c r="A91" s="826" t="str">
        <f>IF(B91&gt;0,VLOOKUP(B91,КВСР!A28:B1193,2),IF(C91&gt;0,VLOOKUP(C91,КФСР!A28:B1540,2),IF(D91&gt;0,VLOOKUP(D91,Программа!A$1:B$5124,2),IF(F91&gt;0,VLOOKUP(F91,КВР!A$1:B$5001,2),IF(E91&gt;0,VLOOKUP(E91,Направление!A$1:B$4816,2))))))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760"/>
      <c r="C91" s="820"/>
      <c r="D91" s="760"/>
      <c r="E91" s="760"/>
      <c r="F91" s="763">
        <v>100</v>
      </c>
      <c r="G91" s="812">
        <v>1923426</v>
      </c>
      <c r="H91" s="812">
        <f>394006+94571</f>
        <v>488577</v>
      </c>
      <c r="I91" s="805">
        <f>G91+H91</f>
        <v>2412003</v>
      </c>
    </row>
    <row r="92" spans="1:9" s="101" customFormat="1" ht="31.5" x14ac:dyDescent="0.25">
      <c r="A92" s="826" t="str">
        <f>IF(B92&gt;0,VLOOKUP(B92,КВСР!A27:B1192,2),IF(C92&gt;0,VLOOKUP(C92,КФСР!A27:B1539,2),IF(D92&gt;0,VLOOKUP(D92,Программа!A$1:B$5124,2),IF(F92&gt;0,VLOOKUP(F92,КВР!A$1:B$5001,2),IF(E92&gt;0,VLOOKUP(E92,Направление!A$1:B$4816,2))))))</f>
        <v>Выполнение других обязательств органов местного самоуправления</v>
      </c>
      <c r="B92" s="760"/>
      <c r="C92" s="820"/>
      <c r="D92" s="760"/>
      <c r="E92" s="760">
        <v>12080</v>
      </c>
      <c r="F92" s="763"/>
      <c r="G92" s="812">
        <v>18793341.32</v>
      </c>
      <c r="H92" s="812">
        <f>H93+H95+H94</f>
        <v>153595.79999999981</v>
      </c>
      <c r="I92" s="805">
        <f>I93+I95+I94</f>
        <v>18946937.119999997</v>
      </c>
    </row>
    <row r="93" spans="1:9" s="101" customFormat="1" ht="63" x14ac:dyDescent="0.25">
      <c r="A93" s="826" t="str">
        <f>IF(B93&gt;0,VLOOKUP(B93,КВСР!A28:B1193,2),IF(C93&gt;0,VLOOKUP(C93,КФСР!A28:B1540,2),IF(D93&gt;0,VLOOKUP(D93,Программа!A$1:B$5124,2),IF(F93&gt;0,VLOOKUP(F93,КВР!A$1:B$5001,2),IF(E93&gt;0,VLOOKUP(E93,Направление!A$1:B$4816,2))))))</f>
        <v xml:space="preserve">Закупка товаров, работ и услуг для обеспечения государственных (муниципальных) нужд
</v>
      </c>
      <c r="B93" s="760"/>
      <c r="C93" s="820"/>
      <c r="D93" s="760"/>
      <c r="E93" s="760"/>
      <c r="F93" s="763">
        <v>200</v>
      </c>
      <c r="G93" s="812">
        <v>11067079.42</v>
      </c>
      <c r="H93" s="812">
        <f>1144145-407+1259379+12120+38359-0.2</f>
        <v>2453595.7999999998</v>
      </c>
      <c r="I93" s="805">
        <f>SUM(G93:H93)</f>
        <v>13520675.219999999</v>
      </c>
    </row>
    <row r="94" spans="1:9" s="101" customFormat="1" ht="47.25" x14ac:dyDescent="0.25">
      <c r="A94" s="826" t="str">
        <f>IF(B94&gt;0,VLOOKUP(B94,КВСР!A29:B1194,2),IF(C94&gt;0,VLOOKUP(C94,КФСР!A29:B1541,2),IF(D94&gt;0,VLOOKUP(D94,Программа!A$1:B$5124,2),IF(F94&gt;0,VLOOKUP(F94,КВР!A$1:B$5001,2),IF(E94&gt;0,VLOOKUP(E94,Направление!A$1:B$4816,2))))))</f>
        <v>Капитальные вложения в объекты государственной (муниципальной) собственности</v>
      </c>
      <c r="B94" s="760"/>
      <c r="C94" s="820"/>
      <c r="D94" s="760"/>
      <c r="E94" s="760"/>
      <c r="F94" s="763">
        <v>400</v>
      </c>
      <c r="G94" s="812">
        <v>5426261.9000000004</v>
      </c>
      <c r="H94" s="812"/>
      <c r="I94" s="805">
        <f t="shared" si="1"/>
        <v>5426261.9000000004</v>
      </c>
    </row>
    <row r="95" spans="1:9" s="101" customFormat="1" hidden="1" x14ac:dyDescent="0.25">
      <c r="A95" s="826" t="str">
        <f>IF(B95&gt;0,VLOOKUP(B95,КВСР!A30:B1195,2),IF(C95&gt;0,VLOOKUP(C95,КФСР!A30:B1542,2),IF(D95&gt;0,VLOOKUP(D95,Программа!A$1:B$5124,2),IF(F95&gt;0,VLOOKUP(F95,КВР!A$1:B$5001,2),IF(E95&gt;0,VLOOKUP(E95,Направление!A$1:B$4816,2))))))</f>
        <v>Иные бюджетные ассигнования</v>
      </c>
      <c r="B95" s="760"/>
      <c r="C95" s="820"/>
      <c r="D95" s="760"/>
      <c r="E95" s="760"/>
      <c r="F95" s="763">
        <v>800</v>
      </c>
      <c r="G95" s="812">
        <v>2300000</v>
      </c>
      <c r="H95" s="812">
        <v>-2300000</v>
      </c>
      <c r="I95" s="805">
        <f t="shared" si="1"/>
        <v>0</v>
      </c>
    </row>
    <row r="96" spans="1:9" s="101" customFormat="1" ht="47.25" x14ac:dyDescent="0.25">
      <c r="A96" s="826" t="str">
        <f>IF(B96&gt;0,VLOOKUP(B96,КВСР!A29:B1194,2),IF(C96&gt;0,VLOOKUP(C96,КФСР!A29:B1541,2),IF(D96&gt;0,VLOOKUP(D96,Программа!A$1:B$5124,2),IF(F96&gt;0,VLOOKUP(F96,КВР!A$1:B$5001,2),IF(E96&gt;0,VLOOKUP(E96,Направление!A$1:B$4816,2))))))</f>
        <v>Обеспечение деятельности подведомственных учреждений органов местного самоуправления</v>
      </c>
      <c r="B96" s="760"/>
      <c r="C96" s="820"/>
      <c r="D96" s="760"/>
      <c r="E96" s="760">
        <v>12100</v>
      </c>
      <c r="F96" s="763"/>
      <c r="G96" s="812">
        <v>41636759.300000004</v>
      </c>
      <c r="H96" s="812">
        <f>H97+H98+H101+H100+H99</f>
        <v>111140</v>
      </c>
      <c r="I96" s="805">
        <f>I97+I98+I101+I100+I99</f>
        <v>41747899.300000004</v>
      </c>
    </row>
    <row r="97" spans="1:9" s="101" customFormat="1" ht="110.25" x14ac:dyDescent="0.25">
      <c r="A97" s="826" t="str">
        <f>IF(B97&gt;0,VLOOKUP(B97,КВСР!A28:B1193,2),IF(C97&gt;0,VLOOKUP(C97,КФСР!A28:B1540,2),IF(D97&gt;0,VLOOKUP(D97,Программа!A$1:B$5124,2),IF(F97&gt;0,VLOOKUP(F97,КВР!A$1:B$5001,2),IF(E97&gt;0,VLOOKUP(E97,Направление!A$1:B$4816,2))))))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760"/>
      <c r="C97" s="820"/>
      <c r="D97" s="760"/>
      <c r="E97" s="760"/>
      <c r="F97" s="763">
        <v>100</v>
      </c>
      <c r="G97" s="812">
        <v>27402797.890000001</v>
      </c>
      <c r="H97" s="812">
        <f>1857449+323487+58679-285205+22000-22000-12120-38359</f>
        <v>1903931</v>
      </c>
      <c r="I97" s="805">
        <f t="shared" si="1"/>
        <v>29306728.890000001</v>
      </c>
    </row>
    <row r="98" spans="1:9" s="101" customFormat="1" ht="63" x14ac:dyDescent="0.25">
      <c r="A98" s="826" t="str">
        <f>IF(B98&gt;0,VLOOKUP(B98,КВСР!A29:B1194,2),IF(C98&gt;0,VLOOKUP(C98,КФСР!A29:B1541,2),IF(D98&gt;0,VLOOKUP(D98,Программа!A$1:B$5124,2),IF(F98&gt;0,VLOOKUP(F98,КВР!A$1:B$5001,2),IF(E98&gt;0,VLOOKUP(E98,Направление!A$1:B$4816,2))))))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760"/>
      <c r="C98" s="820"/>
      <c r="D98" s="760"/>
      <c r="E98" s="760"/>
      <c r="F98" s="763">
        <v>200</v>
      </c>
      <c r="G98" s="812">
        <v>7191106.2000000002</v>
      </c>
      <c r="H98" s="812">
        <f>-2094155-11578-91394+761</f>
        <v>-2196366</v>
      </c>
      <c r="I98" s="805">
        <f t="shared" si="1"/>
        <v>4994740.2</v>
      </c>
    </row>
    <row r="99" spans="1:9" s="101" customFormat="1" ht="31.5" x14ac:dyDescent="0.25">
      <c r="A99" s="826" t="str">
        <f>IF(B99&gt;0,VLOOKUP(B99,КВСР!A30:B1195,2),IF(C99&gt;0,VLOOKUP(C99,КФСР!A30:B1542,2),IF(D99&gt;0,VLOOKUP(D99,Программа!A$1:B$5124,2),IF(F99&gt;0,VLOOKUP(F99,КВР!A$1:B$5001,2),IF(E99&gt;0,VLOOKUP(E99,Направление!A$1:B$4816,2))))))</f>
        <v>Социальное обеспечение и иные выплаты населению</v>
      </c>
      <c r="B99" s="760"/>
      <c r="C99" s="820"/>
      <c r="D99" s="760"/>
      <c r="E99" s="760"/>
      <c r="F99" s="763">
        <v>300</v>
      </c>
      <c r="G99" s="812">
        <v>63216.21</v>
      </c>
      <c r="H99" s="812"/>
      <c r="I99" s="805">
        <f t="shared" si="1"/>
        <v>63216.21</v>
      </c>
    </row>
    <row r="100" spans="1:9" s="101" customFormat="1" ht="47.25" x14ac:dyDescent="0.25">
      <c r="A100" s="826" t="str">
        <f>IF(B100&gt;0,VLOOKUP(B100,КВСР!A30:B1195,2),IF(C100&gt;0,VLOOKUP(C100,КФСР!A30:B1542,2),IF(D100&gt;0,VLOOKUP(D100,Программа!A$1:B$5124,2),IF(F100&gt;0,VLOOKUP(F100,КВР!A$1:B$5001,2),IF(E100&gt;0,VLOOKUP(E100,Направление!A$1:B$4816,2))))))</f>
        <v>Предоставление субсидий бюджетным, автономным учреждениям и иным некоммерческим организациям</v>
      </c>
      <c r="B100" s="760"/>
      <c r="C100" s="820"/>
      <c r="D100" s="760"/>
      <c r="E100" s="760"/>
      <c r="F100" s="763">
        <v>600</v>
      </c>
      <c r="G100" s="812">
        <v>6551539</v>
      </c>
      <c r="H100" s="812">
        <f>100575+303000</f>
        <v>403575</v>
      </c>
      <c r="I100" s="805">
        <f t="shared" si="1"/>
        <v>6955114</v>
      </c>
    </row>
    <row r="101" spans="1:9" s="101" customFormat="1" x14ac:dyDescent="0.25">
      <c r="A101" s="826" t="str">
        <f>IF(B101&gt;0,VLOOKUP(B101,КВСР!A30:B1195,2),IF(C101&gt;0,VLOOKUP(C101,КФСР!A30:B1542,2),IF(D101&gt;0,VLOOKUP(D101,Программа!A$1:B$5124,2),IF(F101&gt;0,VLOOKUP(F101,КВР!A$1:B$5001,2),IF(E101&gt;0,VLOOKUP(E101,Направление!A$1:B$4816,2))))))</f>
        <v>Иные бюджетные ассигнования</v>
      </c>
      <c r="B101" s="760"/>
      <c r="C101" s="820"/>
      <c r="D101" s="760"/>
      <c r="E101" s="760"/>
      <c r="F101" s="763">
        <v>800</v>
      </c>
      <c r="G101" s="812">
        <v>428100</v>
      </c>
      <c r="H101" s="812"/>
      <c r="I101" s="805">
        <f t="shared" si="1"/>
        <v>428100</v>
      </c>
    </row>
    <row r="102" spans="1:9" s="101" customFormat="1" ht="47.25" x14ac:dyDescent="0.25">
      <c r="A102" s="826" t="str">
        <f>IF(B102&gt;0,VLOOKUP(B102,КВСР!A31:B1196,2),IF(C102&gt;0,VLOOKUP(C102,КФСР!A31:B1543,2),IF(D102&gt;0,VLOOKUP(D102,Программа!A$1:B$5124,2),IF(F102&gt;0,VLOOKUP(F102,КВР!A$1:B$5001,2),IF(E102&gt;0,VLOOKUP(E102,Направление!A$1:B$4816,2))))))</f>
        <v>Исполнение судебных актов, актов других органов и должностных лиц, иных документов</v>
      </c>
      <c r="B102" s="760"/>
      <c r="C102" s="820"/>
      <c r="D102" s="760"/>
      <c r="E102" s="760">
        <v>12130</v>
      </c>
      <c r="F102" s="763"/>
      <c r="G102" s="812">
        <v>9247883</v>
      </c>
      <c r="H102" s="812">
        <f t="shared" ref="H102:I102" si="23">H104+H103</f>
        <v>220000</v>
      </c>
      <c r="I102" s="805">
        <f t="shared" si="23"/>
        <v>9467883</v>
      </c>
    </row>
    <row r="103" spans="1:9" s="101" customFormat="1" ht="47.25" hidden="1" x14ac:dyDescent="0.25">
      <c r="A103" s="826" t="str">
        <f>IF(B103&gt;0,VLOOKUP(B103,КВСР!A32:B1197,2),IF(C103&gt;0,VLOOKUP(C103,КФСР!A32:B1544,2),IF(D103&gt;0,VLOOKUP(D103,Программа!A$1:B$5124,2),IF(F103&gt;0,VLOOKUP(F103,КВР!A$1:B$5001,2),IF(E103&gt;0,VLOOKUP(E103,Направление!A$1:B$4816,2))))))</f>
        <v>Предоставление субсидий бюджетным, автономным учреждениям и иным некоммерческим организациям</v>
      </c>
      <c r="B103" s="760"/>
      <c r="C103" s="820"/>
      <c r="D103" s="760"/>
      <c r="E103" s="760"/>
      <c r="F103" s="763">
        <v>600</v>
      </c>
      <c r="G103" s="812">
        <v>0</v>
      </c>
      <c r="H103" s="812"/>
      <c r="I103" s="805">
        <f t="shared" si="1"/>
        <v>0</v>
      </c>
    </row>
    <row r="104" spans="1:9" s="101" customFormat="1" x14ac:dyDescent="0.25">
      <c r="A104" s="826" t="str">
        <f>IF(B104&gt;0,VLOOKUP(B104,КВСР!A32:B1197,2),IF(C104&gt;0,VLOOKUP(C104,КФСР!A32:B1544,2),IF(D104&gt;0,VLOOKUP(D104,Программа!A$1:B$5124,2),IF(F104&gt;0,VLOOKUP(F104,КВР!A$1:B$5001,2),IF(E104&gt;0,VLOOKUP(E104,Направление!A$1:B$4816,2))))))</f>
        <v>Иные бюджетные ассигнования</v>
      </c>
      <c r="B104" s="760"/>
      <c r="C104" s="820"/>
      <c r="D104" s="760"/>
      <c r="E104" s="760"/>
      <c r="F104" s="763">
        <v>800</v>
      </c>
      <c r="G104" s="812">
        <v>9247883</v>
      </c>
      <c r="H104" s="812">
        <v>220000</v>
      </c>
      <c r="I104" s="805">
        <f t="shared" si="1"/>
        <v>9467883</v>
      </c>
    </row>
    <row r="105" spans="1:9" s="101" customFormat="1" ht="31.5" x14ac:dyDescent="0.25">
      <c r="A105" s="826" t="str">
        <f>IF(B105&gt;0,VLOOKUP(B105,КВСР!A30:B1195,2),IF(C105&gt;0,VLOOKUP(C105,КФСР!A30:B1542,2),IF(D105&gt;0,VLOOKUP(D105,Программа!A$1:B$5124,2),IF(F105&gt;0,VLOOKUP(F105,КВР!A$1:B$5001,2),IF(E105&gt;0,VLOOKUP(E105,Направление!A$1:B$4816,2))))))</f>
        <v>Представительские расходы органов местного самоуправления</v>
      </c>
      <c r="B105" s="760"/>
      <c r="C105" s="820"/>
      <c r="D105" s="760"/>
      <c r="E105" s="760">
        <v>12600</v>
      </c>
      <c r="F105" s="763"/>
      <c r="G105" s="812">
        <v>800000</v>
      </c>
      <c r="H105" s="812">
        <f>H106</f>
        <v>-100000</v>
      </c>
      <c r="I105" s="805">
        <f>I106</f>
        <v>700000</v>
      </c>
    </row>
    <row r="106" spans="1:9" s="101" customFormat="1" ht="63" x14ac:dyDescent="0.25">
      <c r="A106" s="826" t="str">
        <f>IF(B106&gt;0,VLOOKUP(B106,КВСР!A32:B1197,2),IF(C106&gt;0,VLOOKUP(C106,КФСР!A32:B1544,2),IF(D106&gt;0,VLOOKUP(D106,Программа!A$1:B$5124,2),IF(F106&gt;0,VLOOKUP(F106,КВР!A$1:B$5001,2),IF(E106&gt;0,VLOOKUP(E106,Направление!A$1:B$4816,2))))))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760"/>
      <c r="C106" s="820"/>
      <c r="D106" s="760"/>
      <c r="E106" s="760"/>
      <c r="F106" s="763">
        <v>200</v>
      </c>
      <c r="G106" s="812">
        <v>800000</v>
      </c>
      <c r="H106" s="812">
        <v>-100000</v>
      </c>
      <c r="I106" s="805">
        <f t="shared" si="1"/>
        <v>700000</v>
      </c>
    </row>
    <row r="107" spans="1:9" s="101" customFormat="1" ht="63" x14ac:dyDescent="0.25">
      <c r="A107" s="826" t="str">
        <f>IF(B107&gt;0,VLOOKUP(B107,КВСР!A33:B1198,2),IF(C107&gt;0,VLOOKUP(C107,КФСР!A33:B1545,2),IF(D107&gt;0,VLOOKUP(D107,Программа!A$1:B$5124,2),IF(F107&gt;0,VLOOKUP(F107,КВР!A$1:B$5001,2),IF(E107&gt;0,VLOOKUP(E107,Направление!A$1:B$4816,2))))))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" s="760"/>
      <c r="C107" s="820"/>
      <c r="D107" s="760"/>
      <c r="E107" s="760">
        <v>55490</v>
      </c>
      <c r="F107" s="763"/>
      <c r="G107" s="812">
        <v>416640</v>
      </c>
      <c r="H107" s="812">
        <f>H108</f>
        <v>0</v>
      </c>
      <c r="I107" s="805">
        <f t="shared" si="1"/>
        <v>416640</v>
      </c>
    </row>
    <row r="108" spans="1:9" s="101" customFormat="1" ht="110.25" x14ac:dyDescent="0.25">
      <c r="A108" s="826" t="str">
        <f>IF(B108&gt;0,VLOOKUP(B108,КВСР!A34:B1199,2),IF(C108&gt;0,VLOOKUP(C108,КФСР!A34:B1546,2),IF(D108&gt;0,VLOOKUP(D108,Программа!A$1:B$5124,2),IF(F108&gt;0,VLOOKUP(F108,КВР!A$1:B$5001,2),IF(E108&gt;0,VLOOKUP(E108,Направление!A$1:B$4816,2))))))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760"/>
      <c r="C108" s="820"/>
      <c r="D108" s="760"/>
      <c r="E108" s="760"/>
      <c r="F108" s="763">
        <v>100</v>
      </c>
      <c r="G108" s="812">
        <v>416640</v>
      </c>
      <c r="H108" s="812"/>
      <c r="I108" s="805">
        <f t="shared" si="1"/>
        <v>416640</v>
      </c>
    </row>
    <row r="109" spans="1:9" s="101" customFormat="1" ht="94.5" hidden="1" x14ac:dyDescent="0.25">
      <c r="A109" s="826" t="str">
        <f>IF(B109&gt;0,VLOOKUP(B109,КВСР!A33:B1198,2),IF(C109&gt;0,VLOOKUP(C109,КФСР!A33:B1545,2),IF(D109&gt;0,VLOOKUP(D109,Программа!A$1:B$5124,2),IF(F109&gt;0,VLOOKUP(F109,КВР!A$1:B$5001,2),IF(E109&gt;0,VLOOKUP(E109,Направление!A$1:B$4816,2))))))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9" s="760"/>
      <c r="C109" s="820"/>
      <c r="D109" s="760"/>
      <c r="E109" s="760">
        <v>29026</v>
      </c>
      <c r="F109" s="763"/>
      <c r="G109" s="812">
        <v>75000</v>
      </c>
      <c r="H109" s="812">
        <f t="shared" ref="H109" si="24">H110</f>
        <v>-75000</v>
      </c>
      <c r="I109" s="805">
        <f t="shared" si="1"/>
        <v>0</v>
      </c>
    </row>
    <row r="110" spans="1:9" s="101" customFormat="1" ht="63" hidden="1" x14ac:dyDescent="0.25">
      <c r="A110" s="826" t="str">
        <f>IF(B110&gt;0,VLOOKUP(B110,КВСР!A34:B1199,2),IF(C110&gt;0,VLOOKUP(C110,КФСР!A34:B1546,2),IF(D110&gt;0,VLOOKUP(D110,Программа!A$1:B$5124,2),IF(F110&gt;0,VLOOKUP(F110,КВР!A$1:B$5001,2),IF(E110&gt;0,VLOOKUP(E110,Направление!A$1:B$4816,2))))))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760"/>
      <c r="C110" s="820"/>
      <c r="D110" s="760"/>
      <c r="E110" s="760"/>
      <c r="F110" s="763">
        <v>200</v>
      </c>
      <c r="G110" s="812">
        <v>75000</v>
      </c>
      <c r="H110" s="812">
        <v>-75000</v>
      </c>
      <c r="I110" s="805">
        <f t="shared" si="1"/>
        <v>0</v>
      </c>
    </row>
    <row r="111" spans="1:9" s="101" customFormat="1" ht="63" hidden="1" x14ac:dyDescent="0.25">
      <c r="A111" s="826" t="str">
        <f>IF(B111&gt;0,VLOOKUP(B111,КВСР!A35:B1200,2),IF(C111&gt;0,VLOOKUP(C111,КФСР!A35:B1547,2),IF(D111&gt;0,VLOOKUP(D111,Программа!A$1:B$5124,2),IF(F111&gt;0,VLOOKUP(F111,КВР!A$1:B$5001,2),IF(E111&gt;0,VLOOKUP(E111,Направление!A$1:B$4816,2))))))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1" s="760"/>
      <c r="C111" s="820"/>
      <c r="D111" s="760"/>
      <c r="E111" s="760">
        <v>29556</v>
      </c>
      <c r="F111" s="763"/>
      <c r="G111" s="812">
        <v>0</v>
      </c>
      <c r="H111" s="812">
        <f t="shared" ref="H111:I111" si="25">H112</f>
        <v>0</v>
      </c>
      <c r="I111" s="805">
        <f t="shared" si="25"/>
        <v>0</v>
      </c>
    </row>
    <row r="112" spans="1:9" s="101" customFormat="1" ht="47.25" hidden="1" x14ac:dyDescent="0.25">
      <c r="A112" s="826" t="str">
        <f>IF(B112&gt;0,VLOOKUP(B112,КВСР!A36:B1201,2),IF(C112&gt;0,VLOOKUP(C112,КФСР!A36:B1548,2),IF(D112&gt;0,VLOOKUP(D112,Программа!A$1:B$5124,2),IF(F112&gt;0,VLOOKUP(F112,КВР!A$1:B$5001,2),IF(E112&gt;0,VLOOKUP(E112,Направление!A$1:B$4816,2))))))</f>
        <v>Предоставление субсидий бюджетным, автономным учреждениям и иным некоммерческим организациям</v>
      </c>
      <c r="B112" s="760"/>
      <c r="C112" s="820"/>
      <c r="D112" s="760"/>
      <c r="E112" s="760"/>
      <c r="F112" s="763">
        <v>600</v>
      </c>
      <c r="G112" s="812">
        <v>0</v>
      </c>
      <c r="H112" s="812"/>
      <c r="I112" s="805">
        <f>G112+H112</f>
        <v>0</v>
      </c>
    </row>
    <row r="113" spans="1:9" s="101" customFormat="1" ht="47.25" hidden="1" x14ac:dyDescent="0.25">
      <c r="A113" s="826" t="str">
        <f>IF(B113&gt;0,VLOOKUP(B113,КВСР!A37:B1202,2),IF(C113&gt;0,VLOOKUP(C113,КФСР!A37:B1549,2),IF(D113&gt;0,VLOOKUP(D113,Программа!A$1:B$5124,2),IF(F113&gt;0,VLOOKUP(F113,КВР!A$1:B$5001,2),IF(E113&gt;0,VLOOKUP(E113,Направление!A$1:B$4816,2))))))</f>
        <v>Субвенции на проведение Всероссийской переписи населения 2020 года</v>
      </c>
      <c r="B113" s="760"/>
      <c r="C113" s="820"/>
      <c r="D113" s="760"/>
      <c r="E113" s="760">
        <v>54690</v>
      </c>
      <c r="F113" s="763"/>
      <c r="G113" s="812">
        <v>0</v>
      </c>
      <c r="H113" s="812">
        <f t="shared" ref="H113:I113" si="26">H114</f>
        <v>0</v>
      </c>
      <c r="I113" s="805">
        <f t="shared" si="26"/>
        <v>0</v>
      </c>
    </row>
    <row r="114" spans="1:9" s="101" customFormat="1" ht="63" hidden="1" x14ac:dyDescent="0.25">
      <c r="A114" s="826" t="str">
        <f>IF(B114&gt;0,VLOOKUP(B114,КВСР!A38:B1203,2),IF(C114&gt;0,VLOOKUP(C114,КФСР!A38:B1550,2),IF(D114&gt;0,VLOOKUP(D114,Программа!A$1:B$5124,2),IF(F114&gt;0,VLOOKUP(F114,КВР!A$1:B$5001,2),IF(E114&gt;0,VLOOKUP(E114,Направление!A$1:B$4816,2))))))</f>
        <v xml:space="preserve">Закупка товаров, работ и услуг для обеспечения государственных (муниципальных) нужд
</v>
      </c>
      <c r="B114" s="760"/>
      <c r="C114" s="820"/>
      <c r="D114" s="760"/>
      <c r="E114" s="760"/>
      <c r="F114" s="763">
        <v>200</v>
      </c>
      <c r="G114" s="812">
        <v>0</v>
      </c>
      <c r="H114" s="812"/>
      <c r="I114" s="805">
        <f>G114+H114</f>
        <v>0</v>
      </c>
    </row>
    <row r="115" spans="1:9" s="101" customFormat="1" ht="47.25" x14ac:dyDescent="0.25">
      <c r="A115" s="826" t="str">
        <f>IF(B115&gt;0,VLOOKUP(B115,КВСР!A30:B1195,2),IF(C115&gt;0,VLOOKUP(C115,КФСР!A30:B1542,2),IF(D115&gt;0,VLOOKUP(D115,Программа!A$1:B$5124,2),IF(F115&gt;0,VLOOKUP(F115,КВР!A$1:B$5001,2),IF(E115&gt;0,VLOOKUP(E115,Направление!A$1:B$4816,2))))))</f>
        <v>Расходы на осуществление полномочий на государственную регистрацию актов гражданского состояния</v>
      </c>
      <c r="B115" s="760"/>
      <c r="C115" s="820"/>
      <c r="D115" s="760"/>
      <c r="E115" s="760">
        <v>59300</v>
      </c>
      <c r="F115" s="763"/>
      <c r="G115" s="812">
        <v>2617337</v>
      </c>
      <c r="H115" s="812">
        <f>H116+H117</f>
        <v>25449</v>
      </c>
      <c r="I115" s="805">
        <f>I116+I117</f>
        <v>2642786</v>
      </c>
    </row>
    <row r="116" spans="1:9" s="101" customFormat="1" ht="110.25" x14ac:dyDescent="0.25">
      <c r="A116" s="826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760"/>
      <c r="C116" s="820"/>
      <c r="D116" s="760"/>
      <c r="E116" s="760"/>
      <c r="F116" s="763">
        <v>100</v>
      </c>
      <c r="G116" s="812">
        <v>2557196</v>
      </c>
      <c r="H116" s="812">
        <v>24020.2</v>
      </c>
      <c r="I116" s="805">
        <f t="shared" si="1"/>
        <v>2581216.2000000002</v>
      </c>
    </row>
    <row r="117" spans="1:9" s="101" customFormat="1" ht="63" x14ac:dyDescent="0.25">
      <c r="A117" s="826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IF(B117&gt;0,VLOOKUP(B117,КВСР!A31:B1196,2),IF(C117&gt;0,VLOOKUP(C117,КФСР!A31:B1543,2),IF(D117&gt;0,VLOOKUP(D117,Программа!A$1:B$5124,2),IF(F117&gt;0,VLOOKUP(F117,КВР!A$1:B$5001,2),IF(E117&gt;0,VLOOKUP(E117,Направление!A$1:B$4816,2))))))</f>
        <v xml:space="preserve">Закупка товаров, работ и услуг для обеспечения государственных (муниципальных) нужд
</v>
      </c>
      <c r="B117" s="760"/>
      <c r="C117" s="820"/>
      <c r="D117" s="760"/>
      <c r="E117" s="760"/>
      <c r="F117" s="763">
        <v>200</v>
      </c>
      <c r="G117" s="812">
        <v>60141</v>
      </c>
      <c r="H117" s="812">
        <v>1428.8</v>
      </c>
      <c r="I117" s="805">
        <f t="shared" si="1"/>
        <v>61569.8</v>
      </c>
    </row>
    <row r="118" spans="1:9" s="101" customFormat="1" hidden="1" x14ac:dyDescent="0.25">
      <c r="A118" s="826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IF(B118&gt;0,VLOOKUP(B118,КВСР!A32:B1197,2),IF(C118&gt;0,VLOOKUP(C118,КФСР!A32:B1544,2),IF(D118&gt;0,VLOOKUP(D118,Программа!A$1:B$5124,2),IF(F118&gt;0,VLOOKUP(F118,КВР!A$1:B$5001,2),IF(E118&gt;0,VLOOKUP(E118,Направление!A$1:B$4816,2))))))</f>
        <v xml:space="preserve">Иная дотация </v>
      </c>
      <c r="B118" s="760"/>
      <c r="C118" s="820"/>
      <c r="D118" s="760"/>
      <c r="E118" s="760">
        <v>73260</v>
      </c>
      <c r="F118" s="763"/>
      <c r="G118" s="812">
        <v>0</v>
      </c>
      <c r="H118" s="812">
        <f t="shared" ref="H118:I118" si="27">H119+H120</f>
        <v>0</v>
      </c>
      <c r="I118" s="805">
        <f t="shared" si="27"/>
        <v>0</v>
      </c>
    </row>
    <row r="119" spans="1:9" s="101" customFormat="1" ht="110.25" hidden="1" x14ac:dyDescent="0.25">
      <c r="A119" s="826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760"/>
      <c r="C119" s="820"/>
      <c r="D119" s="760"/>
      <c r="E119" s="760"/>
      <c r="F119" s="763">
        <v>100</v>
      </c>
      <c r="G119" s="812">
        <v>0</v>
      </c>
      <c r="H119" s="812"/>
      <c r="I119" s="805">
        <f>G119+H119</f>
        <v>0</v>
      </c>
    </row>
    <row r="120" spans="1:9" s="101" customFormat="1" ht="63" hidden="1" x14ac:dyDescent="0.25">
      <c r="A120" s="826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IF(B120&gt;0,VLOOKUP(B120,КВСР!A34:B1199,2),IF(C120&gt;0,VLOOKUP(C120,КФСР!A34:B1546,2),IF(D120&gt;0,VLOOKUP(D120,Программа!A$1:B$5124,2),IF(F120&gt;0,VLOOKUP(F120,КВР!A$1:B$5001,2),IF(E120&gt;0,VLOOKUP(E120,Направление!A$1:B$4816,2))))))</f>
        <v xml:space="preserve">Закупка товаров, работ и услуг для обеспечения государственных (муниципальных) нужд
</v>
      </c>
      <c r="B120" s="760"/>
      <c r="C120" s="820"/>
      <c r="D120" s="760"/>
      <c r="E120" s="760"/>
      <c r="F120" s="763">
        <v>200</v>
      </c>
      <c r="G120" s="812">
        <v>0</v>
      </c>
      <c r="H120" s="812"/>
      <c r="I120" s="805">
        <f>G120+H120</f>
        <v>0</v>
      </c>
    </row>
    <row r="121" spans="1:9" s="101" customFormat="1" ht="63" x14ac:dyDescent="0.25">
      <c r="A121" s="826" t="str">
        <f>IF(B121&gt;0,VLOOKUP(B121,КВСР!A27:B1192,2),IF(C121&gt;0,VLOOKUP(C121,КФСР!A27:B1539,2),IF(D121&gt;0,VLOOKUP(D121,Программа!A$1:B$5124,2),IF(F121&gt;0,VLOOKUP(F121,КВР!A$1:B$5001,2),IF(E121&gt;0,VLOOKUP(E121,Направление!A$1:B$4816,2))))))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21" s="760"/>
      <c r="C121" s="820"/>
      <c r="D121" s="760"/>
      <c r="E121" s="760">
        <v>80190</v>
      </c>
      <c r="F121" s="763"/>
      <c r="G121" s="812">
        <v>2779530</v>
      </c>
      <c r="H121" s="812">
        <f>H122+H123</f>
        <v>0</v>
      </c>
      <c r="I121" s="805">
        <f>I122+I123</f>
        <v>2779530</v>
      </c>
    </row>
    <row r="122" spans="1:9" s="101" customFormat="1" ht="110.25" x14ac:dyDescent="0.25">
      <c r="A122" s="826" t="str">
        <f>IF(B122&gt;0,VLOOKUP(B122,КВСР!A28:B1193,2),IF(C122&gt;0,VLOOKUP(C122,КФСР!A28:B1540,2),IF(D122&gt;0,VLOOKUP(D122,Программа!A$1:B$5124,2),IF(F122&gt;0,VLOOKUP(F122,КВР!A$1:B$5001,2),IF(E122&gt;0,VLOOKUP(E122,Направление!A$1:B$4816,2))))))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" s="760"/>
      <c r="C122" s="820"/>
      <c r="D122" s="760"/>
      <c r="E122" s="760"/>
      <c r="F122" s="763">
        <v>100</v>
      </c>
      <c r="G122" s="812">
        <v>2608517</v>
      </c>
      <c r="H122" s="812"/>
      <c r="I122" s="805">
        <f t="shared" ref="I122:I479" si="28">SUM(G122:H122)</f>
        <v>2608517</v>
      </c>
    </row>
    <row r="123" spans="1:9" s="101" customFormat="1" ht="63" x14ac:dyDescent="0.25">
      <c r="A123" s="826" t="str">
        <f>IF(B123&gt;0,VLOOKUP(B123,КВСР!A29:B1194,2),IF(C123&gt;0,VLOOKUP(C123,КФСР!A29:B1541,2),IF(D123&gt;0,VLOOKUP(D123,Программа!A$1:B$5124,2),IF(F123&gt;0,VLOOKUP(F123,КВР!A$1:B$5001,2),IF(E123&gt;0,VLOOKUP(E123,Направление!A$1:B$4816,2))))))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760"/>
      <c r="C123" s="820"/>
      <c r="D123" s="760"/>
      <c r="E123" s="760"/>
      <c r="F123" s="763">
        <v>200</v>
      </c>
      <c r="G123" s="812">
        <v>171013</v>
      </c>
      <c r="H123" s="812"/>
      <c r="I123" s="805">
        <f t="shared" si="28"/>
        <v>171013</v>
      </c>
    </row>
    <row r="124" spans="1:9" s="101" customFormat="1" ht="63" x14ac:dyDescent="0.25">
      <c r="A124" s="826" t="str">
        <f>IF(B124&gt;0,VLOOKUP(B124,КВСР!A30:B1195,2),IF(C124&gt;0,VLOOKUP(C124,КФСР!A30:B1542,2),IF(D124&gt;0,VLOOKUP(D124,Программа!A$1:B$5124,2),IF(F124&gt;0,VLOOKUP(F124,КВР!A$1:B$5001,2),IF(E124&gt;0,VLOOKUP(E124,Направление!A$1:B$4816,2))))))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24" s="760"/>
      <c r="C124" s="820"/>
      <c r="D124" s="760"/>
      <c r="E124" s="760">
        <v>80200</v>
      </c>
      <c r="F124" s="763"/>
      <c r="G124" s="812">
        <v>487448</v>
      </c>
      <c r="H124" s="812">
        <f>H125+H126</f>
        <v>0</v>
      </c>
      <c r="I124" s="805">
        <f>I125+I126</f>
        <v>487448</v>
      </c>
    </row>
    <row r="125" spans="1:9" s="101" customFormat="1" ht="110.25" x14ac:dyDescent="0.25">
      <c r="A125" s="826" t="str">
        <f>IF(B125&gt;0,VLOOKUP(B125,КВСР!A31:B1196,2),IF(C125&gt;0,VLOOKUP(C125,КФСР!A31:B1543,2),IF(D125&gt;0,VLOOKUP(D125,Программа!A$1:B$5124,2),IF(F125&gt;0,VLOOKUP(F125,КВР!A$1:B$5001,2),IF(E125&gt;0,VLOOKUP(E125,Направление!A$1:B$4816,2))))))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760"/>
      <c r="C125" s="820"/>
      <c r="D125" s="760"/>
      <c r="E125" s="760"/>
      <c r="F125" s="763">
        <v>100</v>
      </c>
      <c r="G125" s="812">
        <v>299287</v>
      </c>
      <c r="H125" s="812"/>
      <c r="I125" s="805">
        <f t="shared" si="28"/>
        <v>299287</v>
      </c>
    </row>
    <row r="126" spans="1:9" s="101" customFormat="1" ht="63" x14ac:dyDescent="0.25">
      <c r="A126" s="826" t="str">
        <f>IF(B126&gt;0,VLOOKUP(B126,КВСР!A32:B1197,2),IF(C126&gt;0,VLOOKUP(C126,КФСР!A32:B1544,2),IF(D126&gt;0,VLOOKUP(D126,Программа!A$1:B$5124,2),IF(F126&gt;0,VLOOKUP(F126,КВР!A$1:B$5001,2),IF(E126&gt;0,VLOOKUP(E126,Направление!A$1:B$4816,2))))))</f>
        <v xml:space="preserve">Закупка товаров, работ и услуг для обеспечения государственных (муниципальных) нужд
</v>
      </c>
      <c r="B126" s="760"/>
      <c r="C126" s="820"/>
      <c r="D126" s="760"/>
      <c r="E126" s="760"/>
      <c r="F126" s="763">
        <v>200</v>
      </c>
      <c r="G126" s="812">
        <v>188161</v>
      </c>
      <c r="H126" s="812"/>
      <c r="I126" s="805">
        <f t="shared" si="28"/>
        <v>188161</v>
      </c>
    </row>
    <row r="127" spans="1:9" s="101" customFormat="1" hidden="1" x14ac:dyDescent="0.25">
      <c r="A127" s="826" t="str">
        <f>IF(B127&gt;0,VLOOKUP(B127,КВСР!A33:B1198,2),IF(C127&gt;0,VLOOKUP(C127,КФСР!A33:B1545,2),IF(D127&gt;0,VLOOKUP(D127,Программа!A$1:B$5124,2),IF(F127&gt;0,VLOOKUP(F127,КВР!A$1:B$5001,2),IF(E127&gt;0,VLOOKUP(E127,Направление!A$1:B$4816,2))))))</f>
        <v>Непрограммные расходы бюджета</v>
      </c>
      <c r="B127" s="760"/>
      <c r="C127" s="820"/>
      <c r="D127" s="760" t="s">
        <v>1527</v>
      </c>
      <c r="E127" s="760"/>
      <c r="F127" s="763"/>
      <c r="G127" s="812">
        <v>0</v>
      </c>
      <c r="H127" s="812">
        <f t="shared" ref="H127:I127" si="29">H128</f>
        <v>0</v>
      </c>
      <c r="I127" s="805">
        <f t="shared" si="29"/>
        <v>0</v>
      </c>
    </row>
    <row r="128" spans="1:9" s="101" customFormat="1" ht="47.25" hidden="1" x14ac:dyDescent="0.25">
      <c r="A128" s="826" t="str">
        <f>IF(B128&gt;0,VLOOKUP(B128,КВСР!A34:B1199,2),IF(C128&gt;0,VLOOKUP(C128,КФСР!A34:B1546,2),IF(D128&gt;0,VLOOKUP(D128,Программа!A$1:B$5124,2),IF(F128&gt;0,VLOOKUP(F128,КВР!A$1:B$5001,2),IF(E128&gt;0,VLOOKUP(E128,Направление!A$1:B$4816,2))))))</f>
        <v>Резервные фонды исполнительных органов государственной власти субъектов Российской Федерации</v>
      </c>
      <c r="B128" s="760"/>
      <c r="C128" s="820"/>
      <c r="D128" s="760"/>
      <c r="E128" s="760">
        <v>80120</v>
      </c>
      <c r="F128" s="763"/>
      <c r="G128" s="812">
        <v>0</v>
      </c>
      <c r="H128" s="812">
        <f t="shared" ref="H128:I128" si="30">H129</f>
        <v>0</v>
      </c>
      <c r="I128" s="805">
        <f t="shared" si="30"/>
        <v>0</v>
      </c>
    </row>
    <row r="129" spans="1:9" s="101" customFormat="1" ht="63" hidden="1" x14ac:dyDescent="0.25">
      <c r="A129" s="826" t="str">
        <f>IF(B129&gt;0,VLOOKUP(B129,КВСР!A35:B1200,2),IF(C129&gt;0,VLOOKUP(C129,КФСР!A35:B1547,2),IF(D129&gt;0,VLOOKUP(D129,Программа!A$1:B$5124,2),IF(F129&gt;0,VLOOKUP(F129,КВР!A$1:B$5001,2),IF(E129&gt;0,VLOOKUP(E129,Направление!A$1:B$4816,2))))))</f>
        <v xml:space="preserve">Закупка товаров, работ и услуг для обеспечения государственных (муниципальных) нужд
</v>
      </c>
      <c r="B129" s="760"/>
      <c r="C129" s="820"/>
      <c r="D129" s="760"/>
      <c r="E129" s="760"/>
      <c r="F129" s="763">
        <v>200</v>
      </c>
      <c r="G129" s="812">
        <v>0</v>
      </c>
      <c r="H129" s="812"/>
      <c r="I129" s="805">
        <f>G129+H129</f>
        <v>0</v>
      </c>
    </row>
    <row r="130" spans="1:9" s="101" customFormat="1" ht="31.5" x14ac:dyDescent="0.25">
      <c r="A130" s="826" t="str">
        <f>IF(B130&gt;0,VLOOKUP(B130,КВСР!A33:B1198,2),IF(C130&gt;0,VLOOKUP(C130,КФСР!A33:B1545,2),IF(D130&gt;0,VLOOKUP(D130,Программа!A$1:B$5124,2),IF(F130&gt;0,VLOOKUP(F130,КВР!A$1:B$5001,2),IF(E130&gt;0,VLOOKUP(E130,Направление!A$1:B$4816,2))))))</f>
        <v>Межбюджетные трансферты  поселениям района</v>
      </c>
      <c r="B130" s="760"/>
      <c r="C130" s="820"/>
      <c r="D130" s="760" t="s">
        <v>478</v>
      </c>
      <c r="E130" s="760"/>
      <c r="F130" s="763"/>
      <c r="G130" s="812">
        <v>498038.4</v>
      </c>
      <c r="H130" s="812">
        <f>H131+H135+H133</f>
        <v>0</v>
      </c>
      <c r="I130" s="805">
        <f>I131+I135+I133</f>
        <v>498038.4</v>
      </c>
    </row>
    <row r="131" spans="1:9" s="101" customFormat="1" x14ac:dyDescent="0.25">
      <c r="A131" s="826" t="str">
        <f>IF(B131&gt;0,VLOOKUP(B131,КВСР!A34:B1199,2),IF(C131&gt;0,VLOOKUP(C131,КФСР!A34:B1546,2),IF(D131&gt;0,VLOOKUP(D131,Программа!A$1:B$5124,2),IF(F131&gt;0,VLOOKUP(F131,КВР!A$1:B$5001,2),IF(E131&gt;0,VLOOKUP(E131,Направление!A$1:B$4816,2))))))</f>
        <v>Содержание центрального аппарата</v>
      </c>
      <c r="B131" s="760"/>
      <c r="C131" s="820"/>
      <c r="D131" s="760"/>
      <c r="E131" s="760">
        <v>12010</v>
      </c>
      <c r="F131" s="763"/>
      <c r="G131" s="812">
        <v>210708</v>
      </c>
      <c r="H131" s="812">
        <f t="shared" ref="H131:I131" si="31">H132</f>
        <v>0</v>
      </c>
      <c r="I131" s="805">
        <f t="shared" si="31"/>
        <v>210708</v>
      </c>
    </row>
    <row r="132" spans="1:9" s="101" customFormat="1" x14ac:dyDescent="0.25">
      <c r="A132" s="826" t="str">
        <f>IF(B132&gt;0,VLOOKUP(B132,КВСР!A35:B1200,2),IF(C132&gt;0,VLOOKUP(C132,КФСР!A35:B1547,2),IF(D132&gt;0,VLOOKUP(D132,Программа!A$1:B$5124,2),IF(F132&gt;0,VLOOKUP(F132,КВР!A$1:B$5001,2),IF(E132&gt;0,VLOOKUP(E132,Направление!A$1:B$4816,2))))))</f>
        <v xml:space="preserve"> Межбюджетные трансферты</v>
      </c>
      <c r="B132" s="760"/>
      <c r="C132" s="820"/>
      <c r="D132" s="760"/>
      <c r="E132" s="760"/>
      <c r="F132" s="763">
        <v>500</v>
      </c>
      <c r="G132" s="812">
        <v>210708</v>
      </c>
      <c r="H132" s="812"/>
      <c r="I132" s="805">
        <f>G132+H132</f>
        <v>210708</v>
      </c>
    </row>
    <row r="133" spans="1:9" s="101" customFormat="1" ht="31.5" x14ac:dyDescent="0.25">
      <c r="A133" s="826" t="str">
        <f>IF(B133&gt;0,VLOOKUP(B133,КВСР!A36:B1201,2),IF(C133&gt;0,VLOOKUP(C133,КФСР!A36:B1548,2),IF(D133&gt;0,VLOOKUP(D133,Программа!A$1:B$5124,2),IF(F133&gt;0,VLOOKUP(F133,КВР!A$1:B$5001,2),IF(E133&gt;0,VLOOKUP(E133,Направление!A$1:B$4816,2))))))</f>
        <v>Резервные фонды местных администраций</v>
      </c>
      <c r="B133" s="760"/>
      <c r="C133" s="820"/>
      <c r="D133" s="760"/>
      <c r="E133" s="760">
        <v>12900</v>
      </c>
      <c r="F133" s="763"/>
      <c r="G133" s="812">
        <v>287330.40000000002</v>
      </c>
      <c r="H133" s="812">
        <f t="shared" ref="H133:I133" si="32">H134</f>
        <v>0</v>
      </c>
      <c r="I133" s="805">
        <f t="shared" si="32"/>
        <v>287330.40000000002</v>
      </c>
    </row>
    <row r="134" spans="1:9" s="101" customFormat="1" x14ac:dyDescent="0.25">
      <c r="A134" s="826" t="str">
        <f>IF(B134&gt;0,VLOOKUP(B134,КВСР!A37:B1202,2),IF(C134&gt;0,VLOOKUP(C134,КФСР!A37:B1549,2),IF(D134&gt;0,VLOOKUP(D134,Программа!A$1:B$5124,2),IF(F134&gt;0,VLOOKUP(F134,КВР!A$1:B$5001,2),IF(E134&gt;0,VLOOKUP(E134,Направление!A$1:B$4816,2))))))</f>
        <v xml:space="preserve"> Межбюджетные трансферты</v>
      </c>
      <c r="B134" s="760"/>
      <c r="C134" s="820"/>
      <c r="D134" s="760"/>
      <c r="E134" s="760"/>
      <c r="F134" s="763">
        <v>500</v>
      </c>
      <c r="G134" s="812">
        <v>287330.40000000002</v>
      </c>
      <c r="H134" s="812"/>
      <c r="I134" s="805">
        <f t="shared" ref="I134" si="33">G134+H134</f>
        <v>287330.40000000002</v>
      </c>
    </row>
    <row r="135" spans="1:9" s="101" customFormat="1" ht="78.75" hidden="1" x14ac:dyDescent="0.25">
      <c r="A135" s="826" t="str">
        <f>IF(B135&gt;0,VLOOKUP(B135,КВСР!A36:B1201,2),IF(C135&gt;0,VLOOKUP(C135,КФСР!A36:B1548,2),IF(D135&gt;0,VLOOKUP(D135,Программа!A$1:B$5124,2),IF(F135&gt;0,VLOOKUP(F135,КВР!A$1:B$5001,2),IF(E135&gt;0,VLOOKUP(E135,Направление!A$1:B$4816,2))))))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35" s="760"/>
      <c r="C135" s="820"/>
      <c r="D135" s="760"/>
      <c r="E135" s="760">
        <v>75870</v>
      </c>
      <c r="F135" s="763"/>
      <c r="G135" s="812">
        <v>0</v>
      </c>
      <c r="H135" s="812">
        <f t="shared" ref="H135:I135" si="34">H136</f>
        <v>0</v>
      </c>
      <c r="I135" s="805">
        <f t="shared" si="34"/>
        <v>0</v>
      </c>
    </row>
    <row r="136" spans="1:9" s="101" customFormat="1" hidden="1" x14ac:dyDescent="0.25">
      <c r="A136" s="826" t="str">
        <f>IF(B136&gt;0,VLOOKUP(B136,КВСР!A37:B1202,2),IF(C136&gt;0,VLOOKUP(C136,КФСР!A37:B1549,2),IF(D136&gt;0,VLOOKUP(D136,Программа!A$1:B$5124,2),IF(F136&gt;0,VLOOKUP(F136,КВР!A$1:B$5001,2),IF(E136&gt;0,VLOOKUP(E136,Направление!A$1:B$4816,2))))))</f>
        <v xml:space="preserve"> Межбюджетные трансферты</v>
      </c>
      <c r="B136" s="760"/>
      <c r="C136" s="820"/>
      <c r="D136" s="760"/>
      <c r="E136" s="760"/>
      <c r="F136" s="763">
        <v>500</v>
      </c>
      <c r="G136" s="812">
        <v>0</v>
      </c>
      <c r="H136" s="812"/>
      <c r="I136" s="805">
        <f>G136+H136</f>
        <v>0</v>
      </c>
    </row>
    <row r="137" spans="1:9" s="101" customFormat="1" ht="63" x14ac:dyDescent="0.25">
      <c r="A137" s="826" t="str">
        <f>IF(B137&gt;0,VLOOKUP(B137,КВСР!A33:B1198,2),IF(C137&gt;0,VLOOKUP(C137,КФСР!A33:B1545,2),IF(D137&gt;0,VLOOKUP(D137,Программа!A$1:B$5124,2),IF(F137&gt;0,VLOOKUP(F137,КВР!A$1:B$5001,2),IF(E137&gt;0,VLOOKUP(E137,Направление!A$1:B$4816,2))))))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137" s="760"/>
      <c r="C137" s="827">
        <v>310</v>
      </c>
      <c r="D137" s="760"/>
      <c r="E137" s="760"/>
      <c r="F137" s="763"/>
      <c r="G137" s="812">
        <v>2520000</v>
      </c>
      <c r="H137" s="812">
        <f t="shared" ref="H137" si="35">H138+H142</f>
        <v>-54545</v>
      </c>
      <c r="I137" s="805">
        <f t="shared" ref="I137" si="36">I138+I142</f>
        <v>2465455</v>
      </c>
    </row>
    <row r="138" spans="1:9" s="101" customFormat="1" x14ac:dyDescent="0.25">
      <c r="A138" s="826" t="str">
        <f>IF(B138&gt;0,VLOOKUP(B138,КВСР!A34:B1199,2),IF(C138&gt;0,VLOOKUP(C138,КФСР!A34:B1546,2),IF(D138&gt;0,VLOOKUP(D138,Программа!A$1:B$5124,2),IF(F138&gt;0,VLOOKUP(F138,КВР!A$1:B$5001,2),IF(E138&gt;0,VLOOKUP(E138,Направление!A$1:B$4816,2))))))</f>
        <v>Непрограммные расходы бюджета</v>
      </c>
      <c r="B138" s="760"/>
      <c r="C138" s="820"/>
      <c r="D138" s="760" t="s">
        <v>311</v>
      </c>
      <c r="E138" s="760"/>
      <c r="F138" s="763"/>
      <c r="G138" s="812">
        <v>2520000</v>
      </c>
      <c r="H138" s="812">
        <f>H139</f>
        <v>-54545</v>
      </c>
      <c r="I138" s="805">
        <f>I139</f>
        <v>2465455</v>
      </c>
    </row>
    <row r="139" spans="1:9" s="101" customFormat="1" ht="47.25" x14ac:dyDescent="0.25">
      <c r="A139" s="826" t="str">
        <f>IF(B139&gt;0,VLOOKUP(B139,КВСР!A35:B1200,2),IF(C139&gt;0,VLOOKUP(C139,КФСР!A35:B1547,2),IF(D139&gt;0,VLOOKUP(D139,Программа!A$1:B$5124,2),IF(F139&gt;0,VLOOKUP(F139,КВР!A$1:B$5001,2),IF(E139&gt;0,VLOOKUP(E139,Направление!A$1:B$4816,2))))))</f>
        <v>Содержание и организация деятельности аварийно-спасательных служб</v>
      </c>
      <c r="B139" s="760"/>
      <c r="C139" s="820"/>
      <c r="D139" s="760"/>
      <c r="E139" s="760">
        <v>29566</v>
      </c>
      <c r="F139" s="763"/>
      <c r="G139" s="812">
        <v>2520000</v>
      </c>
      <c r="H139" s="812">
        <f>H140+H141</f>
        <v>-54545</v>
      </c>
      <c r="I139" s="805">
        <f>I140+I141</f>
        <v>2465455</v>
      </c>
    </row>
    <row r="140" spans="1:9" s="101" customFormat="1" ht="110.25" x14ac:dyDescent="0.25">
      <c r="A140" s="826" t="str">
        <f>IF(B140&gt;0,VLOOKUP(B140,КВСР!A36:B1201,2),IF(C140&gt;0,VLOOKUP(C140,КФСР!A36:B1548,2),IF(D140&gt;0,VLOOKUP(D140,Программа!A$1:B$5124,2),IF(F140&gt;0,VLOOKUP(F140,КВР!A$1:B$5001,2),IF(E140&gt;0,VLOOKUP(E140,Направление!A$1:B$4816,2))))))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0" s="760"/>
      <c r="C140" s="820"/>
      <c r="D140" s="760"/>
      <c r="E140" s="760"/>
      <c r="F140" s="763">
        <v>100</v>
      </c>
      <c r="G140" s="812">
        <v>2137687</v>
      </c>
      <c r="H140" s="812">
        <f>-48383.75-6161.25</f>
        <v>-54545</v>
      </c>
      <c r="I140" s="805">
        <f t="shared" si="28"/>
        <v>2083142</v>
      </c>
    </row>
    <row r="141" spans="1:9" s="101" customFormat="1" ht="63" x14ac:dyDescent="0.25">
      <c r="A141" s="826" t="str">
        <f>IF(B141&gt;0,VLOOKUP(B141,КВСР!A37:B1202,2),IF(C141&gt;0,VLOOKUP(C141,КФСР!A37:B1549,2),IF(D141&gt;0,VLOOKUP(D141,Программа!A$1:B$5124,2),IF(F141&gt;0,VLOOKUP(F141,КВР!A$1:B$5001,2),IF(E141&gt;0,VLOOKUP(E141,Направление!A$1:B$4816,2))))))</f>
        <v xml:space="preserve">Закупка товаров, работ и услуг для обеспечения государственных (муниципальных) нужд
</v>
      </c>
      <c r="B141" s="760"/>
      <c r="C141" s="820"/>
      <c r="D141" s="760"/>
      <c r="E141" s="760"/>
      <c r="F141" s="763">
        <v>200</v>
      </c>
      <c r="G141" s="812">
        <v>382313</v>
      </c>
      <c r="H141" s="812"/>
      <c r="I141" s="805">
        <f t="shared" si="28"/>
        <v>382313</v>
      </c>
    </row>
    <row r="142" spans="1:9" s="101" customFormat="1" ht="31.5" hidden="1" x14ac:dyDescent="0.25">
      <c r="A142" s="826" t="str">
        <f>IF(B142&gt;0,VLOOKUP(B142,КВСР!A38:B1203,2),IF(C142&gt;0,VLOOKUP(C142,КФСР!A38:B1550,2),IF(D142&gt;0,VLOOKUP(D142,Программа!A$1:B$5124,2),IF(F142&gt;0,VLOOKUP(F142,КВР!A$1:B$5001,2),IF(E142&gt;0,VLOOKUP(E142,Направление!A$1:B$4816,2))))))</f>
        <v>Межбюджетные трансферты  поселениям района</v>
      </c>
      <c r="B142" s="760"/>
      <c r="C142" s="820"/>
      <c r="D142" s="760" t="s">
        <v>478</v>
      </c>
      <c r="E142" s="760"/>
      <c r="F142" s="763"/>
      <c r="G142" s="812">
        <v>0</v>
      </c>
      <c r="H142" s="812">
        <f>H143</f>
        <v>0</v>
      </c>
      <c r="I142" s="805">
        <f t="shared" ref="I142:I143" si="37">I143</f>
        <v>0</v>
      </c>
    </row>
    <row r="143" spans="1:9" s="101" customFormat="1" ht="47.25" hidden="1" x14ac:dyDescent="0.25">
      <c r="A143" s="826" t="str">
        <f>IF(B143&gt;0,VLOOKUP(B143,КВСР!A39:B1204,2),IF(C143&gt;0,VLOOKUP(C143,КФСР!A39:B1551,2),IF(D143&gt;0,VLOOKUP(D143,Программа!A$1:B$5124,2),IF(F143&gt;0,VLOOKUP(F143,КВР!A$1:B$5001,2),IF(E143&gt;0,VLOOKUP(E143,Направление!A$1:B$4816,2))))))</f>
        <v>Расходы на реализацию мероприятий по обеспечению безопасности граждан на водных объектах</v>
      </c>
      <c r="B143" s="760"/>
      <c r="C143" s="820"/>
      <c r="D143" s="760"/>
      <c r="E143" s="760">
        <v>71450</v>
      </c>
      <c r="F143" s="763"/>
      <c r="G143" s="812">
        <v>0</v>
      </c>
      <c r="H143" s="812">
        <f t="shared" ref="H143" si="38">H144</f>
        <v>0</v>
      </c>
      <c r="I143" s="805">
        <f t="shared" si="37"/>
        <v>0</v>
      </c>
    </row>
    <row r="144" spans="1:9" s="101" customFormat="1" hidden="1" x14ac:dyDescent="0.25">
      <c r="A144" s="826" t="str">
        <f>IF(B144&gt;0,VLOOKUP(B144,КВСР!A40:B1205,2),IF(C144&gt;0,VLOOKUP(C144,КФСР!A40:B1552,2),IF(D144&gt;0,VLOOKUP(D144,Программа!A$1:B$5124,2),IF(F144&gt;0,VLOOKUP(F144,КВР!A$1:B$5001,2),IF(E144&gt;0,VLOOKUP(E144,Направление!A$1:B$4816,2))))))</f>
        <v xml:space="preserve"> Межбюджетные трансферты</v>
      </c>
      <c r="B144" s="760"/>
      <c r="C144" s="820"/>
      <c r="D144" s="760"/>
      <c r="E144" s="760"/>
      <c r="F144" s="763">
        <v>500</v>
      </c>
      <c r="G144" s="812">
        <v>0</v>
      </c>
      <c r="H144" s="812"/>
      <c r="I144" s="805">
        <f>G144+H144</f>
        <v>0</v>
      </c>
    </row>
    <row r="145" spans="1:9" s="101" customFormat="1" x14ac:dyDescent="0.25">
      <c r="A145" s="826" t="str">
        <f>IF(B145&gt;0,VLOOKUP(B145,КВСР!A37:B1202,2),IF(C145&gt;0,VLOOKUP(C145,КФСР!A37:B1549,2),IF(D145&gt;0,VLOOKUP(D145,Программа!A$1:B$5124,2),IF(F145&gt;0,VLOOKUP(F145,КВР!A$1:B$5001,2),IF(E145&gt;0,VLOOKUP(E145,Направление!A$1:B$4816,2))))))</f>
        <v>Сельское хозяйство и рыболовство</v>
      </c>
      <c r="B145" s="760"/>
      <c r="C145" s="827">
        <v>405</v>
      </c>
      <c r="D145" s="760"/>
      <c r="E145" s="760"/>
      <c r="F145" s="763"/>
      <c r="G145" s="812">
        <v>1012090</v>
      </c>
      <c r="H145" s="812">
        <f>H153+H146</f>
        <v>0</v>
      </c>
      <c r="I145" s="805">
        <f>I153+I146</f>
        <v>1012090</v>
      </c>
    </row>
    <row r="146" spans="1:9" s="101" customFormat="1" ht="47.25" x14ac:dyDescent="0.25">
      <c r="A146" s="826" t="str">
        <f>IF(B146&gt;0,VLOOKUP(B146,КВСР!A66:B1231,2),IF(C146&gt;0,VLOOKUP(C146,КФСР!A66:B1578,2),IF(D146&gt;0,VLOOKUP(D146,Программа!A$1:B$5124,2),IF(F146&gt;0,VLOOKUP(F146,КВР!A$1:B$5001,2),IF(E146&gt;0,VLOOKUP(E146,Направление!A$1:B$4816,2))))))</f>
        <v>Муниципальная программа "Развитие агропромышленного комплекса в  Тутаевском муниципальном районе"</v>
      </c>
      <c r="B146" s="763"/>
      <c r="C146" s="820"/>
      <c r="D146" s="763" t="s">
        <v>1672</v>
      </c>
      <c r="E146" s="763"/>
      <c r="F146" s="763"/>
      <c r="G146" s="812">
        <v>254590</v>
      </c>
      <c r="H146" s="812">
        <f>H147+H150</f>
        <v>0</v>
      </c>
      <c r="I146" s="805">
        <f>I147+I150</f>
        <v>254590</v>
      </c>
    </row>
    <row r="147" spans="1:9" s="101" customFormat="1" ht="31.5" x14ac:dyDescent="0.25">
      <c r="A147" s="826" t="str">
        <f>IF(B147&gt;0,VLOOKUP(B147,КВСР!A67:B1232,2),IF(C147&gt;0,VLOOKUP(C147,КФСР!A67:B1579,2),IF(D147&gt;0,VLOOKUP(D147,Программа!A$1:B$5124,2),IF(F147&gt;0,VLOOKUP(F147,КВР!A$1:B$5001,2),IF(E147&gt;0,VLOOKUP(E147,Направление!A$1:B$4816,2))))))</f>
        <v>Стимулирование развития сельскохозяйственного производства</v>
      </c>
      <c r="B147" s="763"/>
      <c r="C147" s="820"/>
      <c r="D147" s="763" t="s">
        <v>1673</v>
      </c>
      <c r="E147" s="763"/>
      <c r="F147" s="763"/>
      <c r="G147" s="812">
        <v>250000</v>
      </c>
      <c r="H147" s="812">
        <f>H148</f>
        <v>0</v>
      </c>
      <c r="I147" s="805">
        <f>I148</f>
        <v>250000</v>
      </c>
    </row>
    <row r="148" spans="1:9" s="101" customFormat="1" ht="63" x14ac:dyDescent="0.25">
      <c r="A148" s="826" t="str">
        <f>IF(B148&gt;0,VLOOKUP(B148,КВСР!A68:B1233,2),IF(C148&gt;0,VLOOKUP(C148,КФСР!A68:B1580,2),IF(D148&gt;0,VLOOKUP(D148,Программа!A$1:B$5124,2),IF(F148&gt;0,VLOOKUP(F148,КВР!A$1:B$5001,2),IF(E148&gt;0,VLOOKUP(E148,Направление!A$1:B$4816,2))))))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148" s="763"/>
      <c r="C148" s="820"/>
      <c r="D148" s="763"/>
      <c r="E148" s="763">
        <v>10703</v>
      </c>
      <c r="F148" s="763"/>
      <c r="G148" s="812">
        <v>250000</v>
      </c>
      <c r="H148" s="812">
        <f>H149</f>
        <v>0</v>
      </c>
      <c r="I148" s="805">
        <f>I149</f>
        <v>250000</v>
      </c>
    </row>
    <row r="149" spans="1:9" s="101" customFormat="1" x14ac:dyDescent="0.25">
      <c r="A149" s="826" t="str">
        <f>IF(B149&gt;0,VLOOKUP(B149,КВСР!A69:B1234,2),IF(C149&gt;0,VLOOKUP(C149,КФСР!A69:B1581,2),IF(D149&gt;0,VLOOKUP(D149,Программа!A$1:B$5124,2),IF(F149&gt;0,VLOOKUP(F149,КВР!A$1:B$5001,2),IF(E149&gt;0,VLOOKUP(E149,Направление!A$1:B$4816,2))))))</f>
        <v>Иные бюджетные ассигнования</v>
      </c>
      <c r="B149" s="763"/>
      <c r="C149" s="820"/>
      <c r="D149" s="763"/>
      <c r="E149" s="763"/>
      <c r="F149" s="763">
        <v>800</v>
      </c>
      <c r="G149" s="812">
        <v>250000</v>
      </c>
      <c r="H149" s="812"/>
      <c r="I149" s="805">
        <f>G149+H149</f>
        <v>250000</v>
      </c>
    </row>
    <row r="150" spans="1:9" s="101" customFormat="1" ht="63" x14ac:dyDescent="0.25">
      <c r="A150" s="826" t="str">
        <f>IF(B150&gt;0,VLOOKUP(B150,КВСР!A71:B1236,2),IF(C150&gt;0,VLOOKUP(C150,КФСР!A71:B1583,2),IF(D150&gt;0,VLOOKUP(D150,Программа!A$1:B$5124,2),IF(F150&gt;0,VLOOKUP(F150,КВР!A$1:B$5001,2),IF(E150&gt;0,VLOOKUP(E150,Направление!A$1:B$4816,2))))))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0" s="763"/>
      <c r="C150" s="820"/>
      <c r="D150" s="763" t="s">
        <v>1674</v>
      </c>
      <c r="E150" s="763"/>
      <c r="F150" s="763"/>
      <c r="G150" s="812">
        <v>4590</v>
      </c>
      <c r="H150" s="812">
        <f>H151</f>
        <v>0</v>
      </c>
      <c r="I150" s="805">
        <f>I151</f>
        <v>4590</v>
      </c>
    </row>
    <row r="151" spans="1:9" s="101" customFormat="1" ht="78.75" x14ac:dyDescent="0.25">
      <c r="A151" s="826" t="str">
        <f>IF(B151&gt;0,VLOOKUP(B151,КВСР!A72:B1237,2),IF(C151&gt;0,VLOOKUP(C151,КФСР!A72:B1584,2),IF(D151&gt;0,VLOOKUP(D151,Программа!A$1:B$5124,2),IF(F151&gt;0,VLOOKUP(F151,КВР!A$1:B$5001,2),IF(E151&gt;0,VLOOKUP(E151,Направление!A$1:B$4816,2))))))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1" s="763"/>
      <c r="C151" s="820"/>
      <c r="D151" s="763"/>
      <c r="E151" s="763">
        <v>74450</v>
      </c>
      <c r="F151" s="763"/>
      <c r="G151" s="812">
        <v>4590</v>
      </c>
      <c r="H151" s="812">
        <f>H152</f>
        <v>0</v>
      </c>
      <c r="I151" s="805">
        <f>I152</f>
        <v>4590</v>
      </c>
    </row>
    <row r="152" spans="1:9" s="101" customFormat="1" ht="63" x14ac:dyDescent="0.25">
      <c r="A152" s="826" t="str">
        <f>IF(B152&gt;0,VLOOKUP(B152,КВСР!A73:B1238,2),IF(C152&gt;0,VLOOKUP(C152,КФСР!A73:B1585,2),IF(D152&gt;0,VLOOKUP(D152,Программа!A$1:B$5124,2),IF(F152&gt;0,VLOOKUP(F152,КВР!A$1:B$5001,2),IF(E152&gt;0,VLOOKUP(E152,Направление!A$1:B$4816,2))))))</f>
        <v xml:space="preserve">Закупка товаров, работ и услуг для обеспечения государственных (муниципальных) нужд
</v>
      </c>
      <c r="B152" s="763"/>
      <c r="C152" s="820"/>
      <c r="D152" s="763"/>
      <c r="E152" s="763"/>
      <c r="F152" s="763">
        <v>200</v>
      </c>
      <c r="G152" s="812">
        <v>4590</v>
      </c>
      <c r="H152" s="812"/>
      <c r="I152" s="805">
        <f>G152+H152</f>
        <v>4590</v>
      </c>
    </row>
    <row r="153" spans="1:9" s="101" customFormat="1" x14ac:dyDescent="0.25">
      <c r="A153" s="826" t="str">
        <f>IF(B153&gt;0,VLOOKUP(B153,КВСР!A66:B1231,2),IF(C153&gt;0,VLOOKUP(C153,КФСР!A66:B1578,2),IF(D153&gt;0,VLOOKUP(D153,Программа!A$1:B$5124,2),IF(F153&gt;0,VLOOKUP(F153,КВР!A$1:B$5001,2),IF(E153&gt;0,VLOOKUP(E153,Направление!A$1:B$4816,2))))))</f>
        <v>Непрограммные расходы бюджета</v>
      </c>
      <c r="B153" s="760"/>
      <c r="C153" s="820"/>
      <c r="D153" s="760" t="s">
        <v>311</v>
      </c>
      <c r="E153" s="760"/>
      <c r="F153" s="763"/>
      <c r="G153" s="812">
        <v>757500</v>
      </c>
      <c r="H153" s="812">
        <f>H154</f>
        <v>0</v>
      </c>
      <c r="I153" s="805">
        <f t="shared" ref="H153:I154" si="39">I154</f>
        <v>757500</v>
      </c>
    </row>
    <row r="154" spans="1:9" s="101" customFormat="1" ht="63" x14ac:dyDescent="0.25">
      <c r="A154" s="826" t="str">
        <f>IF(B154&gt;0,VLOOKUP(B154,КВСР!A67:B1232,2),IF(C154&gt;0,VLOOKUP(C154,КФСР!A67:B1579,2),IF(D154&gt;0,VLOOKUP(D154,Программа!A$1:B$5124,2),IF(F154&gt;0,VLOOKUP(F154,КВР!A$1:B$5001,2),IF(E154&gt;0,VLOOKUP(E154,Направление!A$1:B$4816,2))))))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154" s="760"/>
      <c r="C154" s="820"/>
      <c r="D154" s="760"/>
      <c r="E154" s="760">
        <v>74420</v>
      </c>
      <c r="F154" s="763"/>
      <c r="G154" s="812">
        <v>757500</v>
      </c>
      <c r="H154" s="812">
        <f t="shared" si="39"/>
        <v>0</v>
      </c>
      <c r="I154" s="805">
        <f t="shared" si="39"/>
        <v>757500</v>
      </c>
    </row>
    <row r="155" spans="1:9" s="101" customFormat="1" ht="63" x14ac:dyDescent="0.25">
      <c r="A155" s="826" t="str">
        <f>IF(B155&gt;0,VLOOKUP(B155,КВСР!A68:B1233,2),IF(C155&gt;0,VLOOKUP(C155,КФСР!A68:B1580,2),IF(D155&gt;0,VLOOKUP(D155,Программа!A$1:B$5124,2),IF(F155&gt;0,VLOOKUP(F155,КВР!A$1:B$5001,2),IF(E155&gt;0,VLOOKUP(E155,Направление!A$1:B$4816,2))))))</f>
        <v xml:space="preserve">Закупка товаров, работ и услуг для обеспечения государственных (муниципальных) нужд
</v>
      </c>
      <c r="B155" s="760"/>
      <c r="C155" s="820"/>
      <c r="D155" s="760"/>
      <c r="E155" s="760"/>
      <c r="F155" s="763">
        <v>200</v>
      </c>
      <c r="G155" s="812">
        <v>757500</v>
      </c>
      <c r="H155" s="812"/>
      <c r="I155" s="805">
        <f t="shared" ref="I155" si="40">SUM(G155:H155)</f>
        <v>757500</v>
      </c>
    </row>
    <row r="156" spans="1:9" s="101" customFormat="1" x14ac:dyDescent="0.25">
      <c r="A156" s="826" t="str">
        <f>IF(B156&gt;0,VLOOKUP(B156,КВСР!A66:B1231,2),IF(C156&gt;0,VLOOKUP(C156,КФСР!A66:B1578,2),IF(D156&gt;0,VLOOKUP(D156,Программа!A$1:B$5124,2),IF(F156&gt;0,VLOOKUP(F156,КВР!A$1:B$5001,2),IF(E156&gt;0,VLOOKUP(E156,Направление!A$1:B$4816,2))))))</f>
        <v>Транспорт</v>
      </c>
      <c r="B156" s="760"/>
      <c r="C156" s="827">
        <v>408</v>
      </c>
      <c r="D156" s="760"/>
      <c r="E156" s="760"/>
      <c r="F156" s="763"/>
      <c r="G156" s="813">
        <v>21354246</v>
      </c>
      <c r="H156" s="812">
        <f t="shared" ref="H156:I156" si="41">H157</f>
        <v>55305</v>
      </c>
      <c r="I156" s="805">
        <f t="shared" si="41"/>
        <v>21409551</v>
      </c>
    </row>
    <row r="157" spans="1:9" s="101" customFormat="1" ht="63" x14ac:dyDescent="0.25">
      <c r="A157" s="826" t="str">
        <f>IF(B157&gt;0,VLOOKUP(B157,КВСР!A67:B1232,2),IF(C157&gt;0,VLOOKUP(C157,КФСР!A67:B1579,2),IF(D157&gt;0,VLOOKUP(D157,Программа!A$1:B$5124,2),IF(F157&gt;0,VLOOKUP(F157,КВР!A$1:B$5001,2),IF(E157&gt;0,VLOOKUP(E157,Направление!A$1:B$4816,2))))))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760"/>
      <c r="C157" s="820"/>
      <c r="D157" s="760" t="s">
        <v>533</v>
      </c>
      <c r="E157" s="760"/>
      <c r="F157" s="763"/>
      <c r="G157" s="813">
        <v>21354246</v>
      </c>
      <c r="H157" s="812">
        <f>H158+H163</f>
        <v>55305</v>
      </c>
      <c r="I157" s="805">
        <f>I158+I163</f>
        <v>21409551</v>
      </c>
    </row>
    <row r="158" spans="1:9" s="101" customFormat="1" ht="78.75" x14ac:dyDescent="0.25">
      <c r="A158" s="826" t="str">
        <f>IF(B158&gt;0,VLOOKUP(B158,КВСР!A68:B1233,2),IF(C158&gt;0,VLOOKUP(C158,КФСР!A68:B1580,2),IF(D158&gt;0,VLOOKUP(D158,Программа!A$1:B$5124,2),IF(F158&gt;0,VLOOKUP(F158,КВР!A$1:B$5001,2),IF(E158&gt;0,VLOOKUP(E158,Направление!A$1:B$4816,2))))))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760"/>
      <c r="C158" s="820"/>
      <c r="D158" s="760" t="s">
        <v>539</v>
      </c>
      <c r="E158" s="760"/>
      <c r="F158" s="763"/>
      <c r="G158" s="813">
        <v>21354246</v>
      </c>
      <c r="H158" s="812">
        <f>H159+H161</f>
        <v>55305</v>
      </c>
      <c r="I158" s="805">
        <f>I159+I161</f>
        <v>21409551</v>
      </c>
    </row>
    <row r="159" spans="1:9" s="101" customFormat="1" ht="63" x14ac:dyDescent="0.25">
      <c r="A159" s="826" t="str">
        <f>IF(B159&gt;0,VLOOKUP(B159,КВСР!A69:B1234,2),IF(C159&gt;0,VLOOKUP(C159,КФСР!A69:B1581,2),IF(D159&gt;0,VLOOKUP(D159,Программа!A$1:B$5124,2),IF(F159&gt;0,VLOOKUP(F159,КВР!A$1:B$5001,2),IF(E159&gt;0,VLOOKUP(E159,Направление!A$1:B$4816,2))))))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159" s="760"/>
      <c r="C159" s="820"/>
      <c r="D159" s="760"/>
      <c r="E159" s="760">
        <v>10100</v>
      </c>
      <c r="F159" s="763"/>
      <c r="G159" s="812">
        <v>20189000</v>
      </c>
      <c r="H159" s="812">
        <f>H160</f>
        <v>0</v>
      </c>
      <c r="I159" s="805">
        <f>I160</f>
        <v>20189000</v>
      </c>
    </row>
    <row r="160" spans="1:9" s="101" customFormat="1" ht="63" x14ac:dyDescent="0.25">
      <c r="A160" s="826" t="str">
        <f>IF(B160&gt;0,VLOOKUP(B160,КВСР!A70:B1235,2),IF(C160&gt;0,VLOOKUP(C160,КФСР!A70:B1582,2),IF(D160&gt;0,VLOOKUP(D160,Программа!A$1:B$5124,2),IF(F160&gt;0,VLOOKUP(F160,КВР!A$1:B$5001,2),IF(E160&gt;0,VLOOKUP(E160,Направление!A$1:B$4816,2))))))</f>
        <v xml:space="preserve">Закупка товаров, работ и услуг для обеспечения государственных (муниципальных) нужд
</v>
      </c>
      <c r="B160" s="760"/>
      <c r="C160" s="820"/>
      <c r="D160" s="760"/>
      <c r="E160" s="760"/>
      <c r="F160" s="763">
        <v>200</v>
      </c>
      <c r="G160" s="812">
        <v>20189000</v>
      </c>
      <c r="H160" s="812">
        <v>0</v>
      </c>
      <c r="I160" s="805">
        <f t="shared" ref="I160:I312" si="42">SUM(G160:H160)</f>
        <v>20189000</v>
      </c>
    </row>
    <row r="161" spans="1:9" s="101" customFormat="1" ht="63" x14ac:dyDescent="0.25">
      <c r="A161" s="826" t="str">
        <f>IF(B161&gt;0,VLOOKUP(B161,КВСР!A72:B1237,2),IF(C161&gt;0,VLOOKUP(C161,КФСР!A72:B1584,2),IF(D161&gt;0,VLOOKUP(D161,Программа!A$1:B$5124,2),IF(F161&gt;0,VLOOKUP(F161,КВР!A$1:B$5001,2),IF(E161&gt;0,VLOOKUP(E161,Направление!A$1:B$4816,2))))))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161" s="760"/>
      <c r="C161" s="820"/>
      <c r="D161" s="760"/>
      <c r="E161" s="760">
        <v>29176</v>
      </c>
      <c r="F161" s="763"/>
      <c r="G161" s="813">
        <v>1165246</v>
      </c>
      <c r="H161" s="812">
        <f>H162</f>
        <v>55305</v>
      </c>
      <c r="I161" s="805">
        <f>I162</f>
        <v>1220551</v>
      </c>
    </row>
    <row r="162" spans="1:9" s="101" customFormat="1" ht="63" x14ac:dyDescent="0.25">
      <c r="A162" s="826" t="str">
        <f>IF(B162&gt;0,VLOOKUP(B162,КВСР!A73:B1238,2),IF(C162&gt;0,VLOOKUP(C162,КФСР!A73:B1585,2),IF(D162&gt;0,VLOOKUP(D162,Программа!A$1:B$5124,2),IF(F162&gt;0,VLOOKUP(F162,КВР!A$1:B$5001,2),IF(E162&gt;0,VLOOKUP(E162,Направление!A$1:B$4816,2))))))</f>
        <v xml:space="preserve">Закупка товаров, работ и услуг для обеспечения государственных (муниципальных) нужд
</v>
      </c>
      <c r="B162" s="760"/>
      <c r="C162" s="820"/>
      <c r="D162" s="760"/>
      <c r="E162" s="760"/>
      <c r="F162" s="763">
        <v>200</v>
      </c>
      <c r="G162" s="812">
        <v>1165246</v>
      </c>
      <c r="H162" s="812">
        <v>55305</v>
      </c>
      <c r="I162" s="805">
        <f t="shared" si="42"/>
        <v>1220551</v>
      </c>
    </row>
    <row r="163" spans="1:9" s="101" customFormat="1" ht="47.25" hidden="1" x14ac:dyDescent="0.25">
      <c r="A163" s="826" t="str">
        <f>IF(B163&gt;0,VLOOKUP(B163,КВСР!A74:B1239,2),IF(C163&gt;0,VLOOKUP(C163,КФСР!A74:B1586,2),IF(D163&gt;0,VLOOKUP(D163,Программа!A$1:B$5124,2),IF(F163&gt;0,VLOOKUP(F163,КВР!A$1:B$5001,2),IF(E163&gt;0,VLOOKUP(E163,Направление!A$1:B$4816,2))))))</f>
        <v>Организация предоставления транспортных услуг по перевозке пассажиров речным транспортом</v>
      </c>
      <c r="B163" s="760"/>
      <c r="C163" s="820"/>
      <c r="D163" s="760" t="s">
        <v>1194</v>
      </c>
      <c r="E163" s="760"/>
      <c r="F163" s="763"/>
      <c r="G163" s="813">
        <v>0</v>
      </c>
      <c r="H163" s="812">
        <f>H164</f>
        <v>0</v>
      </c>
      <c r="I163" s="805">
        <f t="shared" si="42"/>
        <v>0</v>
      </c>
    </row>
    <row r="164" spans="1:9" s="101" customFormat="1" ht="47.25" hidden="1" x14ac:dyDescent="0.25">
      <c r="A164" s="826" t="str">
        <f>IF(B164&gt;0,VLOOKUP(B164,КВСР!A75:B1240,2),IF(C164&gt;0,VLOOKUP(C164,КФСР!A75:B1587,2),IF(D164&gt;0,VLOOKUP(D164,Программа!A$1:B$5124,2),IF(F164&gt;0,VLOOKUP(F164,КВР!A$1:B$5001,2),IF(E164&gt;0,VLOOKUP(E164,Направление!A$1:B$4816,2))))))</f>
        <v>Обеспечение мероприятий по осуществлению грузопассажирских  перевозок на речном транспорте</v>
      </c>
      <c r="B164" s="760"/>
      <c r="C164" s="820"/>
      <c r="D164" s="760"/>
      <c r="E164" s="760">
        <v>29166</v>
      </c>
      <c r="F164" s="763"/>
      <c r="G164" s="813">
        <v>0</v>
      </c>
      <c r="H164" s="812">
        <f>H165</f>
        <v>0</v>
      </c>
      <c r="I164" s="805">
        <f t="shared" si="42"/>
        <v>0</v>
      </c>
    </row>
    <row r="165" spans="1:9" s="101" customFormat="1" hidden="1" x14ac:dyDescent="0.25">
      <c r="A165" s="826" t="str">
        <f>IF(B165&gt;0,VLOOKUP(B165,КВСР!A76:B1241,2),IF(C165&gt;0,VLOOKUP(C165,КФСР!A76:B1588,2),IF(D165&gt;0,VLOOKUP(D165,Программа!A$1:B$5124,2),IF(F165&gt;0,VLOOKUP(F165,КВР!A$1:B$5001,2),IF(E165&gt;0,VLOOKUP(E165,Направление!A$1:B$4816,2))))))</f>
        <v>Иные бюджетные ассигнования</v>
      </c>
      <c r="B165" s="760"/>
      <c r="C165" s="820"/>
      <c r="D165" s="760"/>
      <c r="E165" s="760"/>
      <c r="F165" s="763">
        <v>800</v>
      </c>
      <c r="G165" s="813">
        <v>0</v>
      </c>
      <c r="H165" s="812"/>
      <c r="I165" s="805">
        <f t="shared" si="42"/>
        <v>0</v>
      </c>
    </row>
    <row r="166" spans="1:9" s="101" customFormat="1" x14ac:dyDescent="0.25">
      <c r="A166" s="826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IF(B166&gt;0,VLOOKUP(B166,КВСР!A64:B1229,2),IF(C166&gt;0,VLOOKUP(C166,КФСР!A64:B1576,2),IF(D166&gt;0,VLOOKUP(D166,Программа!A$1:B$5124,2),IF(F166&gt;0,VLOOKUP(F166,КВР!A$1:B$5001,2),IF(E166&gt;0,VLOOKUP(E166,Направление!A$1:B$4816,2))))))</f>
        <v>Дорожное хозяйство</v>
      </c>
      <c r="B166" s="760"/>
      <c r="C166" s="827">
        <v>409</v>
      </c>
      <c r="D166" s="760"/>
      <c r="E166" s="760"/>
      <c r="F166" s="763"/>
      <c r="G166" s="813">
        <v>304597473</v>
      </c>
      <c r="H166" s="812">
        <f>H167+H174+H228</f>
        <v>5553835</v>
      </c>
      <c r="I166" s="805">
        <f>I167+I174+I228</f>
        <v>310151308</v>
      </c>
    </row>
    <row r="167" spans="1:9" s="101" customFormat="1" ht="63" x14ac:dyDescent="0.25">
      <c r="A167" s="826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67" s="760"/>
      <c r="C167" s="820"/>
      <c r="D167" s="760" t="s">
        <v>1134</v>
      </c>
      <c r="E167" s="760"/>
      <c r="F167" s="763"/>
      <c r="G167" s="813">
        <v>38241558</v>
      </c>
      <c r="H167" s="812">
        <f>H168+H171</f>
        <v>-40017</v>
      </c>
      <c r="I167" s="805">
        <f>I168+I171</f>
        <v>38201541</v>
      </c>
    </row>
    <row r="168" spans="1:9" s="101" customFormat="1" ht="31.5" x14ac:dyDescent="0.25">
      <c r="A168" s="826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IF(B168&gt;0,VLOOKUP(B168,КВСР!A66:B1231,2),IF(C168&gt;0,VLOOKUP(C168,КФСР!A66:B1578,2),IF(D168&gt;0,VLOOKUP(D168,Программа!A$1:B$5124,2),IF(F168&gt;0,VLOOKUP(F168,КВР!A$1:B$5001,2),IF(E168&gt;0,VLOOKUP(E168,Направление!A$1:B$4816,2))))))</f>
        <v>Повышение уровня благоустройства территорий</v>
      </c>
      <c r="B168" s="760"/>
      <c r="C168" s="820"/>
      <c r="D168" s="760" t="s">
        <v>1152</v>
      </c>
      <c r="E168" s="760"/>
      <c r="F168" s="763"/>
      <c r="G168" s="813">
        <v>7063688</v>
      </c>
      <c r="H168" s="812">
        <f>H169</f>
        <v>0</v>
      </c>
      <c r="I168" s="805">
        <f>I169</f>
        <v>7063688</v>
      </c>
    </row>
    <row r="169" spans="1:9" s="101" customFormat="1" ht="47.25" x14ac:dyDescent="0.25">
      <c r="A169" s="826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IF(B169&gt;0,VLOOKUP(B169,КВСР!A67:B1232,2),IF(C169&gt;0,VLOOKUP(C169,КФСР!A67:B1579,2),IF(D169&gt;0,VLOOKUP(D169,Программа!A$1:B$5124,2),IF(F169&gt;0,VLOOKUP(F169,КВР!A$1:B$5001,2),IF(E169&gt;0,VLOOKUP(E169,Направление!A$1:B$4816,2))))))</f>
        <v>Обеспечение мероприятий по формированию современной городской среды</v>
      </c>
      <c r="B169" s="760"/>
      <c r="C169" s="820"/>
      <c r="D169" s="760"/>
      <c r="E169" s="760">
        <v>29456</v>
      </c>
      <c r="F169" s="763"/>
      <c r="G169" s="813">
        <v>7063688</v>
      </c>
      <c r="H169" s="812">
        <f t="shared" ref="H169:I169" si="43">H170</f>
        <v>0</v>
      </c>
      <c r="I169" s="805">
        <f t="shared" si="43"/>
        <v>7063688</v>
      </c>
    </row>
    <row r="170" spans="1:9" s="101" customFormat="1" ht="63" x14ac:dyDescent="0.25">
      <c r="A170" s="826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IF(B170&gt;0,VLOOKUP(B170,КВСР!A68:B1233,2),IF(C170&gt;0,VLOOKUP(C170,КФСР!A68:B1580,2),IF(D170&gt;0,VLOOKUP(D170,Программа!A$1:B$5124,2),IF(F170&gt;0,VLOOKUP(F170,КВР!A$1:B$5001,2),IF(E170&gt;0,VLOOKUP(E170,Направление!A$1:B$4816,2))))))</f>
        <v xml:space="preserve">Закупка товаров, работ и услуг для обеспечения государственных (муниципальных) нужд
</v>
      </c>
      <c r="B170" s="760"/>
      <c r="C170" s="820"/>
      <c r="D170" s="760"/>
      <c r="E170" s="760"/>
      <c r="F170" s="763">
        <v>200</v>
      </c>
      <c r="G170" s="812">
        <v>7063688</v>
      </c>
      <c r="H170" s="812"/>
      <c r="I170" s="805">
        <f>G170+H170</f>
        <v>7063688</v>
      </c>
    </row>
    <row r="171" spans="1:9" s="101" customFormat="1" ht="31.5" x14ac:dyDescent="0.25">
      <c r="A171" s="826" t="str">
        <f>IF(B171&gt;0,VLOOKUP(B171,КВСР!A71:B1236,2),IF(C171&gt;0,VLOOKUP(C171,КФСР!A71:B1583,2),IF(D171&gt;0,VLOOKUP(D171,Программа!A$1:B$5124,2),IF(F171&gt;0,VLOOKUP(F171,КВР!A$1:B$5001,2),IF(E171&gt;0,VLOOKUP(E171,Направление!A$1:B$4816,2))))))</f>
        <v>Реализация   проекта "Формирование комфортной городской среды"</v>
      </c>
      <c r="B171" s="760"/>
      <c r="C171" s="820"/>
      <c r="D171" s="760" t="s">
        <v>1314</v>
      </c>
      <c r="E171" s="760"/>
      <c r="F171" s="763"/>
      <c r="G171" s="812">
        <v>31177870</v>
      </c>
      <c r="H171" s="812">
        <f t="shared" ref="H171:H172" si="44">H172</f>
        <v>-40017</v>
      </c>
      <c r="I171" s="805">
        <f>I172</f>
        <v>31137853</v>
      </c>
    </row>
    <row r="172" spans="1:9" s="101" customFormat="1" ht="47.25" x14ac:dyDescent="0.25">
      <c r="A172" s="826" t="str">
        <f>IF(B172&gt;0,VLOOKUP(B172,КВСР!A72:B1237,2),IF(C172&gt;0,VLOOKUP(C172,КФСР!A72:B1584,2),IF(D172&gt;0,VLOOKUP(D172,Программа!A$1:B$5124,2),IF(F172&gt;0,VLOOKUP(F172,КВР!A$1:B$5001,2),IF(E172&gt;0,VLOOKUP(E172,Направление!A$1:B$4816,2))))))</f>
        <v xml:space="preserve">Расходы на реализацию программ формирования современной городской среды </v>
      </c>
      <c r="B172" s="760"/>
      <c r="C172" s="820"/>
      <c r="D172" s="760"/>
      <c r="E172" s="760">
        <v>55556</v>
      </c>
      <c r="F172" s="763"/>
      <c r="G172" s="812">
        <v>31177870</v>
      </c>
      <c r="H172" s="812">
        <f t="shared" si="44"/>
        <v>-40017</v>
      </c>
      <c r="I172" s="805">
        <f>I173</f>
        <v>31137853</v>
      </c>
    </row>
    <row r="173" spans="1:9" s="101" customFormat="1" ht="63" x14ac:dyDescent="0.25">
      <c r="A173" s="826" t="str">
        <f>IF(B173&gt;0,VLOOKUP(B173,КВСР!A73:B1238,2),IF(C173&gt;0,VLOOKUP(C173,КФСР!A73:B1585,2),IF(D173&gt;0,VLOOKUP(D173,Программа!A$1:B$5124,2),IF(F173&gt;0,VLOOKUP(F173,КВР!A$1:B$5001,2),IF(E173&gt;0,VLOOKUP(E173,Направление!A$1:B$4816,2))))))</f>
        <v xml:space="preserve">Закупка товаров, работ и услуг для обеспечения государственных (муниципальных) нужд
</v>
      </c>
      <c r="B173" s="760"/>
      <c r="C173" s="820"/>
      <c r="D173" s="760"/>
      <c r="E173" s="760"/>
      <c r="F173" s="763">
        <v>200</v>
      </c>
      <c r="G173" s="812">
        <v>31177870</v>
      </c>
      <c r="H173" s="812">
        <f>-17-40000</f>
        <v>-40017</v>
      </c>
      <c r="I173" s="805">
        <f>SUM(G173:H173)</f>
        <v>31137853</v>
      </c>
    </row>
    <row r="174" spans="1:9" s="101" customFormat="1" ht="47.25" x14ac:dyDescent="0.25">
      <c r="A174" s="826" t="str">
        <f>IF(B174&gt;0,VLOOKUP(B174,КВСР!#REF!,2),IF(C174&gt;0,VLOOKUP(C174,КФСР!#REF!,2),IF(D174&gt;0,VLOOKUP(D174,Программа!A$1:B$5124,2),IF(F174&gt;0,VLOOKUP(F174,КВР!A$1:B$5001,2),IF(E174&gt;0,VLOOKUP(E174,Направление!A$1:B$4816,2))))))</f>
        <v>Муниципальная программа "Развитие дорожного хозяйства в Тутаевском муниципальном районе"</v>
      </c>
      <c r="B174" s="758"/>
      <c r="C174" s="820"/>
      <c r="D174" s="760" t="s">
        <v>1409</v>
      </c>
      <c r="E174" s="760"/>
      <c r="F174" s="763"/>
      <c r="G174" s="812">
        <v>266355915</v>
      </c>
      <c r="H174" s="812">
        <f>H175+H180+H219+H210</f>
        <v>5593852</v>
      </c>
      <c r="I174" s="805">
        <f>I175+I180+I219+I210</f>
        <v>271949767</v>
      </c>
    </row>
    <row r="175" spans="1:9" s="101" customFormat="1" ht="47.25" x14ac:dyDescent="0.25">
      <c r="A175" s="826" t="str">
        <f>IF(B175&gt;0,VLOOKUP(B175,КВСР!#REF!,2),IF(C175&gt;0,VLOOKUP(C175,КФСР!#REF!,2),IF(D175&gt;0,VLOOKUP(D175,Программа!A$1:B$5124,2),IF(F175&gt;0,VLOOKUP(F175,КВР!A$1:B$5001,2),IF(E175&gt;0,VLOOKUP(E175,Направление!A$1:B$4816,2))))))</f>
        <v>Реализация мероприятий по повышению безопасности дорожного движения на автомобильных дорогах</v>
      </c>
      <c r="B175" s="758"/>
      <c r="C175" s="820"/>
      <c r="D175" s="760" t="s">
        <v>1410</v>
      </c>
      <c r="E175" s="760"/>
      <c r="F175" s="763"/>
      <c r="G175" s="812">
        <v>4797434</v>
      </c>
      <c r="H175" s="812">
        <f>H176+H178</f>
        <v>0</v>
      </c>
      <c r="I175" s="805">
        <f>I176+I178</f>
        <v>4797434</v>
      </c>
    </row>
    <row r="176" spans="1:9" s="101" customFormat="1" ht="31.5" hidden="1" x14ac:dyDescent="0.25">
      <c r="A176" s="826" t="str">
        <f>IF(B176&gt;0,VLOOKUP(B176,КВСР!#REF!,2),IF(C176&gt;0,VLOOKUP(C176,КФСР!#REF!,2),IF(D176&gt;0,VLOOKUP(D176,Программа!A$1:B$5124,2),IF(F176&gt;0,VLOOKUP(F176,КВР!A$1:B$5001,2),IF(E176&gt;0,VLOOKUP(E176,Направление!A$1:B$4816,2))))))</f>
        <v>Содержание и ремонт  автомобильных дорог общего пользования</v>
      </c>
      <c r="B176" s="758"/>
      <c r="C176" s="820"/>
      <c r="D176" s="760"/>
      <c r="E176" s="760">
        <v>10200</v>
      </c>
      <c r="F176" s="763"/>
      <c r="G176" s="812">
        <v>0</v>
      </c>
      <c r="H176" s="812">
        <f t="shared" ref="H176:I176" si="45">H177</f>
        <v>0</v>
      </c>
      <c r="I176" s="805">
        <f t="shared" si="45"/>
        <v>0</v>
      </c>
    </row>
    <row r="177" spans="1:11" s="101" customFormat="1" ht="47.25" hidden="1" x14ac:dyDescent="0.25">
      <c r="A177" s="826" t="str">
        <f>IF(B177&gt;0,VLOOKUP(B177,КВСР!#REF!,2),IF(C177&gt;0,VLOOKUP(C177,КФСР!#REF!,2),IF(D177&gt;0,VLOOKUP(D177,Программа!A$1:B$5124,2),IF(F177&gt;0,VLOOKUP(F177,КВР!A$1:B$5001,2),IF(E177&gt;0,VLOOKUP(E177,Направление!A$1:B$4816,2))))))</f>
        <v>Предоставление субсидий бюджетным, автономным учреждениям и иным некоммерческим организациям</v>
      </c>
      <c r="B177" s="758"/>
      <c r="C177" s="820"/>
      <c r="D177" s="760"/>
      <c r="E177" s="760"/>
      <c r="F177" s="763">
        <v>600</v>
      </c>
      <c r="G177" s="812">
        <v>0</v>
      </c>
      <c r="H177" s="812"/>
      <c r="I177" s="805">
        <f t="shared" ref="I177:I230" si="46">SUM(G177:H177)</f>
        <v>0</v>
      </c>
    </row>
    <row r="178" spans="1:11" s="101" customFormat="1" ht="47.25" x14ac:dyDescent="0.25">
      <c r="A178" s="826" t="str">
        <f>IF(B178&gt;0,VLOOKUP(B178,КВСР!#REF!,2),IF(C178&gt;0,VLOOKUP(C178,КФСР!#REF!,2),IF(D178&gt;0,VLOOKUP(D178,Программа!A$1:B$5124,2),IF(F178&gt;0,VLOOKUP(F178,КВР!A$1:B$5001,2),IF(E178&gt;0,VLOOKUP(E178,Направление!A$1:B$4816,2))))))</f>
        <v>Обеспечение   мероприятий в области  дорожного хозяйства  по повышению безопасности дорожного движения</v>
      </c>
      <c r="B178" s="758"/>
      <c r="C178" s="820"/>
      <c r="D178" s="760"/>
      <c r="E178" s="760">
        <v>29096</v>
      </c>
      <c r="F178" s="763"/>
      <c r="G178" s="813">
        <v>4797434</v>
      </c>
      <c r="H178" s="812">
        <f>H179</f>
        <v>0</v>
      </c>
      <c r="I178" s="805">
        <f>I179</f>
        <v>4797434</v>
      </c>
    </row>
    <row r="179" spans="1:11" s="101" customFormat="1" ht="61.5" customHeight="1" x14ac:dyDescent="0.25">
      <c r="A179" s="826" t="str">
        <f>IF(B179&gt;0,VLOOKUP(B179,КВСР!#REF!,2),IF(C179&gt;0,VLOOKUP(C179,КФСР!#REF!,2),IF(D179&gt;0,VLOOKUP(D179,Программа!A$1:B$5124,2),IF(F179&gt;0,VLOOKUP(F179,КВР!A$1:B$5001,2),IF(E179&gt;0,VLOOKUP(E179,Направление!A$1:B$4816,2))))))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758"/>
      <c r="C179" s="820"/>
      <c r="D179" s="760"/>
      <c r="E179" s="760"/>
      <c r="F179" s="763">
        <v>200</v>
      </c>
      <c r="G179" s="813">
        <v>4797434</v>
      </c>
      <c r="H179" s="812"/>
      <c r="I179" s="805">
        <f>G179+H179</f>
        <v>4797434</v>
      </c>
    </row>
    <row r="180" spans="1:11" s="101" customFormat="1" ht="78.75" x14ac:dyDescent="0.25">
      <c r="A180" s="826" t="str">
        <f>IF(B180&gt;0,VLOOKUP(B180,КВСР!#REF!,2),IF(C180&gt;0,VLOOKUP(C180,КФСР!#REF!,2),IF(D180&gt;0,VLOOKUP(D180,Программа!A$1:B$5124,2),IF(F180&gt;0,VLOOKUP(F180,КВР!A$1:B$5001,2),IF(E180&gt;0,VLOOKUP(E180,Направление!A$1:B$4816,2))))))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0" s="758"/>
      <c r="C180" s="820"/>
      <c r="D180" s="760" t="s">
        <v>1411</v>
      </c>
      <c r="E180" s="760"/>
      <c r="F180" s="763"/>
      <c r="G180" s="812">
        <v>155183952</v>
      </c>
      <c r="H180" s="812">
        <f>H181+H184+H188+H194+H196+H200+H202+H192+H208+H206+H190+H186+H204</f>
        <v>6549215</v>
      </c>
      <c r="I180" s="805">
        <f>I181+I184+I186+I188+I190+I192+I194+I196+I202+I204+I206+I208+I200+AB210</f>
        <v>161733167</v>
      </c>
    </row>
    <row r="181" spans="1:11" s="101" customFormat="1" ht="31.5" x14ac:dyDescent="0.25">
      <c r="A181" s="826" t="str">
        <f>IF(B181&gt;0,VLOOKUP(B181,КВСР!#REF!,2),IF(C181&gt;0,VLOOKUP(C181,КФСР!#REF!,2),IF(D181&gt;0,VLOOKUP(D181,Программа!A$1:B$5124,2),IF(F181&gt;0,VLOOKUP(F181,КВР!A$1:B$5001,2),IF(E181&gt;0,VLOOKUP(E181,Направление!A$1:B$4816,2))))))</f>
        <v>Содержание и ремонт  автомобильных дорог общего пользования</v>
      </c>
      <c r="B181" s="758"/>
      <c r="C181" s="820"/>
      <c r="D181" s="760"/>
      <c r="E181" s="760">
        <v>10200</v>
      </c>
      <c r="F181" s="763"/>
      <c r="G181" s="812">
        <v>23746186</v>
      </c>
      <c r="H181" s="812">
        <f>H183+H182</f>
        <v>0</v>
      </c>
      <c r="I181" s="805">
        <f>I183+I182</f>
        <v>23746186</v>
      </c>
    </row>
    <row r="182" spans="1:11" s="101" customFormat="1" ht="110.25" x14ac:dyDescent="0.25">
      <c r="A182" s="826" t="str">
        <f>IF(B182&gt;0,VLOOKUP(B182,КВСР!#REF!,2),IF(C182&gt;0,VLOOKUP(C182,КФСР!#REF!,2),IF(D182&gt;0,VLOOKUP(D182,Программа!A$1:B$5124,2),IF(F182&gt;0,VLOOKUP(F182,КВР!A$1:B$5001,2),IF(E182&gt;0,VLOOKUP(E182,Направление!A$1:B$4816,2))))))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758"/>
      <c r="C182" s="820"/>
      <c r="D182" s="760"/>
      <c r="E182" s="760"/>
      <c r="F182" s="763">
        <v>100</v>
      </c>
      <c r="G182" s="812">
        <v>4511716</v>
      </c>
      <c r="H182" s="812"/>
      <c r="I182" s="805">
        <f>SUM(G182:H182)</f>
        <v>4511716</v>
      </c>
    </row>
    <row r="183" spans="1:11" s="101" customFormat="1" ht="63" x14ac:dyDescent="0.25">
      <c r="A183" s="826" t="str">
        <f>IF(B183&gt;0,VLOOKUP(B183,КВСР!#REF!,2),IF(C183&gt;0,VLOOKUP(C183,КФСР!#REF!,2),IF(D183&gt;0,VLOOKUP(D183,Программа!A$1:B$5124,2),IF(F183&gt;0,VLOOKUP(F183,КВР!A$1:B$5001,2),IF(E183&gt;0,VLOOKUP(E183,Направление!A$1:B$4816,2))))))</f>
        <v xml:space="preserve">Закупка товаров, работ и услуг для обеспечения государственных (муниципальных) нужд
</v>
      </c>
      <c r="B183" s="758"/>
      <c r="C183" s="820"/>
      <c r="D183" s="760"/>
      <c r="E183" s="760"/>
      <c r="F183" s="763">
        <v>200</v>
      </c>
      <c r="G183" s="812">
        <v>19234470</v>
      </c>
      <c r="H183" s="812"/>
      <c r="I183" s="805">
        <f>SUM(G183:H183)</f>
        <v>19234470</v>
      </c>
    </row>
    <row r="184" spans="1:11" s="101" customFormat="1" ht="63" x14ac:dyDescent="0.25">
      <c r="A184" s="826" t="str">
        <f>IF(B184&gt;0,VLOOKUP(B184,КВСР!#REF!,2),IF(C184&gt;0,VLOOKUP(C184,КФСР!#REF!,2),IF(D184&gt;0,VLOOKUP(D184,Программа!A$1:B$5124,2),IF(F184&gt;0,VLOOKUP(F184,КВР!A$1:B$5001,2),IF(E184&gt;0,VLOOKUP(E184,Направление!A$1:B$4816,2))))))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4" s="758"/>
      <c r="C184" s="820"/>
      <c r="D184" s="760"/>
      <c r="E184" s="760">
        <v>12440</v>
      </c>
      <c r="F184" s="763"/>
      <c r="G184" s="813">
        <v>570000</v>
      </c>
      <c r="H184" s="812">
        <f>H185</f>
        <v>0</v>
      </c>
      <c r="I184" s="805">
        <f>I185</f>
        <v>570000</v>
      </c>
      <c r="K184" s="355"/>
    </row>
    <row r="185" spans="1:11" s="101" customFormat="1" ht="63" x14ac:dyDescent="0.25">
      <c r="A185" s="826" t="str">
        <f>IF(B185&gt;0,VLOOKUP(B185,КВСР!#REF!,2),IF(C185&gt;0,VLOOKUP(C185,КФСР!#REF!,2),IF(D185&gt;0,VLOOKUP(D185,Программа!A$1:B$5124,2),IF(F185&gt;0,VLOOKUP(F185,КВР!A$1:B$5001,2),IF(E185&gt;0,VLOOKUP(E185,Направление!A$1:B$4816,2))))))</f>
        <v xml:space="preserve">Закупка товаров, работ и услуг для обеспечения государственных (муниципальных) нужд
</v>
      </c>
      <c r="B185" s="758"/>
      <c r="C185" s="820"/>
      <c r="D185" s="760"/>
      <c r="E185" s="760"/>
      <c r="F185" s="763">
        <v>200</v>
      </c>
      <c r="G185" s="812">
        <v>570000</v>
      </c>
      <c r="H185" s="812"/>
      <c r="I185" s="805">
        <f t="shared" si="46"/>
        <v>570000</v>
      </c>
      <c r="K185" s="355"/>
    </row>
    <row r="186" spans="1:11" s="101" customFormat="1" ht="50.25" customHeight="1" x14ac:dyDescent="0.25">
      <c r="A186" s="826" t="str">
        <f>IF(B186&gt;0,VLOOKUP(B186,КВСР!#REF!,2),IF(C186&gt;0,VLOOKUP(C186,КФСР!#REF!,2),IF(D186&gt;0,VLOOKUP(D186,Программа!A$1:B$5124,2),IF(F186&gt;0,VLOOKUP(F186,КВР!A$1:B$5001,2),IF(E186&gt;0,VLOOKUP(E186,Направление!A$1:B$4816,2))))))</f>
        <v>Мероприятия по капитальному ремонту  и ремонту дорожных объектов муниципальной собственности</v>
      </c>
      <c r="B186" s="758"/>
      <c r="C186" s="820"/>
      <c r="D186" s="760"/>
      <c r="E186" s="760">
        <v>15620</v>
      </c>
      <c r="F186" s="763"/>
      <c r="G186" s="812">
        <v>294342</v>
      </c>
      <c r="H186" s="812">
        <f t="shared" ref="H186:I186" si="47">H187</f>
        <v>0</v>
      </c>
      <c r="I186" s="805">
        <f t="shared" si="47"/>
        <v>294342</v>
      </c>
      <c r="K186" s="355"/>
    </row>
    <row r="187" spans="1:11" s="101" customFormat="1" ht="63" x14ac:dyDescent="0.25">
      <c r="A187" s="826" t="str">
        <f>IF(B187&gt;0,VLOOKUP(B187,КВСР!#REF!,2),IF(C187&gt;0,VLOOKUP(C187,КФСР!#REF!,2),IF(D187&gt;0,VLOOKUP(D187,Программа!A$1:B$5124,2),IF(F187&gt;0,VLOOKUP(F187,КВР!A$1:B$5001,2),IF(E187&gt;0,VLOOKUP(E187,Направление!A$1:B$4816,2))))))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758"/>
      <c r="C187" s="820"/>
      <c r="D187" s="760"/>
      <c r="E187" s="760"/>
      <c r="F187" s="763">
        <v>200</v>
      </c>
      <c r="G187" s="812">
        <v>294342</v>
      </c>
      <c r="H187" s="812"/>
      <c r="I187" s="805">
        <f>SUM(G187:H187)</f>
        <v>294342</v>
      </c>
      <c r="K187" s="355"/>
    </row>
    <row r="188" spans="1:11" s="101" customFormat="1" ht="78.75" x14ac:dyDescent="0.25">
      <c r="A188" s="826" t="str">
        <f>IF(B188&gt;0,VLOOKUP(B188,КВСР!#REF!,2),IF(C188&gt;0,VLOOKUP(C188,КФСР!#REF!,2),IF(D188&gt;0,VLOOKUP(D188,Программа!A$1:B$5124,2),IF(F188&gt;0,VLOOKUP(F188,КВР!A$1:B$5001,2),IF(E188&gt;0,VLOOKUP(E188,Направление!A$1:B$4816,2))))))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8" s="758"/>
      <c r="C188" s="820"/>
      <c r="D188" s="760"/>
      <c r="E188" s="760">
        <v>22446</v>
      </c>
      <c r="F188" s="763"/>
      <c r="G188" s="813">
        <v>731700</v>
      </c>
      <c r="H188" s="812">
        <f>H189</f>
        <v>0</v>
      </c>
      <c r="I188" s="805">
        <f>I189</f>
        <v>731700</v>
      </c>
    </row>
    <row r="189" spans="1:11" s="101" customFormat="1" ht="63" x14ac:dyDescent="0.25">
      <c r="A189" s="826" t="str">
        <f>IF(B189&gt;0,VLOOKUP(B189,КВСР!#REF!,2),IF(C189&gt;0,VLOOKUP(C189,КФСР!#REF!,2),IF(D189&gt;0,VLOOKUP(D189,Программа!A$1:B$5124,2),IF(F189&gt;0,VLOOKUP(F189,КВР!A$1:B$5001,2),IF(E189&gt;0,VLOOKUP(E189,Направление!A$1:B$4816,2))))))</f>
        <v xml:space="preserve">Закупка товаров, работ и услуг для обеспечения государственных (муниципальных) нужд
</v>
      </c>
      <c r="B189" s="758"/>
      <c r="C189" s="820"/>
      <c r="D189" s="760"/>
      <c r="E189" s="760"/>
      <c r="F189" s="763">
        <v>200</v>
      </c>
      <c r="G189" s="812">
        <v>731700</v>
      </c>
      <c r="H189" s="812"/>
      <c r="I189" s="805">
        <f t="shared" si="46"/>
        <v>731700</v>
      </c>
    </row>
    <row r="190" spans="1:11" s="101" customFormat="1" ht="55.15" customHeight="1" x14ac:dyDescent="0.25">
      <c r="A190" s="826" t="str">
        <f>IF(B190&gt;0,VLOOKUP(B190,КВСР!#REF!,2),IF(C190&gt;0,VLOOKUP(C190,КФСР!#REF!,2),IF(D190&gt;0,VLOOKUP(D190,Программа!A$1:B$5124,2),IF(F190&gt;0,VLOOKUP(F190,КВР!A$1:B$5001,2),IF(E190&gt;0,VLOOKUP(E190,Направление!A$1:B$4816,2))))))</f>
        <v>Субсидия на ремонт дорожных объектов муниципальной собственности</v>
      </c>
      <c r="B190" s="758"/>
      <c r="C190" s="820"/>
      <c r="D190" s="760"/>
      <c r="E190" s="760">
        <v>25626</v>
      </c>
      <c r="F190" s="763"/>
      <c r="G190" s="812">
        <v>3016000</v>
      </c>
      <c r="H190" s="812">
        <f t="shared" ref="H190:I192" si="48">H191</f>
        <v>-2251</v>
      </c>
      <c r="I190" s="805">
        <f t="shared" si="48"/>
        <v>3013749</v>
      </c>
    </row>
    <row r="191" spans="1:11" s="101" customFormat="1" ht="63" x14ac:dyDescent="0.25">
      <c r="A191" s="826" t="str">
        <f>IF(B191&gt;0,VLOOKUP(B191,КВСР!#REF!,2),IF(C191&gt;0,VLOOKUP(C191,КФСР!#REF!,2),IF(D191&gt;0,VLOOKUP(D191,Программа!A$1:B$5124,2),IF(F191&gt;0,VLOOKUP(F191,КВР!A$1:B$5001,2),IF(E191&gt;0,VLOOKUP(E191,Направление!A$1:B$4816,2))))))</f>
        <v xml:space="preserve">Закупка товаров, работ и услуг для обеспечения государственных (муниципальных) нужд
</v>
      </c>
      <c r="B191" s="758"/>
      <c r="C191" s="820"/>
      <c r="D191" s="760"/>
      <c r="E191" s="760"/>
      <c r="F191" s="763">
        <v>200</v>
      </c>
      <c r="G191" s="812">
        <v>3016000</v>
      </c>
      <c r="H191" s="812">
        <v>-2251</v>
      </c>
      <c r="I191" s="805">
        <f>SUM(G191:H191)</f>
        <v>3013749</v>
      </c>
    </row>
    <row r="192" spans="1:11" s="101" customFormat="1" ht="78.75" x14ac:dyDescent="0.25">
      <c r="A192" s="826" t="str">
        <f>IF(B192&gt;0,VLOOKUP(B192,КВСР!#REF!,2),IF(C192&gt;0,VLOOKUP(C192,КФСР!#REF!,2),IF(D192&gt;0,VLOOKUP(D192,Программа!A$1:B$5124,2),IF(F192&gt;0,VLOOKUP(F192,КВР!A$1:B$5001,2),IF(E192&gt;0,VLOOKUP(E192,Направление!A$1:B$4816,2))))))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758"/>
      <c r="C192" s="820"/>
      <c r="D192" s="760"/>
      <c r="E192" s="760">
        <v>27356</v>
      </c>
      <c r="F192" s="763"/>
      <c r="G192" s="812">
        <v>1017030</v>
      </c>
      <c r="H192" s="812">
        <f t="shared" si="48"/>
        <v>-68016</v>
      </c>
      <c r="I192" s="805">
        <f t="shared" si="48"/>
        <v>949014</v>
      </c>
    </row>
    <row r="193" spans="1:9" s="101" customFormat="1" ht="63" x14ac:dyDescent="0.25">
      <c r="A193" s="826" t="str">
        <f>IF(B193&gt;0,VLOOKUP(B193,КВСР!#REF!,2),IF(C193&gt;0,VLOOKUP(C193,КФСР!#REF!,2),IF(D193&gt;0,VLOOKUP(D193,Программа!A$1:B$5124,2),IF(F193&gt;0,VLOOKUP(F193,КВР!A$1:B$5001,2),IF(E193&gt;0,VLOOKUP(E193,Направление!A$1:B$4816,2))))))</f>
        <v xml:space="preserve">Закупка товаров, работ и услуг для обеспечения государственных (муниципальных) нужд
</v>
      </c>
      <c r="B193" s="758"/>
      <c r="C193" s="820"/>
      <c r="D193" s="760"/>
      <c r="E193" s="760"/>
      <c r="F193" s="763">
        <v>200</v>
      </c>
      <c r="G193" s="812">
        <v>1017030</v>
      </c>
      <c r="H193" s="812">
        <v>-68016</v>
      </c>
      <c r="I193" s="805">
        <f>SUM(G193:H193)</f>
        <v>949014</v>
      </c>
    </row>
    <row r="194" spans="1:9" s="101" customFormat="1" ht="47.25" x14ac:dyDescent="0.25">
      <c r="A194" s="826" t="str">
        <f>IF(B194&gt;0,VLOOKUP(B194,КВСР!#REF!,2),IF(C194&gt;0,VLOOKUP(C194,КФСР!#REF!,2),IF(D194&gt;0,VLOOKUP(D194,Программа!A$1:B$5124,2),IF(F194&gt;0,VLOOKUP(F194,КВР!A$1:B$5001,2),IF(E194&gt;0,VLOOKUP(E194,Направление!A$1:B$4816,2))))))</f>
        <v>Обеспечение   мероприятий в области  дорожного хозяйства  на  ремонт и содержание автомобильных дорог</v>
      </c>
      <c r="B194" s="758"/>
      <c r="C194" s="820"/>
      <c r="D194" s="760"/>
      <c r="E194" s="760">
        <v>29086</v>
      </c>
      <c r="F194" s="763"/>
      <c r="G194" s="813">
        <v>12768302</v>
      </c>
      <c r="H194" s="812">
        <f>H195</f>
        <v>321000</v>
      </c>
      <c r="I194" s="805">
        <f>I195</f>
        <v>13089302</v>
      </c>
    </row>
    <row r="195" spans="1:9" s="101" customFormat="1" ht="63" x14ac:dyDescent="0.25">
      <c r="A195" s="826" t="str">
        <f>IF(B195&gt;0,VLOOKUP(B195,КВСР!#REF!,2),IF(C195&gt;0,VLOOKUP(C195,КФСР!#REF!,2),IF(D195&gt;0,VLOOKUP(D195,Программа!A$1:B$5124,2),IF(F195&gt;0,VLOOKUP(F195,КВР!A$1:B$5001,2),IF(E195&gt;0,VLOOKUP(E195,Направление!A$1:B$4816,2))))))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758"/>
      <c r="C195" s="820"/>
      <c r="D195" s="760"/>
      <c r="E195" s="760"/>
      <c r="F195" s="763">
        <v>200</v>
      </c>
      <c r="G195" s="813">
        <v>12768302</v>
      </c>
      <c r="H195" s="812">
        <v>321000</v>
      </c>
      <c r="I195" s="805">
        <f>SUM(G195:H195)</f>
        <v>13089302</v>
      </c>
    </row>
    <row r="196" spans="1:9" s="101" customFormat="1" ht="31.5" x14ac:dyDescent="0.25">
      <c r="A196" s="826" t="str">
        <f>IF(B196&gt;0,VLOOKUP(B196,КВСР!#REF!,2),IF(C196&gt;0,VLOOKUP(C196,КФСР!#REF!,2),IF(D196&gt;0,VLOOKUP(D196,Программа!A$1:B$5124,2),IF(F196&gt;0,VLOOKUP(F196,КВР!A$1:B$5001,2),IF(E196&gt;0,VLOOKUP(E196,Направление!A$1:B$4816,2))))))</f>
        <v>Содержание и организация деятельности дорожного хозяйства</v>
      </c>
      <c r="B196" s="758"/>
      <c r="C196" s="820"/>
      <c r="D196" s="760"/>
      <c r="E196" s="760">
        <v>29696</v>
      </c>
      <c r="F196" s="763"/>
      <c r="G196" s="813">
        <v>11996984</v>
      </c>
      <c r="H196" s="812">
        <f>SUM(H197:H199)</f>
        <v>744630</v>
      </c>
      <c r="I196" s="805">
        <f>SUM(I197:I199)</f>
        <v>12741614</v>
      </c>
    </row>
    <row r="197" spans="1:9" s="101" customFormat="1" ht="110.25" x14ac:dyDescent="0.25">
      <c r="A197" s="826" t="str">
        <f>IF(B197&gt;0,VLOOKUP(B197,КВСР!#REF!,2),IF(C197&gt;0,VLOOKUP(C197,КФСР!#REF!,2),IF(D197&gt;0,VLOOKUP(D197,Программа!A$1:B$5124,2),IF(F197&gt;0,VLOOKUP(F197,КВР!A$1:B$5001,2),IF(E197&gt;0,VLOOKUP(E197,Направление!A$1:B$4816,2))))))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7" s="758"/>
      <c r="C197" s="820"/>
      <c r="D197" s="760"/>
      <c r="E197" s="760"/>
      <c r="F197" s="763">
        <v>100</v>
      </c>
      <c r="G197" s="812">
        <v>2472805</v>
      </c>
      <c r="H197" s="812">
        <v>744630</v>
      </c>
      <c r="I197" s="805">
        <f t="shared" si="46"/>
        <v>3217435</v>
      </c>
    </row>
    <row r="198" spans="1:9" s="101" customFormat="1" ht="63" x14ac:dyDescent="0.25">
      <c r="A198" s="826" t="str">
        <f>IF(B198&gt;0,VLOOKUP(B198,КВСР!#REF!,2),IF(C198&gt;0,VLOOKUP(C198,КФСР!#REF!,2),IF(D198&gt;0,VLOOKUP(D198,Программа!A$1:B$5124,2),IF(F198&gt;0,VLOOKUP(F198,КВР!A$1:B$5001,2),IF(E198&gt;0,VLOOKUP(E198,Направление!A$1:B$4816,2))))))</f>
        <v xml:space="preserve">Закупка товаров, работ и услуг для обеспечения государственных (муниципальных) нужд
</v>
      </c>
      <c r="B198" s="758"/>
      <c r="C198" s="820"/>
      <c r="D198" s="760"/>
      <c r="E198" s="760"/>
      <c r="F198" s="763">
        <v>200</v>
      </c>
      <c r="G198" s="812">
        <v>9419179</v>
      </c>
      <c r="H198" s="812"/>
      <c r="I198" s="805">
        <f>G198+H198</f>
        <v>9419179</v>
      </c>
    </row>
    <row r="199" spans="1:9" s="101" customFormat="1" x14ac:dyDescent="0.25">
      <c r="A199" s="826" t="str">
        <f>IF(B199&gt;0,VLOOKUP(B199,КВСР!#REF!,2),IF(C199&gt;0,VLOOKUP(C199,КФСР!#REF!,2),IF(D199&gt;0,VLOOKUP(D199,Программа!A$1:B$5124,2),IF(F199&gt;0,VLOOKUP(F199,КВР!A$1:B$5001,2),IF(E199&gt;0,VLOOKUP(E199,Направление!A$1:B$4816,2))))))</f>
        <v>Иные бюджетные ассигнования</v>
      </c>
      <c r="B199" s="758"/>
      <c r="C199" s="820"/>
      <c r="D199" s="760"/>
      <c r="E199" s="760"/>
      <c r="F199" s="763">
        <v>800</v>
      </c>
      <c r="G199" s="812">
        <v>105000</v>
      </c>
      <c r="H199" s="812"/>
      <c r="I199" s="805">
        <f>SUM(G199:H199)</f>
        <v>105000</v>
      </c>
    </row>
    <row r="200" spans="1:9" s="101" customFormat="1" ht="47.25" x14ac:dyDescent="0.25">
      <c r="A200" s="826" t="str">
        <f>IF(B200&gt;0,VLOOKUP(B200,КВСР!#REF!,2),IF(C200&gt;0,VLOOKUP(C200,КФСР!#REF!,2),IF(D200&gt;0,VLOOKUP(D200,Программа!A$1:B$5124,2),IF(F200&gt;0,VLOOKUP(F200,КВР!A$1:B$5001,2),IF(E200&gt;0,VLOOKUP(E200,Направление!A$1:B$4816,2))))))</f>
        <v>Расходы на финансирование дорожного хозяйства за счет средств областного бюджета</v>
      </c>
      <c r="B200" s="758"/>
      <c r="C200" s="820"/>
      <c r="D200" s="760"/>
      <c r="E200" s="760">
        <v>72440</v>
      </c>
      <c r="F200" s="763"/>
      <c r="G200" s="812">
        <v>10771487</v>
      </c>
      <c r="H200" s="812">
        <f>H201</f>
        <v>0</v>
      </c>
      <c r="I200" s="805">
        <f>I201</f>
        <v>10771487</v>
      </c>
    </row>
    <row r="201" spans="1:9" s="101" customFormat="1" ht="63" x14ac:dyDescent="0.25">
      <c r="A201" s="826" t="str">
        <f>IF(B201&gt;0,VLOOKUP(B201,КВСР!#REF!,2),IF(C201&gt;0,VLOOKUP(C201,КФСР!#REF!,2),IF(D201&gt;0,VLOOKUP(D201,Программа!A$1:B$5124,2),IF(F201&gt;0,VLOOKUP(F201,КВР!A$1:B$5001,2),IF(E201&gt;0,VLOOKUP(E201,Направление!A$1:B$4816,2))))))</f>
        <v xml:space="preserve">Закупка товаров, работ и услуг для обеспечения государственных (муниципальных) нужд
</v>
      </c>
      <c r="B201" s="758"/>
      <c r="C201" s="820"/>
      <c r="D201" s="760"/>
      <c r="E201" s="760"/>
      <c r="F201" s="763">
        <v>200</v>
      </c>
      <c r="G201" s="812">
        <v>10771487</v>
      </c>
      <c r="H201" s="812"/>
      <c r="I201" s="805">
        <f t="shared" si="46"/>
        <v>10771487</v>
      </c>
    </row>
    <row r="202" spans="1:9" s="101" customFormat="1" ht="47.25" x14ac:dyDescent="0.25">
      <c r="A202" s="826" t="str">
        <f>IF(B202&gt;0,VLOOKUP(B202,КВСР!#REF!,2),IF(C202&gt;0,VLOOKUP(C202,КФСР!#REF!,2),IF(D202&gt;0,VLOOKUP(D202,Программа!A$1:B$5124,2),IF(F202&gt;0,VLOOKUP(F202,КВР!A$1:B$5001,2),IF(E202&gt;0,VLOOKUP(E202,Направление!A$1:B$4816,2))))))</f>
        <v>Расходы на финансирование дорожного хозяйства за счет средств областного бюджета</v>
      </c>
      <c r="B202" s="758"/>
      <c r="C202" s="820"/>
      <c r="D202" s="760"/>
      <c r="E202" s="760">
        <v>72446</v>
      </c>
      <c r="F202" s="763"/>
      <c r="G202" s="813">
        <v>13901864</v>
      </c>
      <c r="H202" s="812">
        <f>H203</f>
        <v>0</v>
      </c>
      <c r="I202" s="805">
        <f>I203</f>
        <v>13901864</v>
      </c>
    </row>
    <row r="203" spans="1:9" s="101" customFormat="1" ht="63" x14ac:dyDescent="0.25">
      <c r="A203" s="826" t="str">
        <f>IF(B203&gt;0,VLOOKUP(B203,КВСР!#REF!,2),IF(C203&gt;0,VLOOKUP(C203,КФСР!#REF!,2),IF(D203&gt;0,VLOOKUP(D203,Программа!A$1:B$5124,2),IF(F203&gt;0,VLOOKUP(F203,КВР!A$1:B$5001,2),IF(E203&gt;0,VLOOKUP(E203,Направление!A$1:B$4816,2))))))</f>
        <v xml:space="preserve">Закупка товаров, работ и услуг для обеспечения государственных (муниципальных) нужд
</v>
      </c>
      <c r="B203" s="758"/>
      <c r="C203" s="820"/>
      <c r="D203" s="760"/>
      <c r="E203" s="760"/>
      <c r="F203" s="763">
        <v>200</v>
      </c>
      <c r="G203" s="812">
        <v>13901864</v>
      </c>
      <c r="H203" s="812"/>
      <c r="I203" s="805">
        <f t="shared" si="46"/>
        <v>13901864</v>
      </c>
    </row>
    <row r="204" spans="1:9" s="101" customFormat="1" ht="63" x14ac:dyDescent="0.25">
      <c r="A204" s="826" t="str">
        <f>IF(B204&gt;0,VLOOKUP(B204,КВСР!#REF!,2),IF(C204&gt;0,VLOOKUP(C204,КФСР!#REF!,2),IF(D204&gt;0,VLOOKUP(D204,Программа!A$1:B$5124,2),IF(F204&gt;0,VLOOKUP(F204,КВР!A$1:B$5001,2),IF(E204&gt;0,VLOOKUP(E204,Направление!A$1:B$4816,2))))))</f>
        <v>Мероприятия  по капитальному ремонту и ремонту дорожных объектов муниципальной собственности  из бюджета ЯО</v>
      </c>
      <c r="B204" s="758"/>
      <c r="C204" s="820"/>
      <c r="D204" s="760"/>
      <c r="E204" s="760">
        <v>75620</v>
      </c>
      <c r="F204" s="763"/>
      <c r="G204" s="812"/>
      <c r="H204" s="812">
        <f>H205</f>
        <v>5592622</v>
      </c>
      <c r="I204" s="805">
        <f>I205</f>
        <v>5592622</v>
      </c>
    </row>
    <row r="205" spans="1:9" s="101" customFormat="1" ht="63" x14ac:dyDescent="0.25">
      <c r="A205" s="826" t="str">
        <f>IF(B205&gt;0,VLOOKUP(B205,КВСР!#REF!,2),IF(C205&gt;0,VLOOKUP(C205,КФСР!#REF!,2),IF(D205&gt;0,VLOOKUP(D205,Программа!A$1:B$5124,2),IF(F205&gt;0,VLOOKUP(F205,КВР!A$1:B$5001,2),IF(E205&gt;0,VLOOKUP(E205,Направление!A$1:B$4816,2))))))</f>
        <v xml:space="preserve">Закупка товаров, работ и услуг для обеспечения государственных (муниципальных) нужд
</v>
      </c>
      <c r="B205" s="758"/>
      <c r="C205" s="820"/>
      <c r="D205" s="760"/>
      <c r="E205" s="760"/>
      <c r="F205" s="763">
        <v>200</v>
      </c>
      <c r="G205" s="812"/>
      <c r="H205" s="812">
        <v>5592622</v>
      </c>
      <c r="I205" s="805">
        <f>SUM(G205:H205)</f>
        <v>5592622</v>
      </c>
    </row>
    <row r="206" spans="1:9" s="101" customFormat="1" ht="31.5" x14ac:dyDescent="0.25">
      <c r="A206" s="826" t="str">
        <f>IF(B206&gt;0,VLOOKUP(B206,КВСР!#REF!,2),IF(C206&gt;0,VLOOKUP(C206,КФСР!#REF!,2),IF(D206&gt;0,VLOOKUP(D206,Программа!A$1:B$5124,2),IF(F206&gt;0,VLOOKUP(F206,КВР!A$1:B$5001,2),IF(E206&gt;0,VLOOKUP(E206,Направление!A$1:B$4816,2))))))</f>
        <v>Субсидия на ремонт дорожных объектов муниципальной собственности</v>
      </c>
      <c r="B206" s="758"/>
      <c r="C206" s="820"/>
      <c r="D206" s="760"/>
      <c r="E206" s="760">
        <v>75626</v>
      </c>
      <c r="F206" s="763"/>
      <c r="G206" s="813">
        <v>57300000</v>
      </c>
      <c r="H206" s="812">
        <f>H207</f>
        <v>-38770</v>
      </c>
      <c r="I206" s="805">
        <f>I207</f>
        <v>57261230</v>
      </c>
    </row>
    <row r="207" spans="1:9" s="101" customFormat="1" ht="63" x14ac:dyDescent="0.25">
      <c r="A207" s="826" t="str">
        <f>IF(B207&gt;0,VLOOKUP(B207,КВСР!#REF!,2),IF(C207&gt;0,VLOOKUP(C207,КФСР!#REF!,2),IF(D207&gt;0,VLOOKUP(D207,Программа!A$1:B$5124,2),IF(F207&gt;0,VLOOKUP(F207,КВР!A$1:B$5001,2),IF(E207&gt;0,VLOOKUP(E207,Направление!A$1:B$4816,2))))))</f>
        <v xml:space="preserve">Закупка товаров, работ и услуг для обеспечения государственных (муниципальных) нужд
</v>
      </c>
      <c r="B207" s="758"/>
      <c r="C207" s="820"/>
      <c r="D207" s="760"/>
      <c r="E207" s="760"/>
      <c r="F207" s="763">
        <v>200</v>
      </c>
      <c r="G207" s="812">
        <v>57300000</v>
      </c>
      <c r="H207" s="812">
        <v>-38770</v>
      </c>
      <c r="I207" s="805">
        <f t="shared" ref="I207" si="49">SUM(G207:H207)</f>
        <v>57261230</v>
      </c>
    </row>
    <row r="208" spans="1:9" s="101" customFormat="1" ht="78.75" x14ac:dyDescent="0.25">
      <c r="A208" s="826" t="str">
        <f>IF(B208&gt;0,VLOOKUP(B208,КВСР!#REF!,2),IF(C208&gt;0,VLOOKUP(C208,КФСР!#REF!,2),IF(D208&gt;0,VLOOKUP(D208,Программа!A$1:B$5124,2),IF(F208&gt;0,VLOOKUP(F208,КВР!A$1:B$5001,2),IF(E208&gt;0,VLOOKUP(E208,Направление!A$1:B$4816,2))))))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208" s="758"/>
      <c r="C208" s="820"/>
      <c r="D208" s="760"/>
      <c r="E208" s="760">
        <v>77356</v>
      </c>
      <c r="F208" s="763"/>
      <c r="G208" s="812">
        <v>19070057</v>
      </c>
      <c r="H208" s="812">
        <f>H209</f>
        <v>0</v>
      </c>
      <c r="I208" s="805">
        <f>SUM(G208:H208)</f>
        <v>19070057</v>
      </c>
    </row>
    <row r="209" spans="1:9" s="101" customFormat="1" ht="63" x14ac:dyDescent="0.25">
      <c r="A209" s="826" t="str">
        <f>IF(B209&gt;0,VLOOKUP(B209,КВСР!#REF!,2),IF(C209&gt;0,VLOOKUP(C209,КФСР!#REF!,2),IF(D209&gt;0,VLOOKUP(D209,Программа!A$1:B$5124,2),IF(F209&gt;0,VLOOKUP(F209,КВР!A$1:B$5001,2),IF(E209&gt;0,VLOOKUP(E209,Направление!A$1:B$4816,2))))))</f>
        <v xml:space="preserve">Закупка товаров, работ и услуг для обеспечения государственных (муниципальных) нужд
</v>
      </c>
      <c r="B209" s="758"/>
      <c r="C209" s="820"/>
      <c r="D209" s="760"/>
      <c r="E209" s="760"/>
      <c r="F209" s="763">
        <v>200</v>
      </c>
      <c r="G209" s="812">
        <v>19070057</v>
      </c>
      <c r="H209" s="812"/>
      <c r="I209" s="805">
        <f>SUM(G209:H209)</f>
        <v>19070057</v>
      </c>
    </row>
    <row r="210" spans="1:9" s="101" customFormat="1" ht="78.75" x14ac:dyDescent="0.25">
      <c r="A210" s="826" t="str">
        <f>IF(B210&gt;0,VLOOKUP(B210,КВСР!#REF!,2),IF(C210&gt;0,VLOOKUP(C210,КФСР!#REF!,2),IF(D210&gt;0,VLOOKUP(D210,Программа!A$1:B$5124,2),IF(F210&gt;0,VLOOKUP(F210,КВР!A$1:B$5001,2),IF(E210&gt;0,VLOOKUP(E210,Направление!A$1:B$4816,2))))))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758"/>
      <c r="C210" s="820"/>
      <c r="D210" s="760" t="s">
        <v>1574</v>
      </c>
      <c r="E210" s="760"/>
      <c r="F210" s="763"/>
      <c r="G210" s="812">
        <v>47018529</v>
      </c>
      <c r="H210" s="812">
        <f>H213+H215+H217+H211</f>
        <v>0</v>
      </c>
      <c r="I210" s="805">
        <f>I213+I215+I217+I211</f>
        <v>47018529</v>
      </c>
    </row>
    <row r="211" spans="1:9" s="101" customFormat="1" ht="69" hidden="1" customHeight="1" x14ac:dyDescent="0.25">
      <c r="A211" s="826" t="str">
        <f>IF(B211&gt;0,VLOOKUP(B211,КВСР!#REF!,2),IF(C211&gt;0,VLOOKUP(C211,КФСР!#REF!,2),IF(D211&gt;0,VLOOKUP(D211,Программа!A$1:B$5124,2),IF(F211&gt;0,VLOOKUP(F211,КВР!A$1:B$5001,2),IF(E211&gt;0,VLOOKUP(E211,Направление!A$1:B$4816,2))))))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11" s="758"/>
      <c r="C211" s="820"/>
      <c r="D211" s="760"/>
      <c r="E211" s="760">
        <v>76513</v>
      </c>
      <c r="F211" s="763"/>
      <c r="G211" s="812">
        <v>0</v>
      </c>
      <c r="H211" s="812">
        <f t="shared" ref="H211:I211" si="50">H212</f>
        <v>0</v>
      </c>
      <c r="I211" s="805">
        <f t="shared" si="50"/>
        <v>0</v>
      </c>
    </row>
    <row r="212" spans="1:9" s="101" customFormat="1" ht="54" hidden="1" customHeight="1" x14ac:dyDescent="0.25">
      <c r="A212" s="826" t="str">
        <f>IF(B212&gt;0,VLOOKUP(B212,КВСР!#REF!,2),IF(C212&gt;0,VLOOKUP(C212,КФСР!#REF!,2),IF(D212&gt;0,VLOOKUP(D212,Программа!A$1:B$5124,2),IF(F212&gt;0,VLOOKUP(F212,КВР!A$1:B$5001,2),IF(E212&gt;0,VLOOKUP(E212,Направление!A$1:B$4816,2))))))</f>
        <v>Капитальные вложения в объекты государственной (муниципальной) собственности</v>
      </c>
      <c r="B212" s="758"/>
      <c r="C212" s="820"/>
      <c r="D212" s="760"/>
      <c r="E212" s="760"/>
      <c r="F212" s="763">
        <v>400</v>
      </c>
      <c r="G212" s="812">
        <v>0</v>
      </c>
      <c r="H212" s="812"/>
      <c r="I212" s="805">
        <f>SUM(G212:H212)</f>
        <v>0</v>
      </c>
    </row>
    <row r="213" spans="1:9" s="101" customFormat="1" ht="102" customHeight="1" x14ac:dyDescent="0.25">
      <c r="A213" s="826" t="str">
        <f>IF(B213&gt;0,VLOOKUP(B213,КВСР!#REF!,2),IF(C213&gt;0,VLOOKUP(C213,КФСР!#REF!,2),IF(D213&gt;0,VLOOKUP(D213,Программа!A$1:B$5124,2),IF(F213&gt;0,VLOOKUP(F213,КВР!A$1:B$5001,2),IF(E213&gt;0,VLOOKUP(E213,Направление!A$1:B$4816,2))))))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13" s="758"/>
      <c r="C213" s="820"/>
      <c r="D213" s="760"/>
      <c r="E213" s="760">
        <v>76935</v>
      </c>
      <c r="F213" s="763"/>
      <c r="G213" s="812">
        <v>29307264</v>
      </c>
      <c r="H213" s="812">
        <f>H214</f>
        <v>0</v>
      </c>
      <c r="I213" s="805">
        <f>I214</f>
        <v>29307264</v>
      </c>
    </row>
    <row r="214" spans="1:9" s="101" customFormat="1" ht="47.25" x14ac:dyDescent="0.25">
      <c r="A214" s="826" t="str">
        <f>IF(B214&gt;0,VLOOKUP(B214,КВСР!#REF!,2),IF(C214&gt;0,VLOOKUP(C214,КФСР!#REF!,2),IF(D214&gt;0,VLOOKUP(D214,Программа!A$1:B$5124,2),IF(F214&gt;0,VLOOKUP(F214,КВР!A$1:B$5001,2),IF(E214&gt;0,VLOOKUP(E214,Направление!A$1:B$4816,2))))))</f>
        <v>Капитальные вложения в объекты государственной (муниципальной) собственности</v>
      </c>
      <c r="B214" s="758"/>
      <c r="C214" s="820"/>
      <c r="D214" s="760"/>
      <c r="E214" s="760"/>
      <c r="F214" s="763">
        <v>400</v>
      </c>
      <c r="G214" s="812">
        <v>29307264</v>
      </c>
      <c r="H214" s="812"/>
      <c r="I214" s="805">
        <f>SUM(G214:H214)</f>
        <v>29307264</v>
      </c>
    </row>
    <row r="215" spans="1:9" s="101" customFormat="1" ht="94.5" x14ac:dyDescent="0.25">
      <c r="A215" s="826" t="str">
        <f>IF(B215&gt;0,VLOOKUP(B215,КВСР!#REF!,2),IF(C215&gt;0,VLOOKUP(C215,КФСР!#REF!,2),IF(D215&gt;0,VLOOKUP(D215,Программа!A$1:B$5124,2),IF(F215&gt;0,VLOOKUP(F215,КВР!A$1:B$5001,2),IF(E215&gt;0,VLOOKUP(E215,Направление!A$1:B$4816,2))))))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758"/>
      <c r="C215" s="820"/>
      <c r="D215" s="760"/>
      <c r="E215" s="760">
        <v>76936</v>
      </c>
      <c r="F215" s="763"/>
      <c r="G215" s="812">
        <v>14631765</v>
      </c>
      <c r="H215" s="812">
        <f>H216</f>
        <v>0</v>
      </c>
      <c r="I215" s="805">
        <f>I216</f>
        <v>14631765</v>
      </c>
    </row>
    <row r="216" spans="1:9" s="101" customFormat="1" ht="47.25" x14ac:dyDescent="0.25">
      <c r="A216" s="826" t="str">
        <f>IF(B216&gt;0,VLOOKUP(B216,КВСР!#REF!,2),IF(C216&gt;0,VLOOKUP(C216,КФСР!#REF!,2),IF(D216&gt;0,VLOOKUP(D216,Программа!A$1:B$5124,2),IF(F216&gt;0,VLOOKUP(F216,КВР!A$1:B$5001,2),IF(E216&gt;0,VLOOKUP(E216,Направление!A$1:B$4816,2))))))</f>
        <v>Капитальные вложения в объекты государственной (муниципальной) собственности</v>
      </c>
      <c r="B216" s="758"/>
      <c r="C216" s="820"/>
      <c r="D216" s="760"/>
      <c r="E216" s="760"/>
      <c r="F216" s="763">
        <v>400</v>
      </c>
      <c r="G216" s="812">
        <v>14631765</v>
      </c>
      <c r="H216" s="812"/>
      <c r="I216" s="805">
        <f>SUM(G216:H216)</f>
        <v>14631765</v>
      </c>
    </row>
    <row r="217" spans="1:9" s="101" customFormat="1" ht="126" x14ac:dyDescent="0.25">
      <c r="A217" s="826" t="str">
        <f>IF(B217&gt;0,VLOOKUP(B217,КВСР!#REF!,2),IF(C217&gt;0,VLOOKUP(C217,КФСР!#REF!,2),IF(D217&gt;0,VLOOKUP(D217,Программа!A$1:B$5124,2),IF(F217&gt;0,VLOOKUP(F217,КВР!A$1:B$5001,2),IF(E217&gt;0,VLOOKUP(E217,Направление!A$1:B$4816,2))))))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7" s="758"/>
      <c r="C217" s="820"/>
      <c r="D217" s="760"/>
      <c r="E217" s="760">
        <v>26936</v>
      </c>
      <c r="F217" s="763"/>
      <c r="G217" s="812">
        <v>3079500</v>
      </c>
      <c r="H217" s="812">
        <f>H218</f>
        <v>0</v>
      </c>
      <c r="I217" s="805">
        <f>I218</f>
        <v>3079500</v>
      </c>
    </row>
    <row r="218" spans="1:9" s="101" customFormat="1" ht="47.25" x14ac:dyDescent="0.25">
      <c r="A218" s="826" t="str">
        <f>IF(B218&gt;0,VLOOKUP(B218,КВСР!#REF!,2),IF(C218&gt;0,VLOOKUP(C218,КФСР!#REF!,2),IF(D218&gt;0,VLOOKUP(D218,Программа!A$1:B$5124,2),IF(F218&gt;0,VLOOKUP(F218,КВР!A$1:B$5001,2),IF(E218&gt;0,VLOOKUP(E218,Направление!A$1:B$4816,2))))))</f>
        <v>Капитальные вложения в объекты государственной (муниципальной) собственности</v>
      </c>
      <c r="B218" s="758"/>
      <c r="C218" s="820"/>
      <c r="D218" s="760"/>
      <c r="E218" s="760"/>
      <c r="F218" s="763">
        <v>400</v>
      </c>
      <c r="G218" s="812">
        <v>3079500</v>
      </c>
      <c r="H218" s="812"/>
      <c r="I218" s="805">
        <f>SUM(G218:H218)</f>
        <v>3079500</v>
      </c>
    </row>
    <row r="219" spans="1:9" s="101" customFormat="1" ht="31.5" x14ac:dyDescent="0.25">
      <c r="A219" s="826" t="str">
        <f>IF(B219&gt;0,VLOOKUP(B219,КВСР!#REF!,2),IF(C219&gt;0,VLOOKUP(C219,КФСР!#REF!,2),IF(D219&gt;0,VLOOKUP(D219,Программа!A$1:B$5124,2),IF(F219&gt;0,VLOOKUP(F219,КВР!A$1:B$5001,2),IF(E219&gt;0,VLOOKUP(E219,Направление!A$1:B$4816,2))))))</f>
        <v>Реализация федерального проекта "Дорожная сеть"</v>
      </c>
      <c r="B219" s="758"/>
      <c r="C219" s="820"/>
      <c r="D219" s="760" t="s">
        <v>1412</v>
      </c>
      <c r="E219" s="760"/>
      <c r="F219" s="763"/>
      <c r="G219" s="812">
        <v>59356000</v>
      </c>
      <c r="H219" s="812">
        <f>H222+H226+H220+H224</f>
        <v>-955363</v>
      </c>
      <c r="I219" s="805">
        <f>I222+I226+I220+I224</f>
        <v>58400637</v>
      </c>
    </row>
    <row r="220" spans="1:9" s="101" customFormat="1" ht="78.75" hidden="1" x14ac:dyDescent="0.25">
      <c r="A220" s="826" t="str">
        <f>IF(B220&gt;0,VLOOKUP(B220,КВСР!#REF!,2),IF(C220&gt;0,VLOOKUP(C220,КФСР!#REF!,2),IF(D220&gt;0,VLOOKUP(D220,Программа!A$1:B$5124,2),IF(F220&gt;0,VLOOKUP(F220,КВР!A$1:B$5001,2),IF(E220&gt;0,VLOOKUP(E220,Направление!A$1:B$4816,2))))))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20" s="758"/>
      <c r="C220" s="820"/>
      <c r="D220" s="760"/>
      <c r="E220" s="760">
        <v>13930</v>
      </c>
      <c r="F220" s="763"/>
      <c r="G220" s="812">
        <v>0</v>
      </c>
      <c r="H220" s="812">
        <f t="shared" ref="H220:I220" si="51">H221</f>
        <v>0</v>
      </c>
      <c r="I220" s="805">
        <f t="shared" si="51"/>
        <v>0</v>
      </c>
    </row>
    <row r="221" spans="1:9" s="101" customFormat="1" ht="63" hidden="1" x14ac:dyDescent="0.25">
      <c r="A221" s="826" t="str">
        <f>IF(B221&gt;0,VLOOKUP(B221,КВСР!#REF!,2),IF(C221&gt;0,VLOOKUP(C221,КФСР!#REF!,2),IF(D221&gt;0,VLOOKUP(D221,Программа!A$1:B$5124,2),IF(F221&gt;0,VLOOKUP(F221,КВР!A$1:B$5001,2),IF(E221&gt;0,VLOOKUP(E221,Направление!A$1:B$4816,2))))))</f>
        <v xml:space="preserve">Закупка товаров, работ и услуг для обеспечения государственных (муниципальных) нужд
</v>
      </c>
      <c r="B221" s="758"/>
      <c r="C221" s="820"/>
      <c r="D221" s="760"/>
      <c r="E221" s="760"/>
      <c r="F221" s="763">
        <v>200</v>
      </c>
      <c r="G221" s="812">
        <v>0</v>
      </c>
      <c r="H221" s="812"/>
      <c r="I221" s="805">
        <f>SUM(G221:H221)</f>
        <v>0</v>
      </c>
    </row>
    <row r="222" spans="1:9" s="101" customFormat="1" ht="94.5" x14ac:dyDescent="0.25">
      <c r="A222" s="826" t="str">
        <f>IF(B222&gt;0,VLOOKUP(B222,КВСР!#REF!,2),IF(C222&gt;0,VLOOKUP(C222,КФСР!#REF!,2),IF(D222&gt;0,VLOOKUP(D222,Программа!A$1:B$5124,2),IF(F222&gt;0,VLOOKUP(F222,КВР!A$1:B$5001,2),IF(E222&gt;0,VLOOKUP(E222,Направление!A$1:B$4816,2))))))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2" s="758"/>
      <c r="C222" s="820"/>
      <c r="D222" s="760"/>
      <c r="E222" s="760">
        <v>23936</v>
      </c>
      <c r="F222" s="763"/>
      <c r="G222" s="812">
        <v>5556000</v>
      </c>
      <c r="H222" s="812">
        <f>H223</f>
        <v>-955363</v>
      </c>
      <c r="I222" s="805">
        <f>I223</f>
        <v>4600637</v>
      </c>
    </row>
    <row r="223" spans="1:9" s="101" customFormat="1" ht="63" x14ac:dyDescent="0.25">
      <c r="A223" s="826" t="str">
        <f>IF(B223&gt;0,VLOOKUP(B223,КВСР!#REF!,2),IF(C223&gt;0,VLOOKUP(C223,КФСР!#REF!,2),IF(D223&gt;0,VLOOKUP(D223,Программа!A$1:B$5124,2),IF(F223&gt;0,VLOOKUP(F223,КВР!A$1:B$5001,2),IF(E223&gt;0,VLOOKUP(E223,Направление!A$1:B$4816,2))))))</f>
        <v xml:space="preserve">Закупка товаров, работ и услуг для обеспечения государственных (муниципальных) нужд
</v>
      </c>
      <c r="B223" s="758"/>
      <c r="C223" s="820"/>
      <c r="D223" s="760"/>
      <c r="E223" s="760"/>
      <c r="F223" s="763">
        <v>200</v>
      </c>
      <c r="G223" s="812">
        <v>5556000</v>
      </c>
      <c r="H223" s="812">
        <v>-955363</v>
      </c>
      <c r="I223" s="805">
        <f>SUM(G223:H223)</f>
        <v>4600637</v>
      </c>
    </row>
    <row r="224" spans="1:9" s="101" customFormat="1" ht="78.75" hidden="1" x14ac:dyDescent="0.25">
      <c r="A224" s="826" t="str">
        <f>IF(B224&gt;0,VLOOKUP(B224,КВСР!#REF!,2),IF(C224&gt;0,VLOOKUP(C224,КФСР!#REF!,2),IF(D224&gt;0,VLOOKUP(D224,Программа!A$1:B$5124,2),IF(F224&gt;0,VLOOKUP(F224,КВР!A$1:B$5001,2),IF(E224&gt;0,VLOOKUP(E224,Направление!A$1:B$4816,2))))))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758"/>
      <c r="C224" s="820"/>
      <c r="D224" s="760"/>
      <c r="E224" s="760">
        <v>73930</v>
      </c>
      <c r="F224" s="763"/>
      <c r="G224" s="812">
        <v>0</v>
      </c>
      <c r="H224" s="812">
        <f t="shared" ref="H224:I224" si="52">H225</f>
        <v>0</v>
      </c>
      <c r="I224" s="805">
        <f t="shared" si="52"/>
        <v>0</v>
      </c>
    </row>
    <row r="225" spans="1:9" s="101" customFormat="1" ht="63" hidden="1" x14ac:dyDescent="0.25">
      <c r="A225" s="826" t="str">
        <f>IF(B225&gt;0,VLOOKUP(B225,КВСР!#REF!,2),IF(C225&gt;0,VLOOKUP(C225,КФСР!#REF!,2),IF(D225&gt;0,VLOOKUP(D225,Программа!A$1:B$5124,2),IF(F225&gt;0,VLOOKUP(F225,КВР!A$1:B$5001,2),IF(E225&gt;0,VLOOKUP(E225,Направление!A$1:B$4816,2))))))</f>
        <v xml:space="preserve">Закупка товаров, работ и услуг для обеспечения государственных (муниципальных) нужд
</v>
      </c>
      <c r="B225" s="758"/>
      <c r="C225" s="820"/>
      <c r="D225" s="760"/>
      <c r="E225" s="760"/>
      <c r="F225" s="763">
        <v>200</v>
      </c>
      <c r="G225" s="812">
        <v>0</v>
      </c>
      <c r="H225" s="812"/>
      <c r="I225" s="805">
        <f>SUM(G225:H225)</f>
        <v>0</v>
      </c>
    </row>
    <row r="226" spans="1:9" s="101" customFormat="1" ht="94.5" x14ac:dyDescent="0.25">
      <c r="A226" s="826" t="str">
        <f>IF(B226&gt;0,VLOOKUP(B226,КВСР!#REF!,2),IF(C226&gt;0,VLOOKUP(C226,КФСР!#REF!,2),IF(D226&gt;0,VLOOKUP(D226,Программа!A$1:B$5124,2),IF(F226&gt;0,VLOOKUP(F226,КВР!A$1:B$5001,2),IF(E226&gt;0,VLOOKUP(E226,Направление!A$1:B$4816,2))))))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758"/>
      <c r="C226" s="820"/>
      <c r="D226" s="760"/>
      <c r="E226" s="760">
        <v>73936</v>
      </c>
      <c r="F226" s="763"/>
      <c r="G226" s="812">
        <v>53800000</v>
      </c>
      <c r="H226" s="812">
        <f>H227</f>
        <v>0</v>
      </c>
      <c r="I226" s="805">
        <f>I227</f>
        <v>53800000</v>
      </c>
    </row>
    <row r="227" spans="1:9" s="101" customFormat="1" ht="63" x14ac:dyDescent="0.25">
      <c r="A227" s="826" t="str">
        <f>IF(B227&gt;0,VLOOKUP(B227,КВСР!#REF!,2),IF(C227&gt;0,VLOOKUP(C227,КФСР!#REF!,2),IF(D227&gt;0,VLOOKUP(D227,Программа!A$1:B$5124,2),IF(F227&gt;0,VLOOKUP(F227,КВР!A$1:B$5001,2),IF(E227&gt;0,VLOOKUP(E227,Направление!A$1:B$4816,2))))))</f>
        <v xml:space="preserve">Закупка товаров, работ и услуг для обеспечения государственных (муниципальных) нужд
</v>
      </c>
      <c r="B227" s="758"/>
      <c r="C227" s="820"/>
      <c r="D227" s="760"/>
      <c r="E227" s="760"/>
      <c r="F227" s="763">
        <v>200</v>
      </c>
      <c r="G227" s="812">
        <v>53800000</v>
      </c>
      <c r="H227" s="812"/>
      <c r="I227" s="805">
        <f>G227+H227</f>
        <v>53800000</v>
      </c>
    </row>
    <row r="228" spans="1:9" s="101" customFormat="1" ht="31.5" hidden="1" x14ac:dyDescent="0.25">
      <c r="A228" s="826" t="str">
        <f>IF(B228&gt;0,VLOOKUP(B228,КВСР!#REF!,2),IF(C228&gt;0,VLOOKUP(C228,КФСР!#REF!,2),IF(D228&gt;0,VLOOKUP(D228,Программа!A$1:B$5124,2),IF(F228&gt;0,VLOOKUP(F228,КВР!A$1:B$5001,2),IF(E228&gt;0,VLOOKUP(E228,Направление!A$1:B$4816,2))))))</f>
        <v>Межбюджетные трансферты  поселениям района</v>
      </c>
      <c r="B228" s="758"/>
      <c r="C228" s="820"/>
      <c r="D228" s="760" t="s">
        <v>478</v>
      </c>
      <c r="E228" s="760"/>
      <c r="F228" s="763"/>
      <c r="G228" s="813">
        <v>0</v>
      </c>
      <c r="H228" s="812">
        <f>H229</f>
        <v>0</v>
      </c>
      <c r="I228" s="805">
        <f>I229</f>
        <v>0</v>
      </c>
    </row>
    <row r="229" spans="1:9" s="101" customFormat="1" ht="126" hidden="1" x14ac:dyDescent="0.25">
      <c r="A229" s="826" t="str">
        <f>IF(B229&gt;0,VLOOKUP(B229,КВСР!#REF!,2),IF(C229&gt;0,VLOOKUP(C229,КФСР!#REF!,2),IF(D229&gt;0,VLOOKUP(D229,Программа!A$1:B$5124,2),IF(F229&gt;0,VLOOKUP(F229,КВР!A$1:B$5001,2),IF(E229&gt;0,VLOOKUP(E229,Направление!A$1:B$4816,2))))))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9" s="758"/>
      <c r="C229" s="820"/>
      <c r="D229" s="760"/>
      <c r="E229" s="760">
        <v>10052</v>
      </c>
      <c r="F229" s="763"/>
      <c r="G229" s="812">
        <v>0</v>
      </c>
      <c r="H229" s="812">
        <f t="shared" ref="H229:I229" si="53">H230</f>
        <v>0</v>
      </c>
      <c r="I229" s="805">
        <f t="shared" si="53"/>
        <v>0</v>
      </c>
    </row>
    <row r="230" spans="1:9" s="101" customFormat="1" hidden="1" x14ac:dyDescent="0.25">
      <c r="A230" s="826" t="str">
        <f>IF(B230&gt;0,VLOOKUP(B230,КВСР!#REF!,2),IF(C230&gt;0,VLOOKUP(C230,КФСР!#REF!,2),IF(D230&gt;0,VLOOKUP(D230,Программа!A$1:B$5124,2),IF(F230&gt;0,VLOOKUP(F230,КВР!A$1:B$5001,2),IF(E230&gt;0,VLOOKUP(E230,Направление!A$1:B$4816,2))))))</f>
        <v xml:space="preserve"> Межбюджетные трансферты</v>
      </c>
      <c r="B230" s="758"/>
      <c r="C230" s="820"/>
      <c r="D230" s="760"/>
      <c r="E230" s="760"/>
      <c r="F230" s="763">
        <v>500</v>
      </c>
      <c r="G230" s="812">
        <v>0</v>
      </c>
      <c r="H230" s="812"/>
      <c r="I230" s="805">
        <f t="shared" si="46"/>
        <v>0</v>
      </c>
    </row>
    <row r="231" spans="1:9" s="101" customFormat="1" ht="31.5" x14ac:dyDescent="0.25">
      <c r="A231" s="826" t="str">
        <f>IF(B231&gt;0,VLOOKUP(B231,КВСР!A48:B1213,2),IF(C231&gt;0,VLOOKUP(C231,КФСР!A48:B1560,2),IF(D231&gt;0,VLOOKUP(D231,Программа!A$1:B$5124,2),IF(F231&gt;0,VLOOKUP(F231,КВР!A$1:B$5001,2),IF(E231&gt;0,VLOOKUP(E231,Направление!A$1:B$4816,2))))))</f>
        <v>Другие вопросы в области национальной экономики</v>
      </c>
      <c r="B231" s="760"/>
      <c r="C231" s="827">
        <v>412</v>
      </c>
      <c r="D231" s="760"/>
      <c r="E231" s="760"/>
      <c r="F231" s="763"/>
      <c r="G231" s="812">
        <v>326196</v>
      </c>
      <c r="H231" s="812">
        <f>H232+H240</f>
        <v>0</v>
      </c>
      <c r="I231" s="805">
        <f>I232+I240</f>
        <v>326196</v>
      </c>
    </row>
    <row r="232" spans="1:9" s="101" customFormat="1" ht="47.25" x14ac:dyDescent="0.25">
      <c r="A232" s="826" t="str">
        <f>IF(B232&gt;0,VLOOKUP(B232,КВСР!A49:B1214,2),IF(C232&gt;0,VLOOKUP(C232,КФСР!A49:B1561,2),IF(D232&gt;0,VLOOKUP(D232,Программа!A$1:B$5124,2),IF(F232&gt;0,VLOOKUP(F232,КВР!A$1:B$5001,2),IF(E232&gt;0,VLOOKUP(E232,Направление!A$1:B$4816,2))))))</f>
        <v>Муниципальная программа "Развитие потребительского рынка Тутаевского муниципального района"</v>
      </c>
      <c r="B232" s="760"/>
      <c r="C232" s="820"/>
      <c r="D232" s="760" t="s">
        <v>1691</v>
      </c>
      <c r="E232" s="760"/>
      <c r="F232" s="763"/>
      <c r="G232" s="812">
        <v>326196</v>
      </c>
      <c r="H232" s="812">
        <f t="shared" ref="H232:I232" si="54">H233</f>
        <v>0</v>
      </c>
      <c r="I232" s="805">
        <f t="shared" si="54"/>
        <v>326196</v>
      </c>
    </row>
    <row r="233" spans="1:9" s="101" customFormat="1" ht="78.75" x14ac:dyDescent="0.25">
      <c r="A233" s="826" t="str">
        <f>IF(B233&gt;0,VLOOKUP(B233,КВСР!A49:B1214,2),IF(C233&gt;0,VLOOKUP(C233,КФСР!A49:B1561,2),IF(D233&gt;0,VLOOKUP(D233,Программа!A$1:B$5124,2),IF(F233&gt;0,VLOOKUP(F233,КВР!A$1:B$5001,2),IF(E233&gt;0,VLOOKUP(E233,Направление!A$1:B$4816,2))))))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33" s="760"/>
      <c r="C233" s="820"/>
      <c r="D233" s="760" t="s">
        <v>1692</v>
      </c>
      <c r="E233" s="760"/>
      <c r="F233" s="763"/>
      <c r="G233" s="812">
        <v>326196</v>
      </c>
      <c r="H233" s="812">
        <f>H234+H236+H238</f>
        <v>0</v>
      </c>
      <c r="I233" s="805">
        <f>I234+I236+I238</f>
        <v>326196</v>
      </c>
    </row>
    <row r="234" spans="1:9" s="101" customFormat="1" ht="126" x14ac:dyDescent="0.25">
      <c r="A234" s="826" t="str">
        <f>IF(B234&gt;0,VLOOKUP(B234,КВСР!A51:B1216,2),IF(C234&gt;0,VLOOKUP(C234,КФСР!A51:B1563,2),IF(D234&gt;0,VLOOKUP(D234,Программа!A$1:B$5124,2),IF(F234&gt;0,VLOOKUP(F234,КВР!A$1:B$5001,2),IF(E234&gt;0,VLOOKUP(E234,Направление!A$1:B$4816,2))))))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4" s="760"/>
      <c r="C234" s="820"/>
      <c r="D234" s="760"/>
      <c r="E234" s="760">
        <v>22886</v>
      </c>
      <c r="F234" s="763"/>
      <c r="G234" s="812">
        <v>12657</v>
      </c>
      <c r="H234" s="812">
        <f>H235</f>
        <v>0</v>
      </c>
      <c r="I234" s="805">
        <f>I235</f>
        <v>12657</v>
      </c>
    </row>
    <row r="235" spans="1:9" s="101" customFormat="1" x14ac:dyDescent="0.25">
      <c r="A235" s="826" t="str">
        <f>IF(B235&gt;0,VLOOKUP(B235,КВСР!A52:B1217,2),IF(C235&gt;0,VLOOKUP(C235,КФСР!A52:B1564,2),IF(D235&gt;0,VLOOKUP(D235,Программа!A$1:B$5124,2),IF(F235&gt;0,VLOOKUP(F235,КВР!A$1:B$5001,2),IF(E235&gt;0,VLOOKUP(E235,Направление!A$1:B$4816,2))))))</f>
        <v>Иные бюджетные ассигнования</v>
      </c>
      <c r="B235" s="760"/>
      <c r="C235" s="820"/>
      <c r="D235" s="760"/>
      <c r="E235" s="760"/>
      <c r="F235" s="763">
        <v>800</v>
      </c>
      <c r="G235" s="812">
        <v>12657</v>
      </c>
      <c r="H235" s="812"/>
      <c r="I235" s="805">
        <f t="shared" si="42"/>
        <v>12657</v>
      </c>
    </row>
    <row r="236" spans="1:9" s="101" customFormat="1" ht="47.25" x14ac:dyDescent="0.25">
      <c r="A236" s="826" t="str">
        <f>IF(B236&gt;0,VLOOKUP(B236,КВСР!A53:B1218,2),IF(C236&gt;0,VLOOKUP(C236,КФСР!A53:B1565,2),IF(D236&gt;0,VLOOKUP(D236,Программа!A$1:B$5124,2),IF(F236&gt;0,VLOOKUP(F236,КВР!A$1:B$5001,2),IF(E236&gt;0,VLOOKUP(E236,Направление!A$1:B$4816,2))))))</f>
        <v>Обеспечение мероприятий по организации населению услуг торговли на селе</v>
      </c>
      <c r="B236" s="760"/>
      <c r="C236" s="820"/>
      <c r="D236" s="760"/>
      <c r="E236" s="760">
        <v>29526</v>
      </c>
      <c r="F236" s="763"/>
      <c r="G236" s="812">
        <v>73065</v>
      </c>
      <c r="H236" s="812">
        <f>H237</f>
        <v>0</v>
      </c>
      <c r="I236" s="805">
        <f>I237</f>
        <v>73065</v>
      </c>
    </row>
    <row r="237" spans="1:9" s="101" customFormat="1" x14ac:dyDescent="0.25">
      <c r="A237" s="826" t="str">
        <f>IF(B237&gt;0,VLOOKUP(B237,КВСР!A54:B1219,2),IF(C237&gt;0,VLOOKUP(C237,КФСР!A54:B1566,2),IF(D237&gt;0,VLOOKUP(D237,Программа!A$1:B$5124,2),IF(F237&gt;0,VLOOKUP(F237,КВР!A$1:B$5001,2),IF(E237&gt;0,VLOOKUP(E237,Направление!A$1:B$4816,2))))))</f>
        <v>Иные бюджетные ассигнования</v>
      </c>
      <c r="B237" s="760"/>
      <c r="C237" s="820"/>
      <c r="D237" s="760"/>
      <c r="E237" s="760"/>
      <c r="F237" s="763">
        <v>800</v>
      </c>
      <c r="G237" s="812">
        <v>73065</v>
      </c>
      <c r="H237" s="812"/>
      <c r="I237" s="805">
        <f>SUM(G237:H237)</f>
        <v>73065</v>
      </c>
    </row>
    <row r="238" spans="1:9" s="101" customFormat="1" ht="126" x14ac:dyDescent="0.25">
      <c r="A238" s="826" t="str">
        <f>IF(B238&gt;0,VLOOKUP(B238,КВСР!A55:B1220,2),IF(C238&gt;0,VLOOKUP(C238,КФСР!A55:B1567,2),IF(D238&gt;0,VLOOKUP(D238,Программа!A$1:B$5124,2),IF(F238&gt;0,VLOOKUP(F238,КВР!A$1:B$5001,2),IF(E238&gt;0,VLOOKUP(E238,Направление!A$1:B$4816,2))))))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8" s="760"/>
      <c r="C238" s="820"/>
      <c r="D238" s="760"/>
      <c r="E238" s="760">
        <v>72886</v>
      </c>
      <c r="F238" s="763"/>
      <c r="G238" s="812">
        <v>240474</v>
      </c>
      <c r="H238" s="812">
        <f t="shared" ref="H238:I238" si="55">H239</f>
        <v>0</v>
      </c>
      <c r="I238" s="805">
        <f t="shared" si="55"/>
        <v>240474</v>
      </c>
    </row>
    <row r="239" spans="1:9" s="101" customFormat="1" x14ac:dyDescent="0.25">
      <c r="A239" s="826" t="str">
        <f>IF(B239&gt;0,VLOOKUP(B239,КВСР!A56:B1221,2),IF(C239&gt;0,VLOOKUP(C239,КФСР!A56:B1568,2),IF(D239&gt;0,VLOOKUP(D239,Программа!A$1:B$5124,2),IF(F239&gt;0,VLOOKUP(F239,КВР!A$1:B$5001,2),IF(E239&gt;0,VLOOKUP(E239,Направление!A$1:B$4816,2))))))</f>
        <v>Иные бюджетные ассигнования</v>
      </c>
      <c r="B239" s="760"/>
      <c r="C239" s="820"/>
      <c r="D239" s="760"/>
      <c r="E239" s="760"/>
      <c r="F239" s="763">
        <v>800</v>
      </c>
      <c r="G239" s="812">
        <v>240474</v>
      </c>
      <c r="H239" s="812"/>
      <c r="I239" s="806">
        <f>SUM(G239:H239)</f>
        <v>240474</v>
      </c>
    </row>
    <row r="240" spans="1:9" s="101" customFormat="1" ht="63" hidden="1" x14ac:dyDescent="0.25">
      <c r="A240" s="826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IF(B240&gt;0,VLOOKUP(B240,КВСР!A56:B1221,2),IF(C240&gt;0,VLOOKUP(C240,КФСР!A56:B1568,2),IF(D240&gt;0,VLOOKUP(D240,Программа!A$1:B$5124,2),IF(F240&gt;0,VLOOKUP(F240,КВР!A$1:B$5001,2),IF(E240&gt;0,VLOOKUP(E240,Направление!A$1:B$4816,2))))))</f>
        <v>Муниципальная программа "Градостроительная деятельность на территории Тутаевского муниципального района "</v>
      </c>
      <c r="B240" s="760"/>
      <c r="C240" s="820"/>
      <c r="D240" s="760" t="s">
        <v>1335</v>
      </c>
      <c r="E240" s="760"/>
      <c r="F240" s="763"/>
      <c r="G240" s="812">
        <v>0</v>
      </c>
      <c r="H240" s="812">
        <f>H241</f>
        <v>0</v>
      </c>
      <c r="I240" s="805">
        <f>I241</f>
        <v>0</v>
      </c>
    </row>
    <row r="241" spans="1:9" s="101" customFormat="1" ht="47.25" hidden="1" x14ac:dyDescent="0.25">
      <c r="A241" s="826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IF(B241&gt;0,VLOOKUP(B241,КВСР!A57:B1222,2),IF(C241&gt;0,VLOOKUP(C241,КФСР!A57:B1569,2),IF(D241&gt;0,VLOOKUP(D241,Программа!A$1:B$5124,2),IF(F241&gt;0,VLOOKUP(F241,КВР!A$1:B$5001,2),IF(E241&gt;0,VLOOKUP(E241,Направление!A$1:B$4816,2))))))</f>
        <v xml:space="preserve">Внесение изменений в документы территориального планирования и градостроительного зонирования </v>
      </c>
      <c r="B241" s="760"/>
      <c r="C241" s="820"/>
      <c r="D241" s="760" t="s">
        <v>1336</v>
      </c>
      <c r="E241" s="760"/>
      <c r="F241" s="763"/>
      <c r="G241" s="812">
        <v>0</v>
      </c>
      <c r="H241" s="812">
        <f>H242+H244+H246</f>
        <v>0</v>
      </c>
      <c r="I241" s="805">
        <f>I242+I244+I246</f>
        <v>0</v>
      </c>
    </row>
    <row r="242" spans="1:9" s="101" customFormat="1" ht="63" hidden="1" x14ac:dyDescent="0.25">
      <c r="A242" s="826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IF(B242&gt;0,VLOOKUP(B242,КВСР!A58:B1223,2),IF(C242&gt;0,VLOOKUP(C242,КФСР!A58:B1570,2),IF(D242&gt;0,VLOOKUP(D242,Программа!A$1:B$5124,2),IF(F242&gt;0,VLOOKUP(F242,КВР!A$1:B$5001,2),IF(E242&gt;0,VLOOKUP(E242,Направление!A$1:B$4816,2))))))</f>
        <v>Мероприятия по внесению изменений в документы территориального  планирования и градостроительного зонирования</v>
      </c>
      <c r="B242" s="760"/>
      <c r="C242" s="820"/>
      <c r="D242" s="760"/>
      <c r="E242" s="760">
        <v>10430</v>
      </c>
      <c r="F242" s="763"/>
      <c r="G242" s="812">
        <v>0</v>
      </c>
      <c r="H242" s="812">
        <f t="shared" ref="H242:I242" si="56">H243</f>
        <v>0</v>
      </c>
      <c r="I242" s="805">
        <f t="shared" si="56"/>
        <v>0</v>
      </c>
    </row>
    <row r="243" spans="1:9" s="101" customFormat="1" ht="63" hidden="1" x14ac:dyDescent="0.25">
      <c r="A243" s="826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IF(B243&gt;0,VLOOKUP(B243,КВСР!A59:B1224,2),IF(C243&gt;0,VLOOKUP(C243,КФСР!A59:B1571,2),IF(D243&gt;0,VLOOKUP(D243,Программа!A$1:B$5124,2),IF(F243&gt;0,VLOOKUP(F243,КВР!A$1:B$5001,2),IF(E243&gt;0,VLOOKUP(E243,Направление!A$1:B$4816,2))))))</f>
        <v xml:space="preserve">Закупка товаров, работ и услуг для обеспечения государственных (муниципальных) нужд
</v>
      </c>
      <c r="B243" s="760"/>
      <c r="C243" s="820"/>
      <c r="D243" s="760"/>
      <c r="E243" s="760"/>
      <c r="F243" s="763">
        <v>200</v>
      </c>
      <c r="G243" s="812">
        <v>0</v>
      </c>
      <c r="H243" s="812"/>
      <c r="I243" s="806">
        <f>SUM(G243:H243)</f>
        <v>0</v>
      </c>
    </row>
    <row r="244" spans="1:9" s="101" customFormat="1" ht="78.75" hidden="1" x14ac:dyDescent="0.25">
      <c r="A244" s="826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4" s="760"/>
      <c r="C244" s="820"/>
      <c r="D244" s="760"/>
      <c r="E244" s="760">
        <v>11280</v>
      </c>
      <c r="F244" s="763"/>
      <c r="G244" s="812">
        <v>0</v>
      </c>
      <c r="H244" s="812">
        <f t="shared" ref="H244:I244" si="57">H245</f>
        <v>0</v>
      </c>
      <c r="I244" s="805">
        <f t="shared" si="57"/>
        <v>0</v>
      </c>
    </row>
    <row r="245" spans="1:9" s="101" customFormat="1" ht="63" hidden="1" x14ac:dyDescent="0.25">
      <c r="A245" s="826" t="str">
        <f>IF(B245&gt;0,VLOOKUP(B245,КВСР!A61:B1226,2),IF(C245&gt;0,VLOOKUP(C245,КФСР!A61:B1573,2),IF(D245&gt;0,VLOOKUP(D245,Программа!A$1:B$5124,2),IF(F245&gt;0,VLOOKUP(F245,КВР!A$1:B$5001,2),IF(E245&gt;0,VLOOKUP(E245,Направление!A$1:B$4816,2))))))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760"/>
      <c r="C245" s="820"/>
      <c r="D245" s="760"/>
      <c r="E245" s="760"/>
      <c r="F245" s="763">
        <v>200</v>
      </c>
      <c r="G245" s="812">
        <v>0</v>
      </c>
      <c r="H245" s="812"/>
      <c r="I245" s="806">
        <f>SUM(G245:H245)</f>
        <v>0</v>
      </c>
    </row>
    <row r="246" spans="1:9" s="101" customFormat="1" ht="63" hidden="1" x14ac:dyDescent="0.25">
      <c r="A246" s="826" t="str">
        <f>IF(B246&gt;0,VLOOKUP(B246,КВСР!A62:B1227,2),IF(C246&gt;0,VLOOKUP(C246,КФСР!A62:B1574,2),IF(D246&gt;0,VLOOKUP(D246,Программа!A$1:B$5124,2),IF(F246&gt;0,VLOOKUP(F246,КВР!A$1:B$5001,2),IF(E246&gt;0,VLOOKUP(E246,Направление!A$1:B$4816,2))))))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6" s="760"/>
      <c r="C246" s="820"/>
      <c r="D246" s="760"/>
      <c r="E246" s="760">
        <v>71280</v>
      </c>
      <c r="F246" s="763"/>
      <c r="G246" s="812">
        <v>0</v>
      </c>
      <c r="H246" s="812">
        <f t="shared" ref="H246:I246" si="58">H247</f>
        <v>0</v>
      </c>
      <c r="I246" s="805">
        <f t="shared" si="58"/>
        <v>0</v>
      </c>
    </row>
    <row r="247" spans="1:9" s="101" customFormat="1" ht="63" hidden="1" x14ac:dyDescent="0.25">
      <c r="A247" s="826" t="str">
        <f>IF(B247&gt;0,VLOOKUP(B247,КВСР!A63:B1228,2),IF(C247&gt;0,VLOOKUP(C247,КФСР!A63:B1575,2),IF(D247&gt;0,VLOOKUP(D247,Программа!A$1:B$5124,2),IF(F247&gt;0,VLOOKUP(F247,КВР!A$1:B$5001,2),IF(E247&gt;0,VLOOKUP(E247,Направление!A$1:B$4816,2))))))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760"/>
      <c r="C247" s="820"/>
      <c r="D247" s="760"/>
      <c r="E247" s="760"/>
      <c r="F247" s="763">
        <v>200</v>
      </c>
      <c r="G247" s="812">
        <v>0</v>
      </c>
      <c r="H247" s="812"/>
      <c r="I247" s="806">
        <f>SUM(G247:H247)</f>
        <v>0</v>
      </c>
    </row>
    <row r="248" spans="1:9" s="101" customFormat="1" x14ac:dyDescent="0.25">
      <c r="A248" s="826" t="str">
        <f>IF(B248&gt;0,VLOOKUP(B248,КВСР!A57:B1222,2),IF(C248&gt;0,VLOOKUP(C248,КФСР!A57:B1569,2),IF(D248&gt;0,VLOOKUP(D248,Программа!A$1:B$5124,2),IF(F248&gt;0,VLOOKUP(F248,КВР!A$1:B$5001,2),IF(E248&gt;0,VLOOKUP(E248,Направление!A$1:B$4816,2))))))</f>
        <v>Жилищное хозяйство</v>
      </c>
      <c r="B248" s="760"/>
      <c r="C248" s="827">
        <v>501</v>
      </c>
      <c r="D248" s="760"/>
      <c r="E248" s="760"/>
      <c r="F248" s="763"/>
      <c r="G248" s="812">
        <v>6952161</v>
      </c>
      <c r="H248" s="812">
        <f>H249+H253</f>
        <v>21557</v>
      </c>
      <c r="I248" s="805">
        <f>I249+I253</f>
        <v>6973718</v>
      </c>
    </row>
    <row r="249" spans="1:9" s="101" customFormat="1" ht="63" x14ac:dyDescent="0.25">
      <c r="A249" s="826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9" s="760"/>
      <c r="C249" s="820"/>
      <c r="D249" s="760" t="s">
        <v>1414</v>
      </c>
      <c r="E249" s="760"/>
      <c r="F249" s="763"/>
      <c r="G249" s="812">
        <v>5131090</v>
      </c>
      <c r="H249" s="812">
        <f t="shared" ref="H249:I251" si="59">H250</f>
        <v>21557</v>
      </c>
      <c r="I249" s="805">
        <f t="shared" si="59"/>
        <v>5152647</v>
      </c>
    </row>
    <row r="250" spans="1:9" s="101" customFormat="1" ht="47.25" x14ac:dyDescent="0.25">
      <c r="A250" s="826" t="str">
        <f>IF(B250&gt;0,VLOOKUP(B250,КВСР!A59:B1224,2),IF(C250&gt;0,VLOOKUP(C250,КФСР!A59:B1571,2),IF(D250&gt;0,VLOOKUP(D250,Программа!A$1:B$5124,2),IF(F250&gt;0,VLOOKUP(F250,КВР!A$1:B$5001,2),IF(E250&gt;0,VLOOKUP(E250,Направление!A$1:B$4816,2))))))</f>
        <v xml:space="preserve">Реализация  мероприятий  по  развитию, ремонту и содержанию муниципального жилищного фонда   </v>
      </c>
      <c r="B250" s="760"/>
      <c r="C250" s="820"/>
      <c r="D250" s="760" t="s">
        <v>1416</v>
      </c>
      <c r="E250" s="760"/>
      <c r="F250" s="763"/>
      <c r="G250" s="812">
        <v>5131090</v>
      </c>
      <c r="H250" s="812">
        <f t="shared" si="59"/>
        <v>21557</v>
      </c>
      <c r="I250" s="805">
        <f t="shared" si="59"/>
        <v>5152647</v>
      </c>
    </row>
    <row r="251" spans="1:9" s="101" customFormat="1" ht="63" x14ac:dyDescent="0.25">
      <c r="A251" s="826" t="str">
        <f>IF(B251&gt;0,VLOOKUP(B251,КВСР!A61:B1226,2),IF(C251&gt;0,VLOOKUP(C251,КФСР!A61:B1573,2),IF(D251&gt;0,VLOOKUP(D251,Программа!A$1:B$5124,2),IF(F251&gt;0,VLOOKUP(F251,КВР!A$1:B$5001,2),IF(E251&gt;0,VLOOKUP(E251,Направление!A$1:B$4816,2))))))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251" s="760"/>
      <c r="C251" s="820"/>
      <c r="D251" s="760"/>
      <c r="E251" s="760">
        <v>29376</v>
      </c>
      <c r="F251" s="763"/>
      <c r="G251" s="812">
        <v>5131090</v>
      </c>
      <c r="H251" s="812">
        <f t="shared" si="59"/>
        <v>21557</v>
      </c>
      <c r="I251" s="805">
        <f t="shared" si="59"/>
        <v>5152647</v>
      </c>
    </row>
    <row r="252" spans="1:9" s="101" customFormat="1" ht="63" x14ac:dyDescent="0.25">
      <c r="A252" s="826" t="str">
        <f>IF(B252&gt;0,VLOOKUP(B252,КВСР!A62:B1227,2),IF(C252&gt;0,VLOOKUP(C252,КФСР!A62:B1574,2),IF(D252&gt;0,VLOOKUP(D252,Программа!A$1:B$5124,2),IF(F252&gt;0,VLOOKUP(F252,КВР!A$1:B$5001,2),IF(E252&gt;0,VLOOKUP(E252,Направление!A$1:B$4816,2))))))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760"/>
      <c r="C252" s="820"/>
      <c r="D252" s="760"/>
      <c r="E252" s="760"/>
      <c r="F252" s="763">
        <v>200</v>
      </c>
      <c r="G252" s="812">
        <v>5131090</v>
      </c>
      <c r="H252" s="812">
        <v>21557</v>
      </c>
      <c r="I252" s="805">
        <f t="shared" si="42"/>
        <v>5152647</v>
      </c>
    </row>
    <row r="253" spans="1:9" s="101" customFormat="1" x14ac:dyDescent="0.25">
      <c r="A253" s="826" t="str">
        <f>IF(B253&gt;0,VLOOKUP(B253,КВСР!A63:B1228,2),IF(C253&gt;0,VLOOKUP(C253,КФСР!A63:B1575,2),IF(D253&gt;0,VLOOKUP(D253,Программа!A$1:B$5124,2),IF(F253&gt;0,VLOOKUP(F253,КВР!A$1:B$5001,2),IF(E253&gt;0,VLOOKUP(E253,Направление!A$1:B$4816,2))))))</f>
        <v>Непрограммные расходы бюджета</v>
      </c>
      <c r="B253" s="760"/>
      <c r="C253" s="820"/>
      <c r="D253" s="760" t="s">
        <v>311</v>
      </c>
      <c r="E253" s="760"/>
      <c r="F253" s="763"/>
      <c r="G253" s="812">
        <v>1821071</v>
      </c>
      <c r="H253" s="812">
        <f>H256+H254</f>
        <v>0</v>
      </c>
      <c r="I253" s="805">
        <f>I256+I254</f>
        <v>1821071</v>
      </c>
    </row>
    <row r="254" spans="1:9" s="101" customFormat="1" ht="30.75" customHeight="1" x14ac:dyDescent="0.25">
      <c r="A254" s="826" t="str">
        <f>IF(B254&gt;0,VLOOKUP(B254,КВСР!A64:B1229,2),IF(C254&gt;0,VLOOKUP(C254,КФСР!A64:B1576,2),IF(D254&gt;0,VLOOKUP(D254,Программа!A$1:B$5124,2),IF(F254&gt;0,VLOOKUP(F254,КВР!A$1:B$5001,2),IF(E254&gt;0,VLOOKUP(E254,Направление!A$1:B$4816,2))))))</f>
        <v>Резервные фонды местных администраций</v>
      </c>
      <c r="B254" s="760"/>
      <c r="C254" s="820"/>
      <c r="D254" s="760"/>
      <c r="E254" s="760">
        <v>12900</v>
      </c>
      <c r="F254" s="763"/>
      <c r="G254" s="812">
        <v>105071</v>
      </c>
      <c r="H254" s="812">
        <f t="shared" ref="H254:I254" si="60">H255</f>
        <v>0</v>
      </c>
      <c r="I254" s="805">
        <f t="shared" si="60"/>
        <v>105071</v>
      </c>
    </row>
    <row r="255" spans="1:9" s="101" customFormat="1" ht="64.5" customHeight="1" x14ac:dyDescent="0.25">
      <c r="A255" s="826" t="str">
        <f>IF(B255&gt;0,VLOOKUP(B255,КВСР!A65:B1230,2),IF(C255&gt;0,VLOOKUP(C255,КФСР!A65:B1577,2),IF(D255&gt;0,VLOOKUP(D255,Программа!A$1:B$5124,2),IF(F255&gt;0,VLOOKUP(F255,КВР!A$1:B$5001,2),IF(E255&gt;0,VLOOKUP(E255,Направление!A$1:B$4816,2))))))</f>
        <v xml:space="preserve">Закупка товаров, работ и услуг для обеспечения государственных (муниципальных) нужд
</v>
      </c>
      <c r="B255" s="760"/>
      <c r="C255" s="820"/>
      <c r="D255" s="760"/>
      <c r="E255" s="760"/>
      <c r="F255" s="763">
        <v>200</v>
      </c>
      <c r="G255" s="812">
        <v>105071</v>
      </c>
      <c r="H255" s="812"/>
      <c r="I255" s="805">
        <f>SUM(G255:H255)</f>
        <v>105071</v>
      </c>
    </row>
    <row r="256" spans="1:9" s="101" customFormat="1" ht="34.5" customHeight="1" x14ac:dyDescent="0.25">
      <c r="A256" s="826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IF(B256&gt;0,VLOOKUP(B256,КВСР!A64:B1229,2),IF(C256&gt;0,VLOOKUP(C256,КФСР!A64:B1576,2),IF(D256&gt;0,VLOOKUP(D256,Программа!A$1:B$5124,2),IF(F256&gt;0,VLOOKUP(F256,КВР!A$1:B$5001,2),IF(E256&gt;0,VLOOKUP(E256,Направление!A$1:B$4816,2))))))</f>
        <v>Мероприятия по демонтажу аварийного жилищного фонда</v>
      </c>
      <c r="B256" s="760"/>
      <c r="C256" s="820"/>
      <c r="D256" s="760"/>
      <c r="E256" s="760">
        <v>29866</v>
      </c>
      <c r="F256" s="763"/>
      <c r="G256" s="812">
        <v>1716000</v>
      </c>
      <c r="H256" s="812">
        <f t="shared" ref="H256:I256" si="61">H257</f>
        <v>0</v>
      </c>
      <c r="I256" s="805">
        <f t="shared" si="61"/>
        <v>1716000</v>
      </c>
    </row>
    <row r="257" spans="1:9" s="101" customFormat="1" ht="63" customHeight="1" x14ac:dyDescent="0.25">
      <c r="A257" s="826" t="str">
        <f>IF(B257&gt;0,VLOOKUP(B257,КВСР!A65:B1230,2),IF(C257&gt;0,VLOOKUP(C257,КФСР!A65:B1577,2),IF(D257&gt;0,VLOOKUP(D257,Программа!A$1:B$5124,2),IF(F257&gt;0,VLOOKUP(F257,КВР!A$1:B$5001,2),IF(E257&gt;0,VLOOKUP(E257,Направление!A$1:B$4816,2))))))</f>
        <v xml:space="preserve">Закупка товаров, работ и услуг для обеспечения государственных (муниципальных) нужд
</v>
      </c>
      <c r="B257" s="760"/>
      <c r="C257" s="820"/>
      <c r="D257" s="760"/>
      <c r="E257" s="760"/>
      <c r="F257" s="763">
        <v>200</v>
      </c>
      <c r="G257" s="812">
        <v>1716000</v>
      </c>
      <c r="H257" s="812"/>
      <c r="I257" s="805">
        <f>SUM(G257:H257)</f>
        <v>1716000</v>
      </c>
    </row>
    <row r="258" spans="1:9" s="101" customFormat="1" x14ac:dyDescent="0.25">
      <c r="A258" s="826" t="str">
        <f>IF(B258&gt;0,VLOOKUP(B258,КВСР!A52:B1217,2),IF(C258&gt;0,VLOOKUP(C258,КФСР!A52:B1564,2),IF(D258&gt;0,VLOOKUP(D258,Программа!A$1:B$5124,2),IF(F258&gt;0,VLOOKUP(F258,КВР!A$1:B$5001,2),IF(E258&gt;0,VLOOKUP(E258,Направление!A$1:B$4816,2))))))</f>
        <v>Коммунальное хозяйство</v>
      </c>
      <c r="B258" s="760"/>
      <c r="C258" s="827">
        <v>502</v>
      </c>
      <c r="D258" s="760"/>
      <c r="E258" s="760"/>
      <c r="F258" s="763"/>
      <c r="G258" s="813">
        <v>17689112</v>
      </c>
      <c r="H258" s="812">
        <f>H259+H297</f>
        <v>247880.44</v>
      </c>
      <c r="I258" s="805">
        <f>I259+I297</f>
        <v>17936992.440000001</v>
      </c>
    </row>
    <row r="259" spans="1:9" s="101" customFormat="1" ht="63" x14ac:dyDescent="0.25">
      <c r="A259" s="826" t="str">
        <f>IF(B259&gt;0,VLOOKUP(B259,КВСР!A53:B1218,2),IF(C259&gt;0,VLOOKUP(C259,КФСР!A53:B1565,2),IF(D259&gt;0,VLOOKUP(D259,Программа!A$1:B$5124,2),IF(F259&gt;0,VLOOKUP(F259,КВР!A$1:B$5001,2),IF(E259&gt;0,VLOOKUP(E259,Направление!A$1:B$4816,2))))))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9" s="760"/>
      <c r="C259" s="820"/>
      <c r="D259" s="760" t="s">
        <v>525</v>
      </c>
      <c r="E259" s="760"/>
      <c r="F259" s="763"/>
      <c r="G259" s="813">
        <v>15824002</v>
      </c>
      <c r="H259" s="812">
        <f>H260+H268+H279</f>
        <v>-42206</v>
      </c>
      <c r="I259" s="805">
        <f>I260+I268+I279</f>
        <v>15781796</v>
      </c>
    </row>
    <row r="260" spans="1:9" s="101" customFormat="1" ht="78.75" x14ac:dyDescent="0.25">
      <c r="A260" s="826" t="str">
        <f>IF(B260&gt;0,VLOOKUP(B260,КВСР!A54:B1219,2),IF(C260&gt;0,VLOOKUP(C260,КФСР!A54:B1566,2),IF(D260&gt;0,VLOOKUP(D260,Программа!A$1:B$5124,2),IF(F260&gt;0,VLOOKUP(F260,КВР!A$1:B$5001,2),IF(E260&gt;0,VLOOKUP(E260,Направление!A$1:B$4816,2))))))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0" s="760"/>
      <c r="C260" s="820"/>
      <c r="D260" s="760" t="s">
        <v>554</v>
      </c>
      <c r="E260" s="760"/>
      <c r="F260" s="763"/>
      <c r="G260" s="813">
        <v>3591304</v>
      </c>
      <c r="H260" s="812">
        <f t="shared" ref="H260:I260" si="62">H261</f>
        <v>0</v>
      </c>
      <c r="I260" s="805">
        <f t="shared" si="62"/>
        <v>3591304</v>
      </c>
    </row>
    <row r="261" spans="1:9" s="101" customFormat="1" ht="78.75" x14ac:dyDescent="0.25">
      <c r="A261" s="826" t="str">
        <f>IF(B261&gt;0,VLOOKUP(B261,КВСР!A55:B1220,2),IF(C261&gt;0,VLOOKUP(C261,КФСР!A55:B1567,2),IF(D261&gt;0,VLOOKUP(D261,Программа!A$1:B$5124,2),IF(F261&gt;0,VLOOKUP(F261,КВР!A$1:B$5001,2),IF(E261&gt;0,VLOOKUP(E261,Направление!A$1:B$4816,2))))))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1" s="760"/>
      <c r="C261" s="820"/>
      <c r="D261" s="760" t="s">
        <v>595</v>
      </c>
      <c r="E261" s="760"/>
      <c r="F261" s="763"/>
      <c r="G261" s="813">
        <v>3591304</v>
      </c>
      <c r="H261" s="812">
        <f>H262+H264+H266</f>
        <v>0</v>
      </c>
      <c r="I261" s="805">
        <f>I262+I264+I266</f>
        <v>3591304</v>
      </c>
    </row>
    <row r="262" spans="1:9" s="101" customFormat="1" ht="47.25" x14ac:dyDescent="0.25">
      <c r="A262" s="826" t="str">
        <f>IF(B262&gt;0,VLOOKUP(B262,КВСР!A56:B1221,2),IF(C262&gt;0,VLOOKUP(C262,КФСР!A56:B1568,2),IF(D262&gt;0,VLOOKUP(D262,Программа!A$1:B$5124,2),IF(F262&gt;0,VLOOKUP(F262,КВР!A$1:B$5001,2),IF(E262&gt;0,VLOOKUP(E262,Направление!A$1:B$4816,2))))))</f>
        <v>Расходы на мероприятия по газификации населенных пунктов в сельских  поселениях</v>
      </c>
      <c r="B262" s="760"/>
      <c r="C262" s="820"/>
      <c r="D262" s="760"/>
      <c r="E262" s="760">
        <v>10060</v>
      </c>
      <c r="F262" s="763"/>
      <c r="G262" s="812">
        <v>3591304</v>
      </c>
      <c r="H262" s="812">
        <f>H263</f>
        <v>0</v>
      </c>
      <c r="I262" s="805">
        <f>I263</f>
        <v>3591304</v>
      </c>
    </row>
    <row r="263" spans="1:9" s="101" customFormat="1" ht="63" x14ac:dyDescent="0.25">
      <c r="A263" s="826" t="str">
        <f>IF(B263&gt;0,VLOOKUP(B263,КВСР!A58:B1223,2),IF(C263&gt;0,VLOOKUP(C263,КФСР!A58:B1570,2),IF(D263&gt;0,VLOOKUP(D263,Программа!A$1:B$5124,2),IF(F263&gt;0,VLOOKUP(F263,КВР!A$1:B$5001,2),IF(E263&gt;0,VLOOKUP(E263,Направление!A$1:B$4816,2))))))</f>
        <v xml:space="preserve">Закупка товаров, работ и услуг для обеспечения государственных (муниципальных) нужд
</v>
      </c>
      <c r="B263" s="760"/>
      <c r="C263" s="820"/>
      <c r="D263" s="760"/>
      <c r="E263" s="760"/>
      <c r="F263" s="763">
        <v>200</v>
      </c>
      <c r="G263" s="812">
        <v>3591304</v>
      </c>
      <c r="H263" s="812"/>
      <c r="I263" s="806">
        <f>G263+H263</f>
        <v>3591304</v>
      </c>
    </row>
    <row r="264" spans="1:9" s="101" customFormat="1" ht="47.25" hidden="1" x14ac:dyDescent="0.25">
      <c r="A264" s="826" t="str">
        <f>IF(B264&gt;0,VLOOKUP(B264,КВСР!A58:B1223,2),IF(C264&gt;0,VLOOKUP(C264,КФСР!A58:B1570,2),IF(D264&gt;0,VLOOKUP(D264,Программа!A$1:B$5124,2),IF(F264&gt;0,VLOOKUP(F264,КВР!A$1:B$5001,2),IF(E264&gt;0,VLOOKUP(E264,Направление!A$1:B$4816,2))))))</f>
        <v>Бюджетные инвестиции на строительство межпоселенческих газопроводов</v>
      </c>
      <c r="B264" s="760"/>
      <c r="C264" s="820"/>
      <c r="D264" s="760"/>
      <c r="E264" s="760">
        <v>15260</v>
      </c>
      <c r="F264" s="763"/>
      <c r="G264" s="812">
        <v>0</v>
      </c>
      <c r="H264" s="812">
        <f>H265</f>
        <v>0</v>
      </c>
      <c r="I264" s="805">
        <f>I265</f>
        <v>0</v>
      </c>
    </row>
    <row r="265" spans="1:9" s="101" customFormat="1" ht="47.25" hidden="1" x14ac:dyDescent="0.25">
      <c r="A265" s="826" t="str">
        <f>IF(B265&gt;0,VLOOKUP(B265,КВСР!A59:B1224,2),IF(C265&gt;0,VLOOKUP(C265,КФСР!A59:B1571,2),IF(D265&gt;0,VLOOKUP(D265,Программа!A$1:B$5124,2),IF(F265&gt;0,VLOOKUP(F265,КВР!A$1:B$5001,2),IF(E265&gt;0,VLOOKUP(E265,Направление!A$1:B$4816,2))))))</f>
        <v>Капитальные вложения в объекты государственной (муниципальной) собственности</v>
      </c>
      <c r="B265" s="760"/>
      <c r="C265" s="820"/>
      <c r="D265" s="760"/>
      <c r="E265" s="760"/>
      <c r="F265" s="763">
        <v>400</v>
      </c>
      <c r="G265" s="812">
        <v>0</v>
      </c>
      <c r="H265" s="812"/>
      <c r="I265" s="806">
        <f t="shared" si="42"/>
        <v>0</v>
      </c>
    </row>
    <row r="266" spans="1:9" s="101" customFormat="1" ht="47.25" hidden="1" x14ac:dyDescent="0.25">
      <c r="A266" s="826" t="str">
        <f>IF(B266&gt;0,VLOOKUP(B266,КВСР!A58:B1223,2),IF(C266&gt;0,VLOOKUP(C266,КФСР!A58:B1570,2),IF(D266&gt;0,VLOOKUP(D266,Программа!A$1:B$5124,2),IF(F266&gt;0,VLOOKUP(F266,КВР!A$1:B$5001,2),IF(E266&gt;0,VLOOKUP(E266,Направление!A$1:B$4816,2))))))</f>
        <v>Расходы на мероприятия по строительству межпоселеченских газопроводов</v>
      </c>
      <c r="B266" s="760"/>
      <c r="C266" s="820"/>
      <c r="D266" s="760"/>
      <c r="E266" s="760">
        <v>75260</v>
      </c>
      <c r="F266" s="763"/>
      <c r="G266" s="812">
        <v>0</v>
      </c>
      <c r="H266" s="812">
        <f t="shared" ref="H266:I266" si="63">H267</f>
        <v>0</v>
      </c>
      <c r="I266" s="805">
        <f t="shared" si="63"/>
        <v>0</v>
      </c>
    </row>
    <row r="267" spans="1:9" s="101" customFormat="1" ht="47.25" hidden="1" x14ac:dyDescent="0.25">
      <c r="A267" s="826" t="str">
        <f>IF(B267&gt;0,VLOOKUP(B267,КВСР!A59:B1224,2),IF(C267&gt;0,VLOOKUP(C267,КФСР!A59:B1571,2),IF(D267&gt;0,VLOOKUP(D267,Программа!A$1:B$5124,2),IF(F267&gt;0,VLOOKUP(F267,КВР!A$1:B$5001,2),IF(E267&gt;0,VLOOKUP(E267,Направление!A$1:B$4816,2))))))</f>
        <v>Капитальные вложения в объекты государственной (муниципальной) собственности</v>
      </c>
      <c r="B267" s="760"/>
      <c r="C267" s="820"/>
      <c r="D267" s="760"/>
      <c r="E267" s="760"/>
      <c r="F267" s="763">
        <v>400</v>
      </c>
      <c r="G267" s="812">
        <v>0</v>
      </c>
      <c r="H267" s="812"/>
      <c r="I267" s="806">
        <f t="shared" si="42"/>
        <v>0</v>
      </c>
    </row>
    <row r="268" spans="1:9" s="101" customFormat="1" ht="78.75" x14ac:dyDescent="0.25">
      <c r="A268" s="826" t="str">
        <f>IF(B268&gt;0,VLOOKUP(B268,КВСР!A58:B1223,2),IF(C268&gt;0,VLOOKUP(C268,КФСР!A58:B1570,2),IF(D268&gt;0,VLOOKUP(D268,Программа!A$1:B$5124,2),IF(F268&gt;0,VLOOKUP(F268,КВР!A$1:B$5001,2),IF(E268&gt;0,VLOOKUP(E268,Направление!A$1:B$4816,2))))))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8" s="760"/>
      <c r="C268" s="820"/>
      <c r="D268" s="760" t="s">
        <v>558</v>
      </c>
      <c r="E268" s="760"/>
      <c r="F268" s="763"/>
      <c r="G268" s="813">
        <v>1464234</v>
      </c>
      <c r="H268" s="812">
        <f t="shared" ref="H268" si="64">H269+H276</f>
        <v>0</v>
      </c>
      <c r="I268" s="805">
        <f t="shared" ref="I268" si="65">I269+I276</f>
        <v>1464234</v>
      </c>
    </row>
    <row r="269" spans="1:9" s="101" customFormat="1" ht="78.75" x14ac:dyDescent="0.25">
      <c r="A269" s="826" t="str">
        <f>IF(B269&gt;0,VLOOKUP(B269,КВСР!A59:B1224,2),IF(C269&gt;0,VLOOKUP(C269,КФСР!A59:B1571,2),IF(D269&gt;0,VLOOKUP(D269,Программа!A$1:B$5124,2),IF(F269&gt;0,VLOOKUP(F269,КВР!A$1:B$5001,2),IF(E269&gt;0,VLOOKUP(E269,Направление!A$1:B$4816,2))))))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9" s="760"/>
      <c r="C269" s="820"/>
      <c r="D269" s="760" t="s">
        <v>559</v>
      </c>
      <c r="E269" s="760"/>
      <c r="F269" s="763"/>
      <c r="G269" s="813">
        <v>1464234</v>
      </c>
      <c r="H269" s="812">
        <f>H270+H273</f>
        <v>0</v>
      </c>
      <c r="I269" s="805">
        <f>I270+I273</f>
        <v>1464234</v>
      </c>
    </row>
    <row r="270" spans="1:9" s="101" customFormat="1" ht="31.5" x14ac:dyDescent="0.25">
      <c r="A270" s="826" t="str">
        <f>IF(B270&gt;0,VLOOKUP(B270,КВСР!A60:B1225,2),IF(C270&gt;0,VLOOKUP(C270,КФСР!A60:B1572,2),IF(D270&gt;0,VLOOKUP(D270,Программа!A$1:B$5124,2),IF(F270&gt;0,VLOOKUP(F270,КВР!A$1:B$5001,2),IF(E270&gt;0,VLOOKUP(E270,Направление!A$1:B$4816,2))))))</f>
        <v>Мероприятия по обеспечению водоснабжением населения на селе</v>
      </c>
      <c r="B270" s="760"/>
      <c r="C270" s="820"/>
      <c r="D270" s="760"/>
      <c r="E270" s="760">
        <v>10230</v>
      </c>
      <c r="F270" s="763"/>
      <c r="G270" s="813">
        <v>1464234</v>
      </c>
      <c r="H270" s="812">
        <f>H271+H272</f>
        <v>0</v>
      </c>
      <c r="I270" s="805">
        <f>I271+I272</f>
        <v>1464234</v>
      </c>
    </row>
    <row r="271" spans="1:9" s="101" customFormat="1" ht="63" x14ac:dyDescent="0.25">
      <c r="A271" s="826" t="str">
        <f>IF(B271&gt;0,VLOOKUP(B271,КВСР!A61:B1226,2),IF(C271&gt;0,VLOOKUP(C271,КФСР!A61:B1573,2),IF(D271&gt;0,VLOOKUP(D271,Программа!A$1:B$5124,2),IF(F271&gt;0,VLOOKUP(F271,КВР!A$1:B$5001,2),IF(E271&gt;0,VLOOKUP(E271,Направление!A$1:B$4816,2))))))</f>
        <v xml:space="preserve">Закупка товаров, работ и услуг для обеспечения государственных (муниципальных) нужд
</v>
      </c>
      <c r="B271" s="760"/>
      <c r="C271" s="820"/>
      <c r="D271" s="760"/>
      <c r="E271" s="760"/>
      <c r="F271" s="763">
        <v>200</v>
      </c>
      <c r="G271" s="812">
        <v>461950</v>
      </c>
      <c r="H271" s="812"/>
      <c r="I271" s="806">
        <f t="shared" si="42"/>
        <v>461950</v>
      </c>
    </row>
    <row r="272" spans="1:9" s="101" customFormat="1" ht="47.25" x14ac:dyDescent="0.25">
      <c r="A272" s="826" t="str">
        <f>IF(B272&gt;0,VLOOKUP(B272,КВСР!A62:B1227,2),IF(C272&gt;0,VLOOKUP(C272,КФСР!A62:B1574,2),IF(D272&gt;0,VLOOKUP(D272,Программа!A$1:B$5124,2),IF(F272&gt;0,VLOOKUP(F272,КВР!A$1:B$5001,2),IF(E272&gt;0,VLOOKUP(E272,Направление!A$1:B$4816,2))))))</f>
        <v>Капитальные вложения в объекты государственной (муниципальной) собственности</v>
      </c>
      <c r="B272" s="760"/>
      <c r="C272" s="820"/>
      <c r="D272" s="760"/>
      <c r="E272" s="760"/>
      <c r="F272" s="763">
        <v>400</v>
      </c>
      <c r="G272" s="812">
        <v>1002284</v>
      </c>
      <c r="H272" s="812"/>
      <c r="I272" s="806">
        <f t="shared" si="42"/>
        <v>1002284</v>
      </c>
    </row>
    <row r="273" spans="1:9" s="101" customFormat="1" ht="63" hidden="1" x14ac:dyDescent="0.25">
      <c r="A273" s="826" t="str">
        <f>IF(B273&gt;0,VLOOKUP(B273,КВСР!A62:B1227,2),IF(C273&gt;0,VLOOKUP(C273,КФСР!A62:B1574,2),IF(D273&gt;0,VLOOKUP(D273,Программа!A$1:B$5124,2),IF(F273&gt;0,VLOOKUP(F273,КВР!A$1:B$5001,2),IF(E273&gt;0,VLOOKUP(E273,Направление!A$1:B$4816,2))))))</f>
        <v xml:space="preserve">Обеспечение мероприятий по строительству,  реконструкции и ремонту  объектов водоснабжения и водоотведения </v>
      </c>
      <c r="B273" s="760"/>
      <c r="C273" s="820"/>
      <c r="D273" s="760"/>
      <c r="E273" s="760">
        <v>29046</v>
      </c>
      <c r="F273" s="763"/>
      <c r="G273" s="813">
        <v>0</v>
      </c>
      <c r="H273" s="812">
        <f>H274+H275</f>
        <v>0</v>
      </c>
      <c r="I273" s="805">
        <f>I274+I275</f>
        <v>0</v>
      </c>
    </row>
    <row r="274" spans="1:9" s="101" customFormat="1" ht="47.25" hidden="1" x14ac:dyDescent="0.25">
      <c r="A274" s="826" t="str">
        <f>IF(B274&gt;0,VLOOKUP(B274,КВСР!A63:B1228,2),IF(C274&gt;0,VLOOKUP(C274,КФСР!A63:B1575,2),IF(D274&gt;0,VLOOKUP(D274,Программа!A$1:B$5124,2),IF(F274&gt;0,VLOOKUP(F274,КВР!A$1:B$5001,2),IF(E274&gt;0,VLOOKUP(E274,Направление!A$1:B$4816,2))))))</f>
        <v>Капитальные вложения в объекты государственной (муниципальной) собственности</v>
      </c>
      <c r="B274" s="760"/>
      <c r="C274" s="820"/>
      <c r="D274" s="760"/>
      <c r="E274" s="760"/>
      <c r="F274" s="763">
        <v>400</v>
      </c>
      <c r="G274" s="813">
        <v>0</v>
      </c>
      <c r="H274" s="812"/>
      <c r="I274" s="806">
        <f>SUM(G274:H274)</f>
        <v>0</v>
      </c>
    </row>
    <row r="275" spans="1:9" s="101" customFormat="1" ht="47.25" hidden="1" x14ac:dyDescent="0.25">
      <c r="A275" s="826" t="str">
        <f>IF(B275&gt;0,VLOOKUP(B275,КВСР!A63:B1228,2),IF(C275&gt;0,VLOOKUP(C275,КФСР!A63:B1575,2),IF(D275&gt;0,VLOOKUP(D275,Программа!A$1:B$5124,2),IF(F275&gt;0,VLOOKUP(F275,КВР!A$1:B$5001,2),IF(E275&gt;0,VLOOKUP(E275,Направление!A$1:B$4816,2))))))</f>
        <v>Предоставление субсидий бюджетным, автономным учреждениям и иным некоммерческим организациям</v>
      </c>
      <c r="B275" s="760"/>
      <c r="C275" s="820"/>
      <c r="D275" s="760"/>
      <c r="E275" s="760"/>
      <c r="F275" s="763">
        <v>600</v>
      </c>
      <c r="G275" s="812">
        <v>0</v>
      </c>
      <c r="H275" s="812"/>
      <c r="I275" s="806">
        <f>SUM(G275:H275)</f>
        <v>0</v>
      </c>
    </row>
    <row r="276" spans="1:9" s="101" customFormat="1" ht="31.5" hidden="1" x14ac:dyDescent="0.25">
      <c r="A276" s="826" t="str">
        <f>IF(B276&gt;0,VLOOKUP(B276,КВСР!A64:B1229,2),IF(C276&gt;0,VLOOKUP(C276,КФСР!A64:B1576,2),IF(D276&gt;0,VLOOKUP(D276,Программа!A$1:B$5124,2),IF(F276&gt;0,VLOOKUP(F276,КВР!A$1:B$5001,2),IF(E276&gt;0,VLOOKUP(E276,Направление!A$1:B$4816,2))))))</f>
        <v>Федеральный проект "Оздоровление Волги"</v>
      </c>
      <c r="B276" s="760"/>
      <c r="C276" s="820"/>
      <c r="D276" s="760" t="s">
        <v>1374</v>
      </c>
      <c r="E276" s="760"/>
      <c r="F276" s="763"/>
      <c r="G276" s="812">
        <v>0</v>
      </c>
      <c r="H276" s="812">
        <f t="shared" ref="H276:I277" si="66">H277</f>
        <v>0</v>
      </c>
      <c r="I276" s="805">
        <f t="shared" si="66"/>
        <v>0</v>
      </c>
    </row>
    <row r="277" spans="1:9" s="101" customFormat="1" ht="78.75" hidden="1" x14ac:dyDescent="0.25">
      <c r="A277" s="826" t="str">
        <f>IF(B277&gt;0,VLOOKUP(B277,КВСР!A65:B1230,2),IF(C277&gt;0,VLOOKUP(C277,КФСР!A65:B1577,2),IF(D277&gt;0,VLOOKUP(D277,Программа!A$1:B$5124,2),IF(F277&gt;0,VLOOKUP(F277,КВР!A$1:B$5001,2),IF(E277&gt;0,VLOOKUP(E277,Направление!A$1:B$4816,2))))))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7" s="760"/>
      <c r="C277" s="820"/>
      <c r="D277" s="760"/>
      <c r="E277" s="760">
        <v>50136</v>
      </c>
      <c r="F277" s="763"/>
      <c r="G277" s="812">
        <v>0</v>
      </c>
      <c r="H277" s="812">
        <f t="shared" si="66"/>
        <v>0</v>
      </c>
      <c r="I277" s="805">
        <f t="shared" si="66"/>
        <v>0</v>
      </c>
    </row>
    <row r="278" spans="1:9" s="101" customFormat="1" ht="47.25" hidden="1" x14ac:dyDescent="0.25">
      <c r="A278" s="826" t="str">
        <f>IF(B278&gt;0,VLOOKUP(B278,КВСР!A66:B1231,2),IF(C278&gt;0,VLOOKUP(C278,КФСР!A66:B1578,2),IF(D278&gt;0,VLOOKUP(D278,Программа!A$1:B$5124,2),IF(F278&gt;0,VLOOKUP(F278,КВР!A$1:B$5001,2),IF(E278&gt;0,VLOOKUP(E278,Направление!A$1:B$4816,2))))))</f>
        <v>Капитальные вложения в объекты государственной (муниципальной) собственности</v>
      </c>
      <c r="B278" s="760"/>
      <c r="C278" s="820"/>
      <c r="D278" s="760"/>
      <c r="E278" s="760"/>
      <c r="F278" s="763">
        <v>400</v>
      </c>
      <c r="G278" s="812">
        <v>0</v>
      </c>
      <c r="H278" s="812"/>
      <c r="I278" s="806">
        <f>SUM(G278:H278)</f>
        <v>0</v>
      </c>
    </row>
    <row r="279" spans="1:9" s="101" customFormat="1" ht="78.75" x14ac:dyDescent="0.25">
      <c r="A279" s="826" t="str">
        <f>IF(B279&gt;0,VLOOKUP(B279,КВСР!A67:B1232,2),IF(C279&gt;0,VLOOKUP(C279,КФСР!A67:B1579,2),IF(D279&gt;0,VLOOKUP(D279,Программа!A$1:B$5124,2),IF(F279&gt;0,VLOOKUP(F279,КВР!A$1:B$5001,2),IF(E279&gt;0,VLOOKUP(E279,Направление!A$1:B$4816,2))))))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9" s="760"/>
      <c r="C279" s="820"/>
      <c r="D279" s="760" t="s">
        <v>561</v>
      </c>
      <c r="E279" s="760"/>
      <c r="F279" s="763"/>
      <c r="G279" s="812">
        <v>10768464</v>
      </c>
      <c r="H279" s="812">
        <f t="shared" ref="H279" si="67">H280+H283</f>
        <v>-42206</v>
      </c>
      <c r="I279" s="805">
        <f t="shared" ref="I279" si="68">I280+I283</f>
        <v>10726258</v>
      </c>
    </row>
    <row r="280" spans="1:9" s="101" customFormat="1" ht="47.25" x14ac:dyDescent="0.25">
      <c r="A280" s="826" t="str">
        <f>IF(B280&gt;0,VLOOKUP(B280,КВСР!A68:B1233,2),IF(C280&gt;0,VLOOKUP(C280,КФСР!A68:B1580,2),IF(D280&gt;0,VLOOKUP(D280,Программа!A$1:B$5124,2),IF(F280&gt;0,VLOOKUP(F280,КВР!A$1:B$5001,2),IF(E280&gt;0,VLOOKUP(E280,Направление!A$1:B$4816,2))))))</f>
        <v>Проведение комплекса работ по ремонту, замене и реконструкции объектов теплоснабжения</v>
      </c>
      <c r="B280" s="760"/>
      <c r="C280" s="820"/>
      <c r="D280" s="760" t="s">
        <v>563</v>
      </c>
      <c r="E280" s="760"/>
      <c r="F280" s="763"/>
      <c r="G280" s="812">
        <v>768464</v>
      </c>
      <c r="H280" s="812">
        <f t="shared" ref="H280:I280" si="69">H281</f>
        <v>-42206</v>
      </c>
      <c r="I280" s="805">
        <f t="shared" si="69"/>
        <v>726258</v>
      </c>
    </row>
    <row r="281" spans="1:9" s="101" customFormat="1" ht="55.15" customHeight="1" x14ac:dyDescent="0.25">
      <c r="A281" s="826" t="str">
        <f>IF(B281&gt;0,VLOOKUP(B281,КВСР!A69:B1234,2),IF(C281&gt;0,VLOOKUP(C281,КФСР!A69:B1581,2),IF(D281&gt;0,VLOOKUP(D281,Программа!A$1:B$5124,2),IF(F281&gt;0,VLOOKUP(F281,КВР!A$1:B$5001,2),IF(E281&gt;0,VLOOKUP(E281,Направление!A$1:B$4816,2))))))</f>
        <v>Мероприятия по содержанию и ремонту объектов, находящихся в муниципальной собственности</v>
      </c>
      <c r="B281" s="760"/>
      <c r="C281" s="820"/>
      <c r="D281" s="760"/>
      <c r="E281" s="760">
        <v>10040</v>
      </c>
      <c r="F281" s="763"/>
      <c r="G281" s="812">
        <v>768464</v>
      </c>
      <c r="H281" s="812">
        <f>H282</f>
        <v>-42206</v>
      </c>
      <c r="I281" s="805">
        <f>I282</f>
        <v>726258</v>
      </c>
    </row>
    <row r="282" spans="1:9" s="101" customFormat="1" ht="63" x14ac:dyDescent="0.25">
      <c r="A282" s="826" t="str">
        <f>IF(B282&gt;0,VLOOKUP(B282,КВСР!A70:B1235,2),IF(C282&gt;0,VLOOKUP(C282,КФСР!A70:B1582,2),IF(D282&gt;0,VLOOKUP(D282,Программа!A$1:B$5124,2),IF(F282&gt;0,VLOOKUP(F282,КВР!A$1:B$5001,2),IF(E282&gt;0,VLOOKUP(E282,Направление!A$1:B$4816,2))))))</f>
        <v xml:space="preserve">Закупка товаров, работ и услуг для обеспечения государственных (муниципальных) нужд
</v>
      </c>
      <c r="B282" s="760"/>
      <c r="C282" s="820"/>
      <c r="D282" s="760"/>
      <c r="E282" s="760"/>
      <c r="F282" s="763">
        <v>200</v>
      </c>
      <c r="G282" s="812">
        <v>768464</v>
      </c>
      <c r="H282" s="812">
        <v>-42206</v>
      </c>
      <c r="I282" s="806">
        <f>SUM(G282:H282)</f>
        <v>726258</v>
      </c>
    </row>
    <row r="283" spans="1:9" s="101" customFormat="1" ht="110.25" x14ac:dyDescent="0.25">
      <c r="A283" s="826" t="str">
        <f>IF(B283&gt;0,VLOOKUP(B283,КВСР!A71:B1236,2),IF(C283&gt;0,VLOOKUP(C283,КФСР!A71:B1583,2),IF(D283&gt;0,VLOOKUP(D283,Программа!A$1:B$5124,2),IF(F283&gt;0,VLOOKUP(F283,КВР!A$1:B$5001,2),IF(E283&gt;0,VLOOKUP(E283,Направление!A$1:B$4816,2))))))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83" s="760"/>
      <c r="C283" s="820"/>
      <c r="D283" s="760" t="s">
        <v>1698</v>
      </c>
      <c r="E283" s="760"/>
      <c r="F283" s="763"/>
      <c r="G283" s="812">
        <v>10000000</v>
      </c>
      <c r="H283" s="812">
        <f>H284</f>
        <v>0</v>
      </c>
      <c r="I283" s="805">
        <f>I284</f>
        <v>10000000</v>
      </c>
    </row>
    <row r="284" spans="1:9" s="101" customFormat="1" ht="63" x14ac:dyDescent="0.25">
      <c r="A284" s="826" t="str">
        <f>IF(B284&gt;0,VLOOKUP(B284,КВСР!A72:B1237,2),IF(C284&gt;0,VLOOKUP(C284,КФСР!A72:B1584,2),IF(D284&gt;0,VLOOKUP(D284,Программа!A$1:B$5124,2),IF(F284&gt;0,VLOOKUP(F284,КВР!A$1:B$5001,2),IF(E284&gt;0,VLOOKUP(E284,Направление!A$1:B$4816,2))))))</f>
        <v>Субсидия на возмещение затрат по содержанию и ремонту  объектов находящихся в муниципальной собственности</v>
      </c>
      <c r="B284" s="760"/>
      <c r="C284" s="820"/>
      <c r="D284" s="760"/>
      <c r="E284" s="760">
        <v>10030</v>
      </c>
      <c r="F284" s="763"/>
      <c r="G284" s="812">
        <v>10000000</v>
      </c>
      <c r="H284" s="812">
        <f>H285</f>
        <v>0</v>
      </c>
      <c r="I284" s="805">
        <f>I285</f>
        <v>10000000</v>
      </c>
    </row>
    <row r="285" spans="1:9" s="101" customFormat="1" x14ac:dyDescent="0.25">
      <c r="A285" s="826" t="str">
        <f>IF(B285&gt;0,VLOOKUP(B285,КВСР!A73:B1238,2),IF(C285&gt;0,VLOOKUP(C285,КФСР!A73:B1585,2),IF(D285&gt;0,VLOOKUP(D285,Программа!A$1:B$5124,2),IF(F285&gt;0,VLOOKUP(F285,КВР!A$1:B$5001,2),IF(E285&gt;0,VLOOKUP(E285,Направление!A$1:B$4816,2))))))</f>
        <v>Иные бюджетные ассигнования</v>
      </c>
      <c r="B285" s="760"/>
      <c r="C285" s="820"/>
      <c r="D285" s="760"/>
      <c r="E285" s="760"/>
      <c r="F285" s="763">
        <v>800</v>
      </c>
      <c r="G285" s="812">
        <v>10000000</v>
      </c>
      <c r="H285" s="812"/>
      <c r="I285" s="806">
        <f t="shared" ref="I285:I290" si="70">SUM(G285:H285)</f>
        <v>10000000</v>
      </c>
    </row>
    <row r="286" spans="1:9" s="101" customFormat="1" ht="94.5" hidden="1" x14ac:dyDescent="0.25">
      <c r="A286" s="826" t="str">
        <f>IF(B286&gt;0,VLOOKUP(B286,КВСР!A74:B1239,2),IF(C286&gt;0,VLOOKUP(C286,КФСР!A74:B1586,2),IF(D286&gt;0,VLOOKUP(D286,Программа!A$1:B$5124,2),IF(F286&gt;0,VLOOKUP(F286,КВР!A$1:B$5001,2),IF(E286&gt;0,VLOOKUP(E286,Направление!A$1:B$4816,2))))))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6" s="760"/>
      <c r="C286" s="820"/>
      <c r="D286" s="760" t="s">
        <v>337</v>
      </c>
      <c r="E286" s="760"/>
      <c r="F286" s="763"/>
      <c r="G286" s="812">
        <v>0</v>
      </c>
      <c r="H286" s="812">
        <f>H287</f>
        <v>0</v>
      </c>
      <c r="I286" s="806">
        <f t="shared" si="70"/>
        <v>0</v>
      </c>
    </row>
    <row r="287" spans="1:9" s="101" customFormat="1" ht="63" hidden="1" x14ac:dyDescent="0.25">
      <c r="A287" s="826" t="str">
        <f>IF(B287&gt;0,VLOOKUP(B287,КВСР!A75:B1240,2),IF(C287&gt;0,VLOOKUP(C287,КФСР!A75:B1587,2),IF(D287&gt;0,VLOOKUP(D287,Программа!A$1:B$5124,2),IF(F287&gt;0,VLOOKUP(F287,КВР!A$1:B$5001,2),IF(E287&gt;0,VLOOKUP(E287,Направление!A$1:B$4816,2))))))</f>
        <v>Муниципальная целевая программа "Стимулирование инвестиционной деятельности в Тутаевском муниципальном районе "</v>
      </c>
      <c r="B287" s="760"/>
      <c r="C287" s="820"/>
      <c r="D287" s="760" t="s">
        <v>1449</v>
      </c>
      <c r="E287" s="760"/>
      <c r="F287" s="763"/>
      <c r="G287" s="812">
        <v>0</v>
      </c>
      <c r="H287" s="812">
        <f>H288</f>
        <v>0</v>
      </c>
      <c r="I287" s="806">
        <f t="shared" si="70"/>
        <v>0</v>
      </c>
    </row>
    <row r="288" spans="1:9" s="101" customFormat="1" ht="63" hidden="1" x14ac:dyDescent="0.25">
      <c r="A288" s="826" t="str">
        <f>IF(B288&gt;0,VLOOKUP(B288,КВСР!A76:B1241,2),IF(C288&gt;0,VLOOKUP(C288,КФСР!A76:B1588,2),IF(D288&gt;0,VLOOKUP(D288,Программа!A$1:B$5124,2),IF(F288&gt;0,VLOOKUP(F288,КВР!A$1:B$5001,2),IF(E288&gt;0,VLOOKUP(E288,Направление!A$1:B$4816,2))))))</f>
        <v>Реализация мероприятий по развитию инвестиционной привлекательности в монопрофильных  муниципальных образованиях</v>
      </c>
      <c r="B288" s="760"/>
      <c r="C288" s="820"/>
      <c r="D288" s="760" t="s">
        <v>1450</v>
      </c>
      <c r="E288" s="760"/>
      <c r="F288" s="763"/>
      <c r="G288" s="812">
        <v>0</v>
      </c>
      <c r="H288" s="812">
        <f>H289+H291</f>
        <v>0</v>
      </c>
      <c r="I288" s="805">
        <f t="shared" si="70"/>
        <v>0</v>
      </c>
    </row>
    <row r="289" spans="1:9" s="101" customFormat="1" ht="126" hidden="1" x14ac:dyDescent="0.25">
      <c r="A289" s="826" t="str">
        <f>IF(B289&gt;0,VLOOKUP(B289,КВСР!A77:B1242,2),IF(C289&gt;0,VLOOKUP(C289,КФСР!A77:B1589,2),IF(D289&gt;0,VLOOKUP(D289,Программа!A$1:B$5124,2),IF(F289&gt;0,VLOOKUP(F289,КВР!A$1:B$5001,2),IF(E289&gt;0,VLOOKUP(E289,Направление!A$1:B$4816,2))))))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9" s="760"/>
      <c r="C289" s="820"/>
      <c r="D289" s="760"/>
      <c r="E289" s="760">
        <v>26936</v>
      </c>
      <c r="F289" s="763"/>
      <c r="G289" s="812">
        <v>0</v>
      </c>
      <c r="H289" s="812">
        <f>H290</f>
        <v>0</v>
      </c>
      <c r="I289" s="806">
        <f t="shared" si="70"/>
        <v>0</v>
      </c>
    </row>
    <row r="290" spans="1:9" s="101" customFormat="1" ht="47.25" hidden="1" x14ac:dyDescent="0.25">
      <c r="A290" s="826" t="str">
        <f>IF(B290&gt;0,VLOOKUP(B290,КВСР!A78:B1243,2),IF(C290&gt;0,VLOOKUP(C290,КФСР!A78:B1590,2),IF(D290&gt;0,VLOOKUP(D290,Программа!A$1:B$5124,2),IF(F290&gt;0,VLOOKUP(F290,КВР!A$1:B$5001,2),IF(E290&gt;0,VLOOKUP(E290,Направление!A$1:B$4816,2))))))</f>
        <v>Капитальные вложения в объекты государственной (муниципальной) собственности</v>
      </c>
      <c r="B290" s="760"/>
      <c r="C290" s="820"/>
      <c r="D290" s="760"/>
      <c r="E290" s="760"/>
      <c r="F290" s="763">
        <v>400</v>
      </c>
      <c r="G290" s="812">
        <v>0</v>
      </c>
      <c r="H290" s="812"/>
      <c r="I290" s="805">
        <f t="shared" si="70"/>
        <v>0</v>
      </c>
    </row>
    <row r="291" spans="1:9" s="101" customFormat="1" ht="94.5" hidden="1" x14ac:dyDescent="0.25">
      <c r="A291" s="826" t="str">
        <f>IF(B291&gt;0,VLOOKUP(B291,КВСР!A79:B1244,2),IF(C291&gt;0,VLOOKUP(C291,КФСР!A79:B1591,2),IF(D291&gt;0,VLOOKUP(D291,Программа!A$1:B$5124,2),IF(F291&gt;0,VLOOKUP(F291,КВР!A$1:B$5001,2),IF(E291&gt;0,VLOOKUP(E291,Направление!A$1:B$4816,2))))))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1" s="760"/>
      <c r="C291" s="820"/>
      <c r="D291" s="760"/>
      <c r="E291" s="760">
        <v>76936</v>
      </c>
      <c r="F291" s="763"/>
      <c r="G291" s="812">
        <v>0</v>
      </c>
      <c r="H291" s="812">
        <f>H292</f>
        <v>0</v>
      </c>
      <c r="I291" s="805">
        <f>I292</f>
        <v>0</v>
      </c>
    </row>
    <row r="292" spans="1:9" s="101" customFormat="1" ht="47.25" hidden="1" x14ac:dyDescent="0.25">
      <c r="A292" s="826" t="str">
        <f>IF(B292&gt;0,VLOOKUP(B292,КВСР!A80:B1245,2),IF(C292&gt;0,VLOOKUP(C292,КФСР!A80:B1592,2),IF(D292&gt;0,VLOOKUP(D292,Программа!A$1:B$5124,2),IF(F292&gt;0,VLOOKUP(F292,КВР!A$1:B$5001,2),IF(E292&gt;0,VLOOKUP(E292,Направление!A$1:B$4816,2))))))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760"/>
      <c r="C292" s="820"/>
      <c r="D292" s="760"/>
      <c r="E292" s="760"/>
      <c r="F292" s="763">
        <v>600</v>
      </c>
      <c r="G292" s="812"/>
      <c r="H292" s="812"/>
      <c r="I292" s="806"/>
    </row>
    <row r="293" spans="1:9" s="101" customFormat="1" ht="63" hidden="1" x14ac:dyDescent="0.25">
      <c r="A293" s="826" t="str">
        <f>IF(B293&gt;0,VLOOKUP(B293,КВСР!A81:B1246,2),IF(C293&gt;0,VLOOKUP(C293,КФСР!A81:B1593,2),IF(D293&gt;0,VLOOKUP(D293,Программа!A$1:B$5124,2),IF(F293&gt;0,VLOOKUP(F293,КВР!A$1:B$5001,2),IF(E293&gt;0,VLOOKUP(E293,Направление!A$1:B$4816,2))))))</f>
        <v>Муниципальная программа "Комплексное развитие сельских территорий Тутаевского муниципального района"</v>
      </c>
      <c r="B293" s="760"/>
      <c r="C293" s="820"/>
      <c r="D293" s="760" t="s">
        <v>1458</v>
      </c>
      <c r="E293" s="760"/>
      <c r="F293" s="763"/>
      <c r="G293" s="812">
        <v>0</v>
      </c>
      <c r="H293" s="812">
        <f t="shared" ref="H293:I294" si="71">H294</f>
        <v>0</v>
      </c>
      <c r="I293" s="805">
        <f t="shared" si="71"/>
        <v>0</v>
      </c>
    </row>
    <row r="294" spans="1:9" s="101" customFormat="1" ht="47.25" hidden="1" x14ac:dyDescent="0.25">
      <c r="A294" s="826" t="str">
        <f>IF(B294&gt;0,VLOOKUP(B294,КВСР!A82:B1247,2),IF(C294&gt;0,VLOOKUP(C294,КФСР!A82:B1594,2),IF(D294&gt;0,VLOOKUP(D294,Программа!A$1:B$5124,2),IF(F294&gt;0,VLOOKUP(F294,КВР!A$1:B$5001,2),IF(E294&gt;0,VLOOKUP(E294,Направление!A$1:B$4816,2))))))</f>
        <v xml:space="preserve">Реализация  общественно значимых проектов по благоустройству сельских территорий в Тутаевском районе </v>
      </c>
      <c r="B294" s="760"/>
      <c r="C294" s="820"/>
      <c r="D294" s="760" t="s">
        <v>1459</v>
      </c>
      <c r="E294" s="760"/>
      <c r="F294" s="763"/>
      <c r="G294" s="812">
        <v>0</v>
      </c>
      <c r="H294" s="812">
        <f t="shared" si="71"/>
        <v>0</v>
      </c>
      <c r="I294" s="805">
        <f t="shared" si="71"/>
        <v>0</v>
      </c>
    </row>
    <row r="295" spans="1:9" s="101" customFormat="1" ht="31.5" hidden="1" x14ac:dyDescent="0.25">
      <c r="A295" s="826" t="str">
        <f>IF(B295&gt;0,VLOOKUP(B295,КВСР!A83:B1248,2),IF(C295&gt;0,VLOOKUP(C295,КФСР!A83:B1595,2),IF(D295&gt;0,VLOOKUP(D295,Программа!A$1:B$5124,2),IF(F295&gt;0,VLOOKUP(F295,КВР!A$1:B$5001,2),IF(E295&gt;0,VLOOKUP(E295,Направление!A$1:B$4816,2))))))</f>
        <v>Мероприятия по обеспечению водоснабжением населения на селе</v>
      </c>
      <c r="B295" s="760"/>
      <c r="C295" s="820"/>
      <c r="D295" s="760"/>
      <c r="E295" s="760">
        <v>10230</v>
      </c>
      <c r="F295" s="763"/>
      <c r="G295" s="812">
        <v>0</v>
      </c>
      <c r="H295" s="812">
        <f>H296</f>
        <v>0</v>
      </c>
      <c r="I295" s="805">
        <f>I296</f>
        <v>0</v>
      </c>
    </row>
    <row r="296" spans="1:9" s="101" customFormat="1" ht="47.25" hidden="1" x14ac:dyDescent="0.25">
      <c r="A296" s="826" t="str">
        <f>IF(B296&gt;0,VLOOKUP(B296,КВСР!A84:B1249,2),IF(C296&gt;0,VLOOKUP(C296,КФСР!A84:B1596,2),IF(D296&gt;0,VLOOKUP(D296,Программа!A$1:B$5124,2),IF(F296&gt;0,VLOOKUP(F296,КВР!A$1:B$5001,2),IF(E296&gt;0,VLOOKUP(E296,Направление!A$1:B$4816,2))))))</f>
        <v>Капитальные вложения в объекты государственной (муниципальной) собственности</v>
      </c>
      <c r="B296" s="760"/>
      <c r="C296" s="820"/>
      <c r="D296" s="760"/>
      <c r="E296" s="760"/>
      <c r="F296" s="763">
        <v>400</v>
      </c>
      <c r="G296" s="812">
        <v>0</v>
      </c>
      <c r="H296" s="812"/>
      <c r="I296" s="805">
        <f>SUM(G296:H296)</f>
        <v>0</v>
      </c>
    </row>
    <row r="297" spans="1:9" s="101" customFormat="1" x14ac:dyDescent="0.25">
      <c r="A297" s="826" t="str">
        <f>IF(B297&gt;0,VLOOKUP(B297,КВСР!A68:B1233,2),IF(C297&gt;0,VLOOKUP(C297,КФСР!A68:B1580,2),IF(D297&gt;0,VLOOKUP(D297,Программа!A$1:B$5124,2),IF(F297&gt;0,VLOOKUP(F297,КВР!A$1:B$5001,2),IF(E297&gt;0,VLOOKUP(E297,Направление!A$1:B$4816,2))))))</f>
        <v>Непрограммные расходы бюджета</v>
      </c>
      <c r="B297" s="760"/>
      <c r="C297" s="820"/>
      <c r="D297" s="760" t="s">
        <v>311</v>
      </c>
      <c r="E297" s="760"/>
      <c r="F297" s="763"/>
      <c r="G297" s="813">
        <v>1865110</v>
      </c>
      <c r="H297" s="812">
        <f>H298+H300+H302+H304+H306+H308</f>
        <v>290086.44</v>
      </c>
      <c r="I297" s="805">
        <f>I298+I300+I302+I304+I306+I308</f>
        <v>2155196.44</v>
      </c>
    </row>
    <row r="298" spans="1:9" s="101" customFormat="1" ht="31.5" x14ac:dyDescent="0.25">
      <c r="A298" s="826" t="str">
        <f>IF(B298&gt;0,VLOOKUP(B298,КВСР!A69:B1234,2),IF(C298&gt;0,VLOOKUP(C298,КФСР!A69:B1581,2),IF(D298&gt;0,VLOOKUP(D298,Программа!A$1:B$5124,2),IF(F298&gt;0,VLOOKUP(F298,КВР!A$1:B$5001,2),IF(E298&gt;0,VLOOKUP(E298,Направление!A$1:B$4816,2))))))</f>
        <v>Мероприятия по актуализации схем коммунальной инфраструктуры</v>
      </c>
      <c r="B298" s="760"/>
      <c r="C298" s="820"/>
      <c r="D298" s="760"/>
      <c r="E298" s="760">
        <v>10410</v>
      </c>
      <c r="F298" s="763"/>
      <c r="G298" s="813">
        <v>100000</v>
      </c>
      <c r="H298" s="812">
        <f t="shared" ref="H298:I298" si="72">H299</f>
        <v>0</v>
      </c>
      <c r="I298" s="806">
        <f t="shared" si="72"/>
        <v>100000</v>
      </c>
    </row>
    <row r="299" spans="1:9" s="101" customFormat="1" ht="63" x14ac:dyDescent="0.25">
      <c r="A299" s="826" t="str">
        <f>IF(B299&gt;0,VLOOKUP(B299,КВСР!A70:B1235,2),IF(C299&gt;0,VLOOKUP(C299,КФСР!A70:B1582,2),IF(D299&gt;0,VLOOKUP(D299,Программа!A$1:B$5124,2),IF(F299&gt;0,VLOOKUP(F299,КВР!A$1:B$5001,2),IF(E299&gt;0,VLOOKUP(E299,Направление!A$1:B$4816,2))))))</f>
        <v xml:space="preserve">Закупка товаров, работ и услуг для обеспечения государственных (муниципальных) нужд
</v>
      </c>
      <c r="B299" s="760"/>
      <c r="C299" s="820"/>
      <c r="D299" s="760"/>
      <c r="E299" s="760"/>
      <c r="F299" s="763">
        <v>200</v>
      </c>
      <c r="G299" s="813">
        <v>100000</v>
      </c>
      <c r="H299" s="812"/>
      <c r="I299" s="806">
        <f>SUM(G299:H299)</f>
        <v>100000</v>
      </c>
    </row>
    <row r="300" spans="1:9" s="101" customFormat="1" ht="31.5" x14ac:dyDescent="0.25">
      <c r="A300" s="826" t="s">
        <v>1807</v>
      </c>
      <c r="B300" s="760"/>
      <c r="C300" s="820"/>
      <c r="D300" s="760"/>
      <c r="E300" s="760">
        <v>12900</v>
      </c>
      <c r="F300" s="763"/>
      <c r="G300" s="813"/>
      <c r="H300" s="812">
        <f>H301</f>
        <v>290086.44</v>
      </c>
      <c r="I300" s="806">
        <f>I301</f>
        <v>290086.44</v>
      </c>
    </row>
    <row r="301" spans="1:9" s="101" customFormat="1" ht="63" x14ac:dyDescent="0.25">
      <c r="A301" s="826" t="str">
        <f>IF(B301&gt;0,VLOOKUP(B301,КВСР!A72:B1237,2),IF(C301&gt;0,VLOOKUP(C301,КФСР!A72:B1584,2),IF(D301&gt;0,VLOOKUP(D301,Программа!A$1:B$5124,2),IF(F301&gt;0,VLOOKUP(F301,КВР!A$1:B$5001,2),IF(E301&gt;0,VLOOKUP(E301,Направление!A$1:B$4816,2))))))</f>
        <v xml:space="preserve">Закупка товаров, работ и услуг для обеспечения государственных (муниципальных) нужд
</v>
      </c>
      <c r="B301" s="760"/>
      <c r="C301" s="820"/>
      <c r="D301" s="760"/>
      <c r="E301" s="760"/>
      <c r="F301" s="763">
        <v>200</v>
      </c>
      <c r="G301" s="813"/>
      <c r="H301" s="812">
        <v>290086.44</v>
      </c>
      <c r="I301" s="806">
        <f>SUM(G301:H301)</f>
        <v>290086.44</v>
      </c>
    </row>
    <row r="302" spans="1:9" s="101" customFormat="1" ht="48.75" customHeight="1" x14ac:dyDescent="0.25">
      <c r="A302" s="826" t="str">
        <f>IF(B302&gt;0,VLOOKUP(B302,КВСР!A71:B1236,2),IF(C302&gt;0,VLOOKUP(C302,КФСР!A71:B1583,2),IF(D302&gt;0,VLOOKUP(D302,Программа!A$1:B$5124,2),IF(F302&gt;0,VLOOKUP(F302,КВР!A$1:B$5001,2),IF(E302&gt;0,VLOOKUP(E302,Направление!A$1:B$4816,2))))))</f>
        <v>Расходы на обеспечение мероприятий по организации населению услуг бань  в общих отделениях</v>
      </c>
      <c r="B302" s="760"/>
      <c r="C302" s="820"/>
      <c r="D302" s="760"/>
      <c r="E302" s="760">
        <v>29206</v>
      </c>
      <c r="F302" s="763"/>
      <c r="G302" s="813">
        <v>920000</v>
      </c>
      <c r="H302" s="813">
        <f t="shared" ref="H302:I302" si="73">H303</f>
        <v>0</v>
      </c>
      <c r="I302" s="806">
        <f t="shared" si="73"/>
        <v>920000</v>
      </c>
    </row>
    <row r="303" spans="1:9" s="101" customFormat="1" ht="27" customHeight="1" x14ac:dyDescent="0.25">
      <c r="A303" s="826" t="str">
        <f>IF(B303&gt;0,VLOOKUP(B303,КВСР!A72:B1237,2),IF(C303&gt;0,VLOOKUP(C303,КФСР!A72:B1584,2),IF(D303&gt;0,VLOOKUP(D303,Программа!A$1:B$5124,2),IF(F303&gt;0,VLOOKUP(F303,КВР!A$1:B$5001,2),IF(E303&gt;0,VLOOKUP(E303,Направление!A$1:B$4816,2))))))</f>
        <v>Иные бюджетные ассигнования</v>
      </c>
      <c r="B303" s="760"/>
      <c r="C303" s="820"/>
      <c r="D303" s="760"/>
      <c r="E303" s="760"/>
      <c r="F303" s="763">
        <v>800</v>
      </c>
      <c r="G303" s="813">
        <v>920000</v>
      </c>
      <c r="H303" s="812"/>
      <c r="I303" s="806">
        <f>SUM(G303:H303)</f>
        <v>920000</v>
      </c>
    </row>
    <row r="304" spans="1:9" s="101" customFormat="1" ht="47.25" x14ac:dyDescent="0.25">
      <c r="A304" s="826" t="str">
        <f>IF(B304&gt;0,VLOOKUP(B304,КВСР!A71:B1236,2),IF(C304&gt;0,VLOOKUP(C304,КФСР!A71:B1583,2),IF(D304&gt;0,VLOOKUP(D304,Программа!A$1:B$5124,2),IF(F304&gt;0,VLOOKUP(F304,КВР!A$1:B$5001,2),IF(E304&gt;0,VLOOKUP(E304,Направление!A$1:B$4816,2))))))</f>
        <v>Обеспечение мероприятий по актуализации схем коммунальной инфраструктуры</v>
      </c>
      <c r="B304" s="760"/>
      <c r="C304" s="820"/>
      <c r="D304" s="760"/>
      <c r="E304" s="760">
        <v>29536</v>
      </c>
      <c r="F304" s="763"/>
      <c r="G304" s="812">
        <v>100000</v>
      </c>
      <c r="H304" s="812">
        <f>H305</f>
        <v>0</v>
      </c>
      <c r="I304" s="805">
        <f>I305</f>
        <v>100000</v>
      </c>
    </row>
    <row r="305" spans="1:9" s="101" customFormat="1" ht="63" x14ac:dyDescent="0.25">
      <c r="A305" s="826" t="str">
        <f>IF(B305&gt;0,VLOOKUP(B305,КВСР!A72:B1237,2),IF(C305&gt;0,VLOOKUP(C305,КФСР!A72:B1584,2),IF(D305&gt;0,VLOOKUP(D305,Программа!A$1:B$5124,2),IF(F305&gt;0,VLOOKUP(F305,КВР!A$1:B$5001,2),IF(E305&gt;0,VLOOKUP(E305,Направление!A$1:B$4816,2))))))</f>
        <v xml:space="preserve">Закупка товаров, работ и услуг для обеспечения государственных (муниципальных) нужд
</v>
      </c>
      <c r="B305" s="760"/>
      <c r="C305" s="820"/>
      <c r="D305" s="760"/>
      <c r="E305" s="760"/>
      <c r="F305" s="763">
        <v>200</v>
      </c>
      <c r="G305" s="812">
        <v>100000</v>
      </c>
      <c r="H305" s="812"/>
      <c r="I305" s="806">
        <f>G305+H305</f>
        <v>100000</v>
      </c>
    </row>
    <row r="306" spans="1:9" s="101" customFormat="1" ht="47.25" x14ac:dyDescent="0.25">
      <c r="A306" s="826" t="str">
        <f>IF(B306&gt;0,VLOOKUP(B306,КВСР!A69:B1234,2),IF(C306&gt;0,VLOOKUP(C306,КФСР!A69:B1581,2),IF(D306&gt;0,VLOOKUP(D306,Программа!A$1:B$5124,2),IF(F306&gt;0,VLOOKUP(F306,КВР!A$1:B$5001,2),IF(E306&gt;0,VLOOKUP(E306,Направление!A$1:B$4816,2))))))</f>
        <v>Обеспечение мероприятий  по переработке и утилизации ливневых стоков</v>
      </c>
      <c r="B306" s="760"/>
      <c r="C306" s="820"/>
      <c r="D306" s="760"/>
      <c r="E306" s="760">
        <v>29616</v>
      </c>
      <c r="F306" s="763"/>
      <c r="G306" s="813">
        <v>545000</v>
      </c>
      <c r="H306" s="812">
        <f>H307</f>
        <v>0</v>
      </c>
      <c r="I306" s="805">
        <f>I307</f>
        <v>545000</v>
      </c>
    </row>
    <row r="307" spans="1:9" s="101" customFormat="1" ht="63" x14ac:dyDescent="0.25">
      <c r="A307" s="826" t="str">
        <f>IF(B307&gt;0,VLOOKUP(B307,КВСР!A70:B1235,2),IF(C307&gt;0,VLOOKUP(C307,КФСР!A70:B1582,2),IF(D307&gt;0,VLOOKUP(D307,Программа!A$1:B$5124,2),IF(F307&gt;0,VLOOKUP(F307,КВР!A$1:B$5001,2),IF(E307&gt;0,VLOOKUP(E307,Направление!A$1:B$4816,2))))))</f>
        <v xml:space="preserve">Закупка товаров, работ и услуг для обеспечения государственных (муниципальных) нужд
</v>
      </c>
      <c r="B307" s="760"/>
      <c r="C307" s="820"/>
      <c r="D307" s="760"/>
      <c r="E307" s="760"/>
      <c r="F307" s="763">
        <v>200</v>
      </c>
      <c r="G307" s="812">
        <v>545000</v>
      </c>
      <c r="H307" s="812"/>
      <c r="I307" s="806">
        <f>SUM(G307:H307)</f>
        <v>545000</v>
      </c>
    </row>
    <row r="308" spans="1:9" s="101" customFormat="1" ht="31.5" x14ac:dyDescent="0.25">
      <c r="A308" s="826" t="str">
        <f>IF(B308&gt;0,VLOOKUP(B308,КВСР!A71:B1236,2),IF(C308&gt;0,VLOOKUP(C308,КФСР!A71:B1583,2),IF(D308&gt;0,VLOOKUP(D308,Программа!A$1:B$5124,2),IF(F308&gt;0,VLOOKUP(F308,КВР!A$1:B$5001,2),IF(E308&gt;0,VLOOKUP(E308,Направление!A$1:B$4816,2))))))</f>
        <v>Обеспечение мероприятий по разработке и экспертизе ПСД</v>
      </c>
      <c r="B308" s="760"/>
      <c r="C308" s="820"/>
      <c r="D308" s="760"/>
      <c r="E308" s="760">
        <v>29776</v>
      </c>
      <c r="F308" s="763"/>
      <c r="G308" s="812">
        <v>200110</v>
      </c>
      <c r="H308" s="812">
        <f>H309</f>
        <v>0</v>
      </c>
      <c r="I308" s="805">
        <f>I309</f>
        <v>200110</v>
      </c>
    </row>
    <row r="309" spans="1:9" s="101" customFormat="1" ht="63" x14ac:dyDescent="0.25">
      <c r="A309" s="826" t="str">
        <f>IF(B309&gt;0,VLOOKUP(B309,КВСР!A72:B1237,2),IF(C309&gt;0,VLOOKUP(C309,КФСР!A72:B1584,2),IF(D309&gt;0,VLOOKUP(D309,Программа!A$1:B$5124,2),IF(F309&gt;0,VLOOKUP(F309,КВР!A$1:B$5001,2),IF(E309&gt;0,VLOOKUP(E309,Направление!A$1:B$4816,2))))))</f>
        <v xml:space="preserve">Закупка товаров, работ и услуг для обеспечения государственных (муниципальных) нужд
</v>
      </c>
      <c r="B309" s="760"/>
      <c r="C309" s="820"/>
      <c r="D309" s="760"/>
      <c r="E309" s="760"/>
      <c r="F309" s="763">
        <v>200</v>
      </c>
      <c r="G309" s="812">
        <v>200110</v>
      </c>
      <c r="H309" s="812"/>
      <c r="I309" s="806">
        <f>SUM(G309:H309)</f>
        <v>200110</v>
      </c>
    </row>
    <row r="310" spans="1:9" s="101" customFormat="1" ht="31.5" hidden="1" x14ac:dyDescent="0.25">
      <c r="A310" s="826" t="str">
        <f>IF(B310&gt;0,VLOOKUP(B310,КВСР!A68:B1233,2),IF(C310&gt;0,VLOOKUP(C310,КФСР!A68:B1580,2),IF(D310&gt;0,VLOOKUP(D310,Программа!A$1:B$5124,2),IF(F310&gt;0,VLOOKUP(F310,КВР!A$1:B$5001,2),IF(E310&gt;0,VLOOKUP(E310,Направление!A$1:B$4816,2))))))</f>
        <v>Межбюджетные трансферты  поселениям района</v>
      </c>
      <c r="B310" s="760"/>
      <c r="C310" s="820"/>
      <c r="D310" s="760" t="s">
        <v>478</v>
      </c>
      <c r="E310" s="760"/>
      <c r="F310" s="763"/>
      <c r="G310" s="812">
        <v>0</v>
      </c>
      <c r="H310" s="812">
        <f t="shared" ref="H310:I311" si="74">H311</f>
        <v>0</v>
      </c>
      <c r="I310" s="805">
        <f t="shared" si="74"/>
        <v>0</v>
      </c>
    </row>
    <row r="311" spans="1:9" s="101" customFormat="1" ht="47.25" hidden="1" x14ac:dyDescent="0.25">
      <c r="A311" s="826" t="str">
        <f>IF(B311&gt;0,VLOOKUP(B311,КВСР!A69:B1234,2),IF(C311&gt;0,VLOOKUP(C311,КФСР!A69:B1581,2),IF(D311&gt;0,VLOOKUP(D311,Программа!A$1:B$5124,2),IF(F311&gt;0,VLOOKUP(F311,КВР!A$1:B$5001,2),IF(E311&gt;0,VLOOKUP(E311,Направление!A$1:B$4816,2))))))</f>
        <v>Межбюджетные трансферты на организацию  в границах поселения водоснабжения населения</v>
      </c>
      <c r="B311" s="760"/>
      <c r="C311" s="820"/>
      <c r="D311" s="760"/>
      <c r="E311" s="760">
        <v>10051</v>
      </c>
      <c r="F311" s="763"/>
      <c r="G311" s="812">
        <v>0</v>
      </c>
      <c r="H311" s="812">
        <f t="shared" si="74"/>
        <v>0</v>
      </c>
      <c r="I311" s="805">
        <f t="shared" si="74"/>
        <v>0</v>
      </c>
    </row>
    <row r="312" spans="1:9" s="101" customFormat="1" hidden="1" x14ac:dyDescent="0.25">
      <c r="A312" s="826" t="str">
        <f>IF(B312&gt;0,VLOOKUP(B312,КВСР!A70:B1235,2),IF(C312&gt;0,VLOOKUP(C312,КФСР!A70:B1582,2),IF(D312&gt;0,VLOOKUP(D312,Программа!A$1:B$5124,2),IF(F312&gt;0,VLOOKUP(F312,КВР!A$1:B$5001,2),IF(E312&gt;0,VLOOKUP(E312,Направление!A$1:B$4816,2))))))</f>
        <v xml:space="preserve"> Межбюджетные трансферты</v>
      </c>
      <c r="B312" s="760"/>
      <c r="C312" s="820"/>
      <c r="D312" s="760"/>
      <c r="E312" s="760"/>
      <c r="F312" s="763">
        <v>500</v>
      </c>
      <c r="G312" s="812">
        <v>0</v>
      </c>
      <c r="H312" s="812"/>
      <c r="I312" s="806">
        <f t="shared" si="42"/>
        <v>0</v>
      </c>
    </row>
    <row r="313" spans="1:9" s="101" customFormat="1" x14ac:dyDescent="0.25">
      <c r="A313" s="826" t="str">
        <f>IF(B313&gt;0,VLOOKUP(B313,КВСР!A71:B1236,2),IF(C313&gt;0,VLOOKUP(C313,КФСР!A71:B1583,2),IF(D313&gt;0,VLOOKUP(D313,Программа!A$1:B$5124,2),IF(F313&gt;0,VLOOKUP(F313,КВР!A$1:B$5001,2),IF(E313&gt;0,VLOOKUP(E313,Направление!A$1:B$4816,2))))))</f>
        <v>Благоустройство</v>
      </c>
      <c r="B313" s="760"/>
      <c r="C313" s="827">
        <v>503</v>
      </c>
      <c r="D313" s="760"/>
      <c r="E313" s="760"/>
      <c r="F313" s="763"/>
      <c r="G313" s="813">
        <v>149402738</v>
      </c>
      <c r="H313" s="812">
        <f>H314+H352+H366</f>
        <v>3260678</v>
      </c>
      <c r="I313" s="805">
        <f>I314+I352+I366</f>
        <v>152663416</v>
      </c>
    </row>
    <row r="314" spans="1:9" s="101" customFormat="1" ht="63" x14ac:dyDescent="0.25">
      <c r="A314" s="826" t="str">
        <f>IF(B314&gt;0,VLOOKUP(B314,КВСР!A72:B1237,2),IF(C314&gt;0,VLOOKUP(C314,КФСР!A72:B1584,2),IF(D314&gt;0,VLOOKUP(D314,Программа!A$1:B$5124,2),IF(F314&gt;0,VLOOKUP(F314,КВР!A$1:B$5001,2),IF(E314&gt;0,VLOOKUP(E314,Направление!A$1:B$4816,2))))))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14" s="760"/>
      <c r="C314" s="820"/>
      <c r="D314" s="760" t="s">
        <v>640</v>
      </c>
      <c r="E314" s="760"/>
      <c r="F314" s="763"/>
      <c r="G314" s="813">
        <v>52955833</v>
      </c>
      <c r="H314" s="812">
        <f>H315+H319+H344+H348</f>
        <v>3315000</v>
      </c>
      <c r="I314" s="805">
        <f>I315+I319+I344+I348</f>
        <v>56270833</v>
      </c>
    </row>
    <row r="315" spans="1:9" s="101" customFormat="1" ht="63" x14ac:dyDescent="0.25">
      <c r="A315" s="826" t="str">
        <f>IF(B315&gt;0,VLOOKUP(B315,КВСР!A73:B1238,2),IF(C315&gt;0,VLOOKUP(C315,КФСР!A73:B1585,2),IF(D315&gt;0,VLOOKUP(D315,Программа!A$1:B$5124,2),IF(F315&gt;0,VLOOKUP(F315,КВР!A$1:B$5001,2),IF(E315&gt;0,VLOOKUP(E315,Направление!A$1:B$4816,2))))))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5" s="760"/>
      <c r="C315" s="820"/>
      <c r="D315" s="760" t="s">
        <v>642</v>
      </c>
      <c r="E315" s="760"/>
      <c r="F315" s="763"/>
      <c r="G315" s="813">
        <v>478940</v>
      </c>
      <c r="H315" s="812">
        <f t="shared" ref="H315:I317" si="75">H316</f>
        <v>0</v>
      </c>
      <c r="I315" s="805">
        <f t="shared" si="75"/>
        <v>478940</v>
      </c>
    </row>
    <row r="316" spans="1:9" s="101" customFormat="1" ht="47.25" x14ac:dyDescent="0.25">
      <c r="A316" s="826" t="str">
        <f>IF(B316&gt;0,VLOOKUP(B316,КВСР!A74:B1239,2),IF(C316&gt;0,VLOOKUP(C316,КФСР!A74:B1586,2),IF(D316&gt;0,VLOOKUP(D316,Программа!A$1:B$5124,2),IF(F316&gt;0,VLOOKUP(F316,КВР!A$1:B$5001,2),IF(E316&gt;0,VLOOKUP(E316,Направление!A$1:B$4816,2))))))</f>
        <v>Обеспечение комплекса работ по повышению уровня благоустройства мест погребений</v>
      </c>
      <c r="B316" s="760"/>
      <c r="C316" s="820"/>
      <c r="D316" s="760" t="s">
        <v>644</v>
      </c>
      <c r="E316" s="760"/>
      <c r="F316" s="763"/>
      <c r="G316" s="813">
        <v>478940</v>
      </c>
      <c r="H316" s="812">
        <f t="shared" si="75"/>
        <v>0</v>
      </c>
      <c r="I316" s="805">
        <f t="shared" si="75"/>
        <v>478940</v>
      </c>
    </row>
    <row r="317" spans="1:9" s="101" customFormat="1" ht="31.5" x14ac:dyDescent="0.25">
      <c r="A317" s="826" t="str">
        <f>IF(B317&gt;0,VLOOKUP(B317,КВСР!A75:B1240,2),IF(C317&gt;0,VLOOKUP(C317,КФСР!A75:B1587,2),IF(D317&gt;0,VLOOKUP(D317,Программа!A$1:B$5124,2),IF(F317&gt;0,VLOOKUP(F317,КВР!A$1:B$5001,2),IF(E317&gt;0,VLOOKUP(E317,Направление!A$1:B$4816,2))))))</f>
        <v>Обеспечение мероприятий по  содержанию мест захоронения</v>
      </c>
      <c r="B317" s="760"/>
      <c r="C317" s="820"/>
      <c r="D317" s="760"/>
      <c r="E317" s="760">
        <v>29316</v>
      </c>
      <c r="F317" s="763"/>
      <c r="G317" s="813">
        <v>478940</v>
      </c>
      <c r="H317" s="812">
        <f t="shared" si="75"/>
        <v>0</v>
      </c>
      <c r="I317" s="805">
        <f t="shared" si="75"/>
        <v>478940</v>
      </c>
    </row>
    <row r="318" spans="1:9" s="101" customFormat="1" ht="63" x14ac:dyDescent="0.25">
      <c r="A318" s="826" t="str">
        <f>IF(B318&gt;0,VLOOKUP(B318,КВСР!A76:B1241,2),IF(C318&gt;0,VLOOKUP(C318,КФСР!A76:B1588,2),IF(D318&gt;0,VLOOKUP(D318,Программа!A$1:B$5124,2),IF(F318&gt;0,VLOOKUP(F318,КВР!A$1:B$5001,2),IF(E318&gt;0,VLOOKUP(E318,Направление!A$1:B$4816,2))))))</f>
        <v xml:space="preserve">Закупка товаров, работ и услуг для обеспечения государственных (муниципальных) нужд
</v>
      </c>
      <c r="B318" s="760"/>
      <c r="C318" s="820"/>
      <c r="D318" s="760"/>
      <c r="E318" s="760"/>
      <c r="F318" s="763">
        <v>200</v>
      </c>
      <c r="G318" s="812">
        <v>478940</v>
      </c>
      <c r="H318" s="812"/>
      <c r="I318" s="806">
        <f>SUM(G318:H318)</f>
        <v>478940</v>
      </c>
    </row>
    <row r="319" spans="1:9" s="101" customFormat="1" ht="63" x14ac:dyDescent="0.25">
      <c r="A319" s="826" t="str">
        <f>IF(B319&gt;0,VLOOKUP(B319,КВСР!A77:B1242,2),IF(C319&gt;0,VLOOKUP(C319,КФСР!A77:B1589,2),IF(D319&gt;0,VLOOKUP(D319,Программа!A$1:B$5124,2),IF(F319&gt;0,VLOOKUP(F319,КВР!A$1:B$5001,2),IF(E319&gt;0,VLOOKUP(E319,Направление!A$1:B$4816,2))))))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319" s="760"/>
      <c r="C319" s="820"/>
      <c r="D319" s="760" t="s">
        <v>645</v>
      </c>
      <c r="E319" s="760"/>
      <c r="F319" s="763"/>
      <c r="G319" s="813">
        <v>34629115</v>
      </c>
      <c r="H319" s="813">
        <f>H320+H327+H335</f>
        <v>1815000</v>
      </c>
      <c r="I319" s="806">
        <f>I320+I327+I335</f>
        <v>36444115</v>
      </c>
    </row>
    <row r="320" spans="1:9" s="101" customFormat="1" ht="63" x14ac:dyDescent="0.25">
      <c r="A320" s="826" t="str">
        <f>IF(B320&gt;0,VLOOKUP(B320,КВСР!A78:B1243,2),IF(C320&gt;0,VLOOKUP(C320,КФСР!A78:B1590,2),IF(D320&gt;0,VLOOKUP(D320,Программа!A$1:B$5124,2),IF(F320&gt;0,VLOOKUP(F320,КВР!A$1:B$5001,2),IF(E320&gt;0,VLOOKUP(E320,Направление!A$1:B$4816,2))))))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320" s="760"/>
      <c r="C320" s="820"/>
      <c r="D320" s="760" t="s">
        <v>647</v>
      </c>
      <c r="E320" s="760"/>
      <c r="F320" s="763"/>
      <c r="G320" s="813">
        <v>28684500</v>
      </c>
      <c r="H320" s="813">
        <f>H321+H325</f>
        <v>1815000</v>
      </c>
      <c r="I320" s="806">
        <f>I321+I325</f>
        <v>30499500</v>
      </c>
    </row>
    <row r="321" spans="1:9" s="101" customFormat="1" ht="47.25" x14ac:dyDescent="0.25">
      <c r="A321" s="826" t="str">
        <f>IF(B321&gt;0,VLOOKUP(B321,КВСР!A85:B1250,2),IF(C321&gt;0,VLOOKUP(C321,КФСР!A85:B1597,2),IF(D321&gt;0,VLOOKUP(D321,Программа!A$1:B$5124,2),IF(F321&gt;0,VLOOKUP(F321,КВР!A$1:B$5001,2),IF(E321&gt;0,VLOOKUP(E321,Направление!A$1:B$4816,2))))))</f>
        <v>Содержание и организация деятельности по благоустройству на территории поселения</v>
      </c>
      <c r="B321" s="760"/>
      <c r="C321" s="820"/>
      <c r="D321" s="760"/>
      <c r="E321" s="760">
        <v>29256</v>
      </c>
      <c r="F321" s="763"/>
      <c r="G321" s="813">
        <v>28684500</v>
      </c>
      <c r="H321" s="812">
        <f>H323+H322+H324</f>
        <v>1815000</v>
      </c>
      <c r="I321" s="805">
        <f>I323+I322+I324</f>
        <v>30499500</v>
      </c>
    </row>
    <row r="322" spans="1:9" s="101" customFormat="1" ht="110.25" x14ac:dyDescent="0.25">
      <c r="A322" s="826" t="str">
        <f>IF(B322&gt;0,VLOOKUP(B322,КВСР!A86:B1251,2),IF(C322&gt;0,VLOOKUP(C322,КФСР!A86:B1598,2),IF(D322&gt;0,VLOOKUP(D322,Программа!A$1:B$5124,2),IF(F322&gt;0,VLOOKUP(F322,КВР!A$1:B$5001,2),IF(E322&gt;0,VLOOKUP(E322,Направление!A$1:B$4816,2))))))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2" s="760"/>
      <c r="C322" s="820"/>
      <c r="D322" s="760"/>
      <c r="E322" s="760"/>
      <c r="F322" s="763">
        <v>100</v>
      </c>
      <c r="G322" s="813">
        <v>27003480</v>
      </c>
      <c r="H322" s="812">
        <v>1684000</v>
      </c>
      <c r="I322" s="805">
        <f>SUM(G322:H322)</f>
        <v>28687480</v>
      </c>
    </row>
    <row r="323" spans="1:9" s="101" customFormat="1" ht="63" x14ac:dyDescent="0.25">
      <c r="A323" s="826" t="str">
        <f>IF(B323&gt;0,VLOOKUP(B323,КВСР!A86:B1251,2),IF(C323&gt;0,VLOOKUP(C323,КФСР!A86:B1598,2),IF(D323&gt;0,VLOOKUP(D323,Программа!A$1:B$5124,2),IF(F323&gt;0,VLOOKUP(F323,КВР!A$1:B$5001,2),IF(E323&gt;0,VLOOKUP(E323,Направление!A$1:B$4816,2))))))</f>
        <v xml:space="preserve">Закупка товаров, работ и услуг для обеспечения государственных (муниципальных) нужд
</v>
      </c>
      <c r="B323" s="760"/>
      <c r="C323" s="820"/>
      <c r="D323" s="760"/>
      <c r="E323" s="760"/>
      <c r="F323" s="763">
        <v>200</v>
      </c>
      <c r="G323" s="812">
        <v>1666020</v>
      </c>
      <c r="H323" s="812">
        <v>116000</v>
      </c>
      <c r="I323" s="806">
        <f t="shared" ref="I323:I358" si="76">SUM(G323:H323)</f>
        <v>1782020</v>
      </c>
    </row>
    <row r="324" spans="1:9" s="101" customFormat="1" x14ac:dyDescent="0.25">
      <c r="A324" s="826" t="str">
        <f>IF(B324&gt;0,VLOOKUP(B324,КВСР!A87:B1252,2),IF(C324&gt;0,VLOOKUP(C324,КФСР!A87:B1599,2),IF(D324&gt;0,VLOOKUP(D324,Программа!A$1:B$5124,2),IF(F324&gt;0,VLOOKUP(F324,КВР!A$1:B$5001,2),IF(E324&gt;0,VLOOKUP(E324,Направление!A$1:B$4816,2))))))</f>
        <v>Иные бюджетные ассигнования</v>
      </c>
      <c r="B324" s="760"/>
      <c r="C324" s="820"/>
      <c r="D324" s="760"/>
      <c r="E324" s="760"/>
      <c r="F324" s="763">
        <v>800</v>
      </c>
      <c r="G324" s="812">
        <v>15000</v>
      </c>
      <c r="H324" s="812">
        <v>15000</v>
      </c>
      <c r="I324" s="806">
        <f>SUM(G324:H324)</f>
        <v>30000</v>
      </c>
    </row>
    <row r="325" spans="1:9" s="101" customFormat="1" ht="64.150000000000006" hidden="1" customHeight="1" x14ac:dyDescent="0.25">
      <c r="A325" s="826" t="str">
        <f>IF(B325&gt;0,VLOOKUP(B325,КВСР!A87:B1252,2),IF(C325&gt;0,VLOOKUP(C325,КФСР!A87:B1599,2),IF(D325&gt;0,VLOOKUP(D325,Программа!A$1:B$5124,2),IF(F325&gt;0,VLOOKUP(F325,КВР!A$1:B$5001,2),IF(E325&gt;0,VLOOKUP(E325,Направление!A$1:B$4816,2))))))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5" s="760"/>
      <c r="C325" s="820"/>
      <c r="D325" s="760"/>
      <c r="E325" s="760">
        <v>76426</v>
      </c>
      <c r="F325" s="763"/>
      <c r="G325" s="812">
        <v>0</v>
      </c>
      <c r="H325" s="812">
        <f>H326</f>
        <v>0</v>
      </c>
      <c r="I325" s="805">
        <f>I326</f>
        <v>0</v>
      </c>
    </row>
    <row r="326" spans="1:9" s="101" customFormat="1" ht="63" hidden="1" x14ac:dyDescent="0.25">
      <c r="A326" s="826" t="str">
        <f>IF(B326&gt;0,VLOOKUP(B326,КВСР!A88:B1253,2),IF(C326&gt;0,VLOOKUP(C326,КФСР!A88:B1600,2),IF(D326&gt;0,VLOOKUP(D326,Программа!A$1:B$5124,2),IF(F326&gt;0,VLOOKUP(F326,КВР!A$1:B$5001,2),IF(E326&gt;0,VLOOKUP(E326,Направление!A$1:B$4816,2))))))</f>
        <v xml:space="preserve">Закупка товаров, работ и услуг для обеспечения государственных (муниципальных) нужд
</v>
      </c>
      <c r="B326" s="760"/>
      <c r="C326" s="820"/>
      <c r="D326" s="760"/>
      <c r="E326" s="760"/>
      <c r="F326" s="763">
        <v>200</v>
      </c>
      <c r="G326" s="812">
        <v>0</v>
      </c>
      <c r="H326" s="812"/>
      <c r="I326" s="806">
        <f>G326+H326</f>
        <v>0</v>
      </c>
    </row>
    <row r="327" spans="1:9" s="101" customFormat="1" ht="47.25" x14ac:dyDescent="0.25">
      <c r="A327" s="826" t="str">
        <f>IF(B327&gt;0,VLOOKUP(B327,КВСР!A87:B1252,2),IF(C327&gt;0,VLOOKUP(C327,КФСР!A87:B1599,2),IF(D327&gt;0,VLOOKUP(D327,Программа!A$1:B$5124,2),IF(F327&gt;0,VLOOKUP(F327,КВР!A$1:B$5001,2),IF(E327&gt;0,VLOOKUP(E327,Направление!A$1:B$4816,2))))))</f>
        <v xml:space="preserve">Обеспечение мероприятий по совершенствованию  эстетического  состояния территорий </v>
      </c>
      <c r="B327" s="760"/>
      <c r="C327" s="820"/>
      <c r="D327" s="760" t="s">
        <v>649</v>
      </c>
      <c r="E327" s="760"/>
      <c r="F327" s="763"/>
      <c r="G327" s="812">
        <v>4947971</v>
      </c>
      <c r="H327" s="812">
        <f>H328+H330+H333</f>
        <v>0</v>
      </c>
      <c r="I327" s="805">
        <f>I328+I330+I333</f>
        <v>4947971</v>
      </c>
    </row>
    <row r="328" spans="1:9" s="101" customFormat="1" ht="63" hidden="1" x14ac:dyDescent="0.25">
      <c r="A328" s="826" t="str">
        <f>IF(B328&gt;0,VLOOKUP(B328,КВСР!A88:B1253,2),IF(C328&gt;0,VLOOKUP(C328,КФСР!A88:B1600,2),IF(D328&gt;0,VLOOKUP(D328,Программа!A$1:B$5124,2),IF(F328&gt;0,VLOOKUP(F328,КВР!A$1:B$5001,2),IF(E328&gt;0,VLOOKUP(E328,Направление!A$1:B$4816,2))))))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760"/>
      <c r="C328" s="820"/>
      <c r="D328" s="760"/>
      <c r="E328" s="760">
        <v>25356</v>
      </c>
      <c r="F328" s="763"/>
      <c r="G328" s="813">
        <v>0</v>
      </c>
      <c r="H328" s="812">
        <f t="shared" ref="H328:I328" si="77">H329</f>
        <v>0</v>
      </c>
      <c r="I328" s="805">
        <f t="shared" si="77"/>
        <v>0</v>
      </c>
    </row>
    <row r="329" spans="1:9" s="101" customFormat="1" ht="47.25" hidden="1" x14ac:dyDescent="0.25">
      <c r="A329" s="826" t="str">
        <f>IF(B329&gt;0,VLOOKUP(B329,КВСР!A89:B1254,2),IF(C329&gt;0,VLOOKUP(C329,КФСР!A89:B1601,2),IF(D329&gt;0,VLOOKUP(D329,Программа!A$1:B$5124,2),IF(F329&gt;0,VLOOKUP(F329,КВР!A$1:B$5001,2),IF(E329&gt;0,VLOOKUP(E329,Направление!A$1:B$4816,2))))))</f>
        <v>Предоставление субсидий бюджетным, автономным учреждениям и иным некоммерческим организациям</v>
      </c>
      <c r="B329" s="760"/>
      <c r="C329" s="820"/>
      <c r="D329" s="760"/>
      <c r="E329" s="760"/>
      <c r="F329" s="763">
        <v>600</v>
      </c>
      <c r="G329" s="812">
        <v>0</v>
      </c>
      <c r="H329" s="812"/>
      <c r="I329" s="806">
        <f t="shared" ref="I329" si="78">SUM(G329:H329)</f>
        <v>0</v>
      </c>
    </row>
    <row r="330" spans="1:9" s="101" customFormat="1" ht="31.5" x14ac:dyDescent="0.25">
      <c r="A330" s="826" t="str">
        <f>IF(B330&gt;0,VLOOKUP(B330,КВСР!A90:B1255,2),IF(C330&gt;0,VLOOKUP(C330,КФСР!A90:B1602,2),IF(D330&gt;0,VLOOKUP(D330,Программа!A$1:B$5124,2),IF(F330&gt;0,VLOOKUP(F330,КВР!A$1:B$5001,2),IF(E330&gt;0,VLOOKUP(E330,Направление!A$1:B$4816,2))))))</f>
        <v>Обеспечение мероприятий в области благоустройства и озеленения</v>
      </c>
      <c r="B330" s="760"/>
      <c r="C330" s="820"/>
      <c r="D330" s="760"/>
      <c r="E330" s="760">
        <v>29266</v>
      </c>
      <c r="F330" s="763"/>
      <c r="G330" s="813">
        <v>4947971</v>
      </c>
      <c r="H330" s="812">
        <f>H331+H332</f>
        <v>0</v>
      </c>
      <c r="I330" s="805">
        <f>I331+I332</f>
        <v>4947971</v>
      </c>
    </row>
    <row r="331" spans="1:9" s="101" customFormat="1" ht="63" x14ac:dyDescent="0.25">
      <c r="A331" s="826" t="str">
        <f>IF(B331&gt;0,VLOOKUP(B331,КВСР!A91:B1256,2),IF(C331&gt;0,VLOOKUP(C331,КФСР!A91:B1603,2),IF(D331&gt;0,VLOOKUP(D331,Программа!A$1:B$5124,2),IF(F331&gt;0,VLOOKUP(F331,КВР!A$1:B$5001,2),IF(E331&gt;0,VLOOKUP(E331,Направление!A$1:B$4816,2))))))</f>
        <v xml:space="preserve">Закупка товаров, работ и услуг для обеспечения государственных (муниципальных) нужд
</v>
      </c>
      <c r="B331" s="760"/>
      <c r="C331" s="820"/>
      <c r="D331" s="760"/>
      <c r="E331" s="760"/>
      <c r="F331" s="763">
        <v>200</v>
      </c>
      <c r="G331" s="813">
        <v>4672436</v>
      </c>
      <c r="H331" s="812"/>
      <c r="I331" s="806">
        <f>SUM(G331:H331)</f>
        <v>4672436</v>
      </c>
    </row>
    <row r="332" spans="1:9" s="101" customFormat="1" ht="47.25" x14ac:dyDescent="0.25">
      <c r="A332" s="826" t="str">
        <f>IF(B332&gt;0,VLOOKUP(B332,КВСР!A92:B1257,2),IF(C332&gt;0,VLOOKUP(C332,КФСР!A92:B1604,2),IF(D332&gt;0,VLOOKUP(D332,Программа!A$1:B$5124,2),IF(F332&gt;0,VLOOKUP(F332,КВР!A$1:B$5001,2),IF(E332&gt;0,VLOOKUP(E332,Направление!A$1:B$4816,2))))))</f>
        <v>Капитальные вложения в объекты государственной (муниципальной) собственности</v>
      </c>
      <c r="B332" s="760"/>
      <c r="C332" s="820"/>
      <c r="D332" s="760"/>
      <c r="E332" s="760"/>
      <c r="F332" s="763">
        <v>400</v>
      </c>
      <c r="G332" s="813">
        <v>275535</v>
      </c>
      <c r="H332" s="812"/>
      <c r="I332" s="806">
        <f>SUM(G332:H332)</f>
        <v>275535</v>
      </c>
    </row>
    <row r="333" spans="1:9" s="101" customFormat="1" ht="63" hidden="1" x14ac:dyDescent="0.25">
      <c r="A333" s="826" t="str">
        <f>IF(B333&gt;0,VLOOKUP(B333,КВСР!A87:B1252,2),IF(C333&gt;0,VLOOKUP(C333,КФСР!A87:B1599,2),IF(D333&gt;0,VLOOKUP(D333,Программа!A$1:B$5124,2),IF(F333&gt;0,VLOOKUP(F333,КВР!A$1:B$5001,2),IF(E333&gt;0,VLOOKUP(E333,Направление!A$1:B$4816,2))))))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3" s="760"/>
      <c r="C333" s="820"/>
      <c r="D333" s="760"/>
      <c r="E333" s="760">
        <v>75356</v>
      </c>
      <c r="F333" s="763"/>
      <c r="G333" s="813">
        <v>0</v>
      </c>
      <c r="H333" s="812">
        <f>H334</f>
        <v>0</v>
      </c>
      <c r="I333" s="805">
        <f>I334</f>
        <v>0</v>
      </c>
    </row>
    <row r="334" spans="1:9" s="101" customFormat="1" ht="47.25" hidden="1" x14ac:dyDescent="0.25">
      <c r="A334" s="826" t="str">
        <f>IF(B334&gt;0,VLOOKUP(B334,КВСР!A88:B1253,2),IF(C334&gt;0,VLOOKUP(C334,КФСР!A88:B1600,2),IF(D334&gt;0,VLOOKUP(D334,Программа!A$1:B$5124,2),IF(F334&gt;0,VLOOKUP(F334,КВР!A$1:B$5001,2),IF(E334&gt;0,VLOOKUP(E334,Направление!A$1:B$4816,2))))))</f>
        <v>Предоставление субсидий бюджетным, автономным учреждениям и иным некоммерческим организациям</v>
      </c>
      <c r="B334" s="760"/>
      <c r="C334" s="820"/>
      <c r="D334" s="760"/>
      <c r="E334" s="760"/>
      <c r="F334" s="763">
        <v>600</v>
      </c>
      <c r="G334" s="812">
        <v>0</v>
      </c>
      <c r="H334" s="812"/>
      <c r="I334" s="806">
        <f t="shared" si="76"/>
        <v>0</v>
      </c>
    </row>
    <row r="335" spans="1:9" s="101" customFormat="1" ht="40.9" customHeight="1" x14ac:dyDescent="0.25">
      <c r="A335" s="826" t="str">
        <f>IF(B335&gt;0,VLOOKUP(B335,КВСР!A89:B1254,2),IF(C335&gt;0,VLOOKUP(C335,КФСР!A89:B1601,2),IF(D335&gt;0,VLOOKUP(D335,Программа!A$1:B$5124,2),IF(F335&gt;0,VLOOKUP(F335,КВР!A$1:B$5001,2),IF(E335&gt;0,VLOOKUP(E335,Направление!A$1:B$4816,2))))))</f>
        <v>Обеспечение мероприятий по благоустройству воинских захоронений</v>
      </c>
      <c r="B335" s="760"/>
      <c r="C335" s="820"/>
      <c r="D335" s="760" t="s">
        <v>650</v>
      </c>
      <c r="E335" s="760"/>
      <c r="F335" s="763"/>
      <c r="G335" s="812">
        <v>996644</v>
      </c>
      <c r="H335" s="812">
        <f>H336+H340+H338+H342</f>
        <v>0</v>
      </c>
      <c r="I335" s="805">
        <f>I336+I340+I338+I342</f>
        <v>996644</v>
      </c>
    </row>
    <row r="336" spans="1:9" s="101" customFormat="1" ht="63" x14ac:dyDescent="0.25">
      <c r="A336" s="826" t="str">
        <f>IF(B336&gt;0,VLOOKUP(B336,КВСР!A90:B1255,2),IF(C336&gt;0,VLOOKUP(C336,КФСР!A90:B1602,2),IF(D336&gt;0,VLOOKUP(D336,Программа!A$1:B$5124,2),IF(F336&gt;0,VLOOKUP(F336,КВР!A$1:B$5001,2),IF(E336&gt;0,VLOOKUP(E336,Направление!A$1:B$4816,2))))))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36" s="760"/>
      <c r="C336" s="820"/>
      <c r="D336" s="760"/>
      <c r="E336" s="760">
        <v>26426</v>
      </c>
      <c r="F336" s="763"/>
      <c r="G336" s="812">
        <v>55475</v>
      </c>
      <c r="H336" s="812">
        <f t="shared" ref="H336:I336" si="79">H337</f>
        <v>0</v>
      </c>
      <c r="I336" s="805">
        <f t="shared" si="79"/>
        <v>55475</v>
      </c>
    </row>
    <row r="337" spans="1:9" s="101" customFormat="1" ht="68.25" customHeight="1" x14ac:dyDescent="0.25">
      <c r="A337" s="826" t="str">
        <f>IF(B337&gt;0,VLOOKUP(B337,КВСР!A91:B1256,2),IF(C337&gt;0,VLOOKUP(C337,КФСР!A91:B1603,2),IF(D337&gt;0,VLOOKUP(D337,Программа!A$1:B$5124,2),IF(F337&gt;0,VLOOKUP(F337,КВР!A$1:B$5001,2),IF(E337&gt;0,VLOOKUP(E337,Направление!A$1:B$4816,2))))))</f>
        <v xml:space="preserve">Закупка товаров, работ и услуг для обеспечения государственных (муниципальных) нужд
</v>
      </c>
      <c r="B337" s="760"/>
      <c r="C337" s="820"/>
      <c r="D337" s="760"/>
      <c r="E337" s="760"/>
      <c r="F337" s="763">
        <v>200</v>
      </c>
      <c r="G337" s="812">
        <v>55475</v>
      </c>
      <c r="H337" s="812"/>
      <c r="I337" s="805">
        <f>SUM(G337:H337)</f>
        <v>55475</v>
      </c>
    </row>
    <row r="338" spans="1:9" s="101" customFormat="1" ht="63" x14ac:dyDescent="0.25">
      <c r="A338" s="826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38" s="760"/>
      <c r="C338" s="820"/>
      <c r="D338" s="760"/>
      <c r="E338" s="760">
        <v>76426</v>
      </c>
      <c r="F338" s="763"/>
      <c r="G338" s="812">
        <v>941169</v>
      </c>
      <c r="H338" s="812">
        <f>H339</f>
        <v>0</v>
      </c>
      <c r="I338" s="805">
        <f>I339</f>
        <v>941169</v>
      </c>
    </row>
    <row r="339" spans="1:9" s="101" customFormat="1" ht="63" customHeight="1" x14ac:dyDescent="0.25">
      <c r="A339" s="826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IF(B339&gt;0,VLOOKUP(B339,КВСР!A93:B1258,2),IF(C339&gt;0,VLOOKUP(C339,КФСР!A93:B1605,2),IF(D339&gt;0,VLOOKUP(D339,Программа!A$1:B$5124,2),IF(F339&gt;0,VLOOKUP(F339,КВР!A$1:B$5001,2),IF(E339&gt;0,VLOOKUP(E339,Направление!A$1:B$4816,2))))))</f>
        <v xml:space="preserve">Закупка товаров, работ и услуг для обеспечения государственных (муниципальных) нужд
</v>
      </c>
      <c r="B339" s="760"/>
      <c r="C339" s="820"/>
      <c r="D339" s="760"/>
      <c r="E339" s="760"/>
      <c r="F339" s="763">
        <v>200</v>
      </c>
      <c r="G339" s="812">
        <v>941169</v>
      </c>
      <c r="H339" s="812"/>
      <c r="I339" s="805">
        <f>SUM(G339:H339)</f>
        <v>941169</v>
      </c>
    </row>
    <row r="340" spans="1:9" s="101" customFormat="1" ht="63" hidden="1" x14ac:dyDescent="0.25">
      <c r="A340" s="826" t="str">
        <f>IF(B340&gt;0,VLOOKUP(B340,КВСР!A92:B1257,2),IF(C340&gt;0,VLOOKUP(C340,КФСР!A92:B1604,2),IF(D340&gt;0,VLOOKUP(D340,Программа!A$1:B$5124,2),IF(F340&gt;0,VLOOKUP(F340,КВР!A$1:B$5001,2),IF(E340&gt;0,VLOOKUP(E340,Направление!A$1:B$4816,2))))))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40" s="760"/>
      <c r="C340" s="820"/>
      <c r="D340" s="760"/>
      <c r="E340" s="760">
        <v>75356</v>
      </c>
      <c r="F340" s="763"/>
      <c r="G340" s="812">
        <v>0</v>
      </c>
      <c r="H340" s="812">
        <f t="shared" ref="H340:I340" si="80">H341</f>
        <v>0</v>
      </c>
      <c r="I340" s="805">
        <f t="shared" si="80"/>
        <v>0</v>
      </c>
    </row>
    <row r="341" spans="1:9" s="101" customFormat="1" ht="47.25" hidden="1" x14ac:dyDescent="0.25">
      <c r="A341" s="826" t="str">
        <f>IF(B341&gt;0,VLOOKUP(B341,КВСР!A93:B1258,2),IF(C341&gt;0,VLOOKUP(C341,КФСР!A93:B1605,2),IF(D341&gt;0,VLOOKUP(D341,Программа!A$1:B$5124,2),IF(F341&gt;0,VLOOKUP(F341,КВР!A$1:B$5001,2),IF(E341&gt;0,VLOOKUP(E341,Направление!A$1:B$4816,2))))))</f>
        <v>Предоставление субсидий бюджетным, автономным учреждениям и иным некоммерческим организациям</v>
      </c>
      <c r="B341" s="760"/>
      <c r="C341" s="820"/>
      <c r="D341" s="760"/>
      <c r="E341" s="760"/>
      <c r="F341" s="763">
        <v>600</v>
      </c>
      <c r="G341" s="812">
        <v>0</v>
      </c>
      <c r="H341" s="812"/>
      <c r="I341" s="805">
        <f>SUM(G341:H341)</f>
        <v>0</v>
      </c>
    </row>
    <row r="342" spans="1:9" s="101" customFormat="1" ht="31.5" hidden="1" x14ac:dyDescent="0.25">
      <c r="A342" s="826" t="str">
        <f>IF(B342&gt;0,VLOOKUP(B342,КВСР!A94:B1259,2),IF(C342&gt;0,VLOOKUP(C342,КФСР!A94:B1606,2),IF(D342&gt;0,VLOOKUP(D342,Программа!A$1:B$5124,2),IF(F342&gt;0,VLOOKUP(F342,КВР!A$1:B$5001,2),IF(E342&gt;0,VLOOKUP(E342,Направление!A$1:B$4816,2))))))</f>
        <v>Обеспечение мероприятий по благоустройству площади Юбилейная</v>
      </c>
      <c r="B342" s="760"/>
      <c r="C342" s="820"/>
      <c r="D342" s="760"/>
      <c r="E342" s="760">
        <v>77266</v>
      </c>
      <c r="F342" s="763"/>
      <c r="G342" s="812">
        <v>0</v>
      </c>
      <c r="H342" s="812">
        <f>H343</f>
        <v>0</v>
      </c>
      <c r="I342" s="805">
        <f>I343</f>
        <v>0</v>
      </c>
    </row>
    <row r="343" spans="1:9" s="101" customFormat="1" ht="47.25" hidden="1" x14ac:dyDescent="0.25">
      <c r="A343" s="826" t="str">
        <f>IF(B343&gt;0,VLOOKUP(B343,КВСР!A95:B1260,2),IF(C343&gt;0,VLOOKUP(C343,КФСР!A95:B1607,2),IF(D343&gt;0,VLOOKUP(D343,Программа!A$1:B$5124,2),IF(F343&gt;0,VLOOKUP(F343,КВР!A$1:B$5001,2),IF(E343&gt;0,VLOOKUP(E343,Направление!A$1:B$4816,2))))))</f>
        <v>Предоставление субсидий бюджетным, автономным учреждениям и иным некоммерческим организациям</v>
      </c>
      <c r="B343" s="760"/>
      <c r="C343" s="820"/>
      <c r="D343" s="760"/>
      <c r="E343" s="760"/>
      <c r="F343" s="763">
        <v>600</v>
      </c>
      <c r="G343" s="812">
        <v>0</v>
      </c>
      <c r="H343" s="812"/>
      <c r="I343" s="805">
        <f>SUM(G343:H343)</f>
        <v>0</v>
      </c>
    </row>
    <row r="344" spans="1:9" s="101" customFormat="1" ht="110.25" x14ac:dyDescent="0.25">
      <c r="A344" s="826" t="str">
        <f>IF(B344&gt;0,VLOOKUP(B344,КВСР!A93:B1258,2),IF(C344&gt;0,VLOOKUP(C344,КФСР!A93:B1605,2),IF(D344&gt;0,VLOOKUP(D344,Программа!A$1:B$5124,2),IF(F344&gt;0,VLOOKUP(F344,КВР!A$1:B$5001,2),IF(E344&gt;0,VLOOKUP(E344,Направление!A$1:B$4816,2))))))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44" s="760"/>
      <c r="C344" s="820"/>
      <c r="D344" s="760" t="s">
        <v>1389</v>
      </c>
      <c r="E344" s="760"/>
      <c r="F344" s="763"/>
      <c r="G344" s="812">
        <v>14647778</v>
      </c>
      <c r="H344" s="812">
        <f t="shared" ref="H344:I346" si="81">H345</f>
        <v>1500000</v>
      </c>
      <c r="I344" s="805">
        <f t="shared" si="81"/>
        <v>16147778</v>
      </c>
    </row>
    <row r="345" spans="1:9" s="101" customFormat="1" ht="47.25" x14ac:dyDescent="0.25">
      <c r="A345" s="826" t="str">
        <f>IF(B345&gt;0,VLOOKUP(B345,КВСР!A94:B1259,2),IF(C345&gt;0,VLOOKUP(C345,КФСР!A94:B1606,2),IF(D345&gt;0,VLOOKUP(D345,Программа!A$1:B$5124,2),IF(F345&gt;0,VLOOKUP(F345,КВР!A$1:B$5001,2),IF(E345&gt;0,VLOOKUP(E345,Направление!A$1:B$4816,2))))))</f>
        <v>Создание механизма управления потреблением энергетических ресурсов и сокращение бюджетных затрат</v>
      </c>
      <c r="B345" s="760"/>
      <c r="C345" s="820"/>
      <c r="D345" s="760" t="s">
        <v>1390</v>
      </c>
      <c r="E345" s="760"/>
      <c r="F345" s="763"/>
      <c r="G345" s="812">
        <v>14647778</v>
      </c>
      <c r="H345" s="812">
        <f t="shared" si="81"/>
        <v>1500000</v>
      </c>
      <c r="I345" s="805">
        <f t="shared" si="81"/>
        <v>16147778</v>
      </c>
    </row>
    <row r="346" spans="1:9" s="101" customFormat="1" ht="31.5" x14ac:dyDescent="0.25">
      <c r="A346" s="826" t="str">
        <f>IF(B346&gt;0,VLOOKUP(B346,КВСР!A94:B1259,2),IF(C346&gt;0,VLOOKUP(C346,КФСР!A94:B1606,2),IF(D346&gt;0,VLOOKUP(D346,Программа!A$1:B$5124,2),IF(F346&gt;0,VLOOKUP(F346,КВР!A$1:B$5001,2),IF(E346&gt;0,VLOOKUP(E346,Направление!A$1:B$4816,2))))))</f>
        <v>Обеспечение мероприятий по уличному освещению</v>
      </c>
      <c r="B346" s="760"/>
      <c r="C346" s="820"/>
      <c r="D346" s="760"/>
      <c r="E346" s="760">
        <v>29236</v>
      </c>
      <c r="F346" s="763"/>
      <c r="G346" s="812">
        <v>14647778</v>
      </c>
      <c r="H346" s="812">
        <f t="shared" si="81"/>
        <v>1500000</v>
      </c>
      <c r="I346" s="805">
        <f t="shared" si="81"/>
        <v>16147778</v>
      </c>
    </row>
    <row r="347" spans="1:9" s="101" customFormat="1" ht="63" x14ac:dyDescent="0.25">
      <c r="A347" s="826" t="str">
        <f>IF(B347&gt;0,VLOOKUP(B347,КВСР!A95:B1260,2),IF(C347&gt;0,VLOOKUP(C347,КФСР!A95:B1607,2),IF(D347&gt;0,VLOOKUP(D347,Программа!A$1:B$5124,2),IF(F347&gt;0,VLOOKUP(F347,КВР!A$1:B$5001,2),IF(E347&gt;0,VLOOKUP(E347,Направление!A$1:B$4816,2))))))</f>
        <v xml:space="preserve">Закупка товаров, работ и услуг для обеспечения государственных (муниципальных) нужд
</v>
      </c>
      <c r="B347" s="760"/>
      <c r="C347" s="820"/>
      <c r="D347" s="760"/>
      <c r="E347" s="760"/>
      <c r="F347" s="763">
        <v>200</v>
      </c>
      <c r="G347" s="812">
        <v>14647778</v>
      </c>
      <c r="H347" s="812">
        <v>1500000</v>
      </c>
      <c r="I347" s="806">
        <f>G347+H347</f>
        <v>16147778</v>
      </c>
    </row>
    <row r="348" spans="1:9" s="101" customFormat="1" ht="63" x14ac:dyDescent="0.25">
      <c r="A348" s="826" t="str">
        <f>IF(B348&gt;0,VLOOKUP(B348,КВСР!A96:B1261,2),IF(C348&gt;0,VLOOKUP(C348,КФСР!A96:B1608,2),IF(D348&gt;0,VLOOKUP(D348,Программа!A$1:B$5124,2),IF(F348&gt;0,VLOOKUP(F348,КВР!A$1:B$5001,2),IF(E348&gt;0,VLOOKUP(E348,Направление!A$1:B$4816,2))))))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348" s="760"/>
      <c r="C348" s="820"/>
      <c r="D348" s="760" t="s">
        <v>1391</v>
      </c>
      <c r="E348" s="760"/>
      <c r="F348" s="763"/>
      <c r="G348" s="812">
        <v>3200000</v>
      </c>
      <c r="H348" s="812">
        <f t="shared" ref="H348:I350" si="82">H349</f>
        <v>0</v>
      </c>
      <c r="I348" s="805">
        <f t="shared" si="82"/>
        <v>3200000</v>
      </c>
    </row>
    <row r="349" spans="1:9" s="101" customFormat="1" ht="31.5" x14ac:dyDescent="0.25">
      <c r="A349" s="826" t="str">
        <f>IF(B349&gt;0,VLOOKUP(B349,КВСР!A97:B1262,2),IF(C349&gt;0,VLOOKUP(C349,КФСР!A97:B1609,2),IF(D349&gt;0,VLOOKUP(D349,Программа!A$1:B$5124,2),IF(F349&gt;0,VLOOKUP(F349,КВР!A$1:B$5001,2),IF(E349&gt;0,VLOOKUP(E349,Направление!A$1:B$4816,2))))))</f>
        <v xml:space="preserve">Реконструкция, ремонт и строительство новых сетей уличного освещения </v>
      </c>
      <c r="B349" s="760"/>
      <c r="C349" s="820"/>
      <c r="D349" s="760" t="s">
        <v>1392</v>
      </c>
      <c r="E349" s="760"/>
      <c r="F349" s="763"/>
      <c r="G349" s="812">
        <v>3200000</v>
      </c>
      <c r="H349" s="812">
        <f t="shared" si="82"/>
        <v>0</v>
      </c>
      <c r="I349" s="805">
        <f t="shared" si="82"/>
        <v>3200000</v>
      </c>
    </row>
    <row r="350" spans="1:9" s="101" customFormat="1" ht="63" x14ac:dyDescent="0.25">
      <c r="A350" s="826" t="str">
        <f>IF(B350&gt;0,VLOOKUP(B350,КВСР!A97:B1262,2),IF(C350&gt;0,VLOOKUP(C350,КФСР!A97:B1609,2),IF(D350&gt;0,VLOOKUP(D350,Программа!A$1:B$5124,2),IF(F350&gt;0,VLOOKUP(F350,КВР!A$1:B$5001,2),IF(E350&gt;0,VLOOKUP(E350,Направление!A$1:B$4816,2))))))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350" s="760"/>
      <c r="C350" s="820"/>
      <c r="D350" s="760"/>
      <c r="E350" s="760">
        <v>29246</v>
      </c>
      <c r="F350" s="763"/>
      <c r="G350" s="812">
        <v>3200000</v>
      </c>
      <c r="H350" s="812">
        <f t="shared" si="82"/>
        <v>0</v>
      </c>
      <c r="I350" s="805">
        <f t="shared" si="82"/>
        <v>3200000</v>
      </c>
    </row>
    <row r="351" spans="1:9" s="101" customFormat="1" ht="63" x14ac:dyDescent="0.25">
      <c r="A351" s="826" t="str">
        <f>IF(B351&gt;0,VLOOKUP(B351,КВСР!A98:B1263,2),IF(C351&gt;0,VLOOKUP(C351,КФСР!A98:B1610,2),IF(D351&gt;0,VLOOKUP(D351,Программа!A$1:B$5124,2),IF(F351&gt;0,VLOOKUP(F351,КВР!A$1:B$5001,2),IF(E351&gt;0,VLOOKUP(E351,Направление!A$1:B$4816,2))))))</f>
        <v xml:space="preserve">Закупка товаров, работ и услуг для обеспечения государственных (муниципальных) нужд
</v>
      </c>
      <c r="B351" s="760"/>
      <c r="C351" s="820"/>
      <c r="D351" s="760"/>
      <c r="E351" s="760"/>
      <c r="F351" s="763">
        <v>200</v>
      </c>
      <c r="G351" s="812">
        <v>3200000</v>
      </c>
      <c r="H351" s="812"/>
      <c r="I351" s="806">
        <f>G351+H351</f>
        <v>3200000</v>
      </c>
    </row>
    <row r="352" spans="1:9" s="101" customFormat="1" ht="63" x14ac:dyDescent="0.25">
      <c r="A352" s="826" t="str">
        <f>IF(B352&gt;0,VLOOKUP(B352,КВСР!A89:B1254,2),IF(C352&gt;0,VLOOKUP(C352,КФСР!A89:B1601,2),IF(D352&gt;0,VLOOKUP(D352,Программа!A$1:B$5124,2),IF(F352&gt;0,VLOOKUP(F352,КВР!A$1:B$5001,2),IF(E352&gt;0,VLOOKUP(E352,Направление!A$1:B$4816,2))))))</f>
        <v>Муниципальная программа "Формирование  современной городской среды"  Тутаевского муниципального района</v>
      </c>
      <c r="B352" s="760"/>
      <c r="C352" s="820"/>
      <c r="D352" s="760" t="s">
        <v>1134</v>
      </c>
      <c r="E352" s="760"/>
      <c r="F352" s="763"/>
      <c r="G352" s="813">
        <v>96307611</v>
      </c>
      <c r="H352" s="812">
        <f>H353+H361+H356</f>
        <v>-54322</v>
      </c>
      <c r="I352" s="805">
        <f>I353+I361+I356</f>
        <v>96253289</v>
      </c>
    </row>
    <row r="353" spans="1:9" s="101" customFormat="1" ht="31.5" x14ac:dyDescent="0.25">
      <c r="A353" s="826" t="str">
        <f>IF(B353&gt;0,VLOOKUP(B353,КВСР!A90:B1255,2),IF(C353&gt;0,VLOOKUP(C353,КФСР!A90:B1602,2),IF(D353&gt;0,VLOOKUP(D353,Программа!A$1:B$5124,2),IF(F353&gt;0,VLOOKUP(F353,КВР!A$1:B$5001,2),IF(E353&gt;0,VLOOKUP(E353,Направление!A$1:B$4816,2))))))</f>
        <v>Повышение уровня благоустройства территорий</v>
      </c>
      <c r="B353" s="760"/>
      <c r="C353" s="820"/>
      <c r="D353" s="760" t="s">
        <v>1152</v>
      </c>
      <c r="E353" s="760"/>
      <c r="F353" s="763"/>
      <c r="G353" s="813">
        <v>7461949</v>
      </c>
      <c r="H353" s="812">
        <f>H354</f>
        <v>0</v>
      </c>
      <c r="I353" s="805">
        <f>I354</f>
        <v>7461949</v>
      </c>
    </row>
    <row r="354" spans="1:9" s="101" customFormat="1" ht="47.25" x14ac:dyDescent="0.25">
      <c r="A354" s="826" t="str">
        <f>IF(B354&gt;0,VLOOKUP(B354,КВСР!A89:B1254,2),IF(C354&gt;0,VLOOKUP(C354,КФСР!A89:B1601,2),IF(D354&gt;0,VLOOKUP(D354,Программа!A$1:B$5124,2),IF(F354&gt;0,VLOOKUP(F354,КВР!A$1:B$5001,2),IF(E354&gt;0,VLOOKUP(E354,Направление!A$1:B$4816,2))))))</f>
        <v>Обеспечение мероприятий по формированию современной городской среды</v>
      </c>
      <c r="B354" s="760"/>
      <c r="C354" s="820"/>
      <c r="D354" s="760"/>
      <c r="E354" s="760">
        <v>29456</v>
      </c>
      <c r="F354" s="763"/>
      <c r="G354" s="813">
        <v>7461949</v>
      </c>
      <c r="H354" s="812">
        <f>H355</f>
        <v>0</v>
      </c>
      <c r="I354" s="805">
        <f>I355</f>
        <v>7461949</v>
      </c>
    </row>
    <row r="355" spans="1:9" s="101" customFormat="1" ht="63" x14ac:dyDescent="0.25">
      <c r="A355" s="826" t="str">
        <f>IF(B355&gt;0,VLOOKUP(B355,КВСР!A90:B1255,2),IF(C355&gt;0,VLOOKUP(C355,КФСР!A90:B1602,2),IF(D355&gt;0,VLOOKUP(D355,Программа!A$1:B$5124,2),IF(F355&gt;0,VLOOKUP(F355,КВР!A$1:B$5001,2),IF(E355&gt;0,VLOOKUP(E355,Направление!A$1:B$4816,2))))))</f>
        <v xml:space="preserve">Закупка товаров, работ и услуг для обеспечения государственных (муниципальных) нужд
</v>
      </c>
      <c r="B355" s="760"/>
      <c r="C355" s="820"/>
      <c r="D355" s="760"/>
      <c r="E355" s="760"/>
      <c r="F355" s="763">
        <v>200</v>
      </c>
      <c r="G355" s="812">
        <v>7461949</v>
      </c>
      <c r="H355" s="812"/>
      <c r="I355" s="806">
        <f t="shared" si="76"/>
        <v>7461949</v>
      </c>
    </row>
    <row r="356" spans="1:9" s="101" customFormat="1" ht="31.5" x14ac:dyDescent="0.25">
      <c r="A356" s="826" t="str">
        <f>IF(B356&gt;0,VLOOKUP(B356,КВСР!A91:B1256,2),IF(C356&gt;0,VLOOKUP(C356,КФСР!A91:B1603,2),IF(D356&gt;0,VLOOKUP(D356,Программа!A$1:B$5124,2),IF(F356&gt;0,VLOOKUP(F356,КВР!A$1:B$5001,2),IF(E356&gt;0,VLOOKUP(E356,Направление!A$1:B$4816,2))))))</f>
        <v>Реализация  Губернаторского  проекта "Наши дворы"</v>
      </c>
      <c r="B356" s="760"/>
      <c r="C356" s="820"/>
      <c r="D356" s="760" t="s">
        <v>1153</v>
      </c>
      <c r="E356" s="760"/>
      <c r="F356" s="763"/>
      <c r="G356" s="812">
        <v>79471764</v>
      </c>
      <c r="H356" s="812">
        <f>H357+H359</f>
        <v>0</v>
      </c>
      <c r="I356" s="805">
        <f>I357+I359</f>
        <v>79471764</v>
      </c>
    </row>
    <row r="357" spans="1:9" s="101" customFormat="1" x14ac:dyDescent="0.25">
      <c r="A357" s="826" t="str">
        <f>IF(B357&gt;0,VLOOKUP(B357,КВСР!A92:B1257,2),IF(C357&gt;0,VLOOKUP(C357,КФСР!A92:B1604,2),IF(D357&gt;0,VLOOKUP(D357,Программа!A$1:B$5124,2),IF(F357&gt;0,VLOOKUP(F357,КВР!A$1:B$5001,2),IF(E357&gt;0,VLOOKUP(E357,Направление!A$1:B$4816,2))))))</f>
        <v>Мероприятия проекта "Наши дворы"</v>
      </c>
      <c r="B357" s="760"/>
      <c r="C357" s="820"/>
      <c r="D357" s="760"/>
      <c r="E357" s="760">
        <v>29656</v>
      </c>
      <c r="F357" s="763"/>
      <c r="G357" s="813">
        <v>12971764</v>
      </c>
      <c r="H357" s="812">
        <f>H358</f>
        <v>0</v>
      </c>
      <c r="I357" s="805">
        <f>I358</f>
        <v>12971764</v>
      </c>
    </row>
    <row r="358" spans="1:9" s="101" customFormat="1" ht="63" x14ac:dyDescent="0.25">
      <c r="A358" s="826" t="str">
        <f>IF(B358&gt;0,VLOOKUP(B358,КВСР!A93:B1258,2),IF(C358&gt;0,VLOOKUP(C358,КФСР!A93:B1605,2),IF(D358&gt;0,VLOOKUP(D358,Программа!A$1:B$5124,2),IF(F358&gt;0,VLOOKUP(F358,КВР!A$1:B$5001,2),IF(E358&gt;0,VLOOKUP(E358,Направление!A$1:B$4816,2))))))</f>
        <v xml:space="preserve">Закупка товаров, работ и услуг для обеспечения государственных (муниципальных) нужд
</v>
      </c>
      <c r="B358" s="760"/>
      <c r="C358" s="820"/>
      <c r="D358" s="760"/>
      <c r="E358" s="760"/>
      <c r="F358" s="763">
        <v>200</v>
      </c>
      <c r="G358" s="812">
        <v>12971764</v>
      </c>
      <c r="H358" s="812"/>
      <c r="I358" s="806">
        <f t="shared" si="76"/>
        <v>12971764</v>
      </c>
    </row>
    <row r="359" spans="1:9" s="101" customFormat="1" ht="47.25" x14ac:dyDescent="0.25">
      <c r="A359" s="826" t="str">
        <f>IF(B359&gt;0,VLOOKUP(B359,КВСР!A94:B1259,2),IF(C359&gt;0,VLOOKUP(C359,КФСР!A94:B1606,2),IF(D359&gt;0,VLOOKUP(D359,Программа!A$1:B$5124,2),IF(F359&gt;0,VLOOKUP(F359,КВР!A$1:B$5001,2),IF(E359&gt;0,VLOOKUP(E359,Направление!A$1:B$4816,2))))))</f>
        <v>Мероприятия по благоустройству дворовых территорий и обустройству территорий для выгула собак</v>
      </c>
      <c r="B359" s="760"/>
      <c r="C359" s="820"/>
      <c r="D359" s="760"/>
      <c r="E359" s="760">
        <v>70416</v>
      </c>
      <c r="F359" s="763"/>
      <c r="G359" s="812">
        <v>66500000</v>
      </c>
      <c r="H359" s="812">
        <f>H360</f>
        <v>0</v>
      </c>
      <c r="I359" s="806">
        <f>I360</f>
        <v>66500000</v>
      </c>
    </row>
    <row r="360" spans="1:9" s="101" customFormat="1" ht="63" x14ac:dyDescent="0.25">
      <c r="A360" s="826" t="str">
        <f>IF(B360&gt;0,VLOOKUP(B360,КВСР!A95:B1260,2),IF(C360&gt;0,VLOOKUP(C360,КФСР!A95:B1607,2),IF(D360&gt;0,VLOOKUP(D360,Программа!A$1:B$5124,2),IF(F360&gt;0,VLOOKUP(F360,КВР!A$1:B$5001,2),IF(E360&gt;0,VLOOKUP(E360,Направление!A$1:B$4816,2))))))</f>
        <v xml:space="preserve">Закупка товаров, работ и услуг для обеспечения государственных (муниципальных) нужд
</v>
      </c>
      <c r="B360" s="760"/>
      <c r="C360" s="820"/>
      <c r="D360" s="760"/>
      <c r="E360" s="760"/>
      <c r="F360" s="763">
        <v>200</v>
      </c>
      <c r="G360" s="812">
        <v>66500000</v>
      </c>
      <c r="H360" s="812"/>
      <c r="I360" s="806">
        <f>SUM(G360:H360)</f>
        <v>66500000</v>
      </c>
    </row>
    <row r="361" spans="1:9" s="101" customFormat="1" ht="31.5" x14ac:dyDescent="0.25">
      <c r="A361" s="826" t="str">
        <f>IF(B361&gt;0,VLOOKUP(B361,КВСР!A94:B1259,2),IF(C361&gt;0,VLOOKUP(C361,КФСР!A94:B1606,2),IF(D361&gt;0,VLOOKUP(D361,Программа!A$1:B$5124,2),IF(F361&gt;0,VLOOKUP(F361,КВР!A$1:B$5001,2),IF(E361&gt;0,VLOOKUP(E361,Направление!A$1:B$4816,2))))))</f>
        <v>Реализация   проекта "Формирование комфортной городской среды"</v>
      </c>
      <c r="B361" s="760"/>
      <c r="C361" s="820"/>
      <c r="D361" s="760" t="s">
        <v>1314</v>
      </c>
      <c r="E361" s="760"/>
      <c r="F361" s="763"/>
      <c r="G361" s="812">
        <v>9373898</v>
      </c>
      <c r="H361" s="812">
        <f>H364+H362</f>
        <v>-54322</v>
      </c>
      <c r="I361" s="805">
        <f>I364+I362</f>
        <v>9319576</v>
      </c>
    </row>
    <row r="362" spans="1:9" s="101" customFormat="1" ht="110.25" hidden="1" x14ac:dyDescent="0.25">
      <c r="A362" s="826" t="str">
        <f>IF(B362&gt;0,VLOOKUP(B362,КВСР!A95:B1260,2),IF(C362&gt;0,VLOOKUP(C362,КФСР!A95:B1607,2),IF(D362&gt;0,VLOOKUP(D362,Программа!A$1:B$5124,2),IF(F362&gt;0,VLOOKUP(F362,КВР!A$1:B$5001,2),IF(E362&gt;0,VLOOKUP(E362,Направление!A$1:B$4816,2))))))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62" s="760"/>
      <c r="C362" s="820"/>
      <c r="D362" s="760"/>
      <c r="E362" s="760">
        <v>54246</v>
      </c>
      <c r="F362" s="763"/>
      <c r="G362" s="812">
        <v>0</v>
      </c>
      <c r="H362" s="812">
        <f>H363</f>
        <v>0</v>
      </c>
      <c r="I362" s="805">
        <f>I363</f>
        <v>0</v>
      </c>
    </row>
    <row r="363" spans="1:9" s="101" customFormat="1" ht="63" hidden="1" x14ac:dyDescent="0.25">
      <c r="A363" s="826" t="str">
        <f>IF(B363&gt;0,VLOOKUP(B363,КВСР!A96:B1261,2),IF(C363&gt;0,VLOOKUP(C363,КФСР!A96:B1608,2),IF(D363&gt;0,VLOOKUP(D363,Программа!A$1:B$5124,2),IF(F363&gt;0,VLOOKUP(F363,КВР!A$1:B$5001,2),IF(E363&gt;0,VLOOKUP(E363,Направление!A$1:B$4816,2))))))</f>
        <v xml:space="preserve">Закупка товаров, работ и услуг для обеспечения государственных (муниципальных) нужд
</v>
      </c>
      <c r="B363" s="760"/>
      <c r="C363" s="820"/>
      <c r="D363" s="760"/>
      <c r="E363" s="760"/>
      <c r="F363" s="763">
        <v>200</v>
      </c>
      <c r="G363" s="812">
        <v>0</v>
      </c>
      <c r="H363" s="812"/>
      <c r="I363" s="805">
        <f>SUM(G363:H363)</f>
        <v>0</v>
      </c>
    </row>
    <row r="364" spans="1:9" s="101" customFormat="1" ht="47.25" x14ac:dyDescent="0.25">
      <c r="A364" s="826" t="str">
        <f>IF(B364&gt;0,VLOOKUP(B364,КВСР!A95:B1260,2),IF(C364&gt;0,VLOOKUP(C364,КФСР!A95:B1607,2),IF(D364&gt;0,VLOOKUP(D364,Программа!A$1:B$5124,2),IF(F364&gt;0,VLOOKUP(F364,КВР!A$1:B$5001,2),IF(E364&gt;0,VLOOKUP(E364,Направление!A$1:B$4816,2))))))</f>
        <v xml:space="preserve">Расходы на реализацию программ формирования современной городской среды </v>
      </c>
      <c r="B364" s="760"/>
      <c r="C364" s="820"/>
      <c r="D364" s="760"/>
      <c r="E364" s="760">
        <v>55556</v>
      </c>
      <c r="F364" s="763"/>
      <c r="G364" s="812">
        <v>9373898</v>
      </c>
      <c r="H364" s="812">
        <f t="shared" ref="H364:I364" si="83">H365</f>
        <v>-54322</v>
      </c>
      <c r="I364" s="805">
        <f t="shared" si="83"/>
        <v>9319576</v>
      </c>
    </row>
    <row r="365" spans="1:9" s="101" customFormat="1" ht="63" x14ac:dyDescent="0.25">
      <c r="A365" s="826" t="str">
        <f>IF(B365&gt;0,VLOOKUP(B365,КВСР!A96:B1261,2),IF(C365&gt;0,VLOOKUP(C365,КФСР!A96:B1608,2),IF(D365&gt;0,VLOOKUP(D365,Программа!A$1:B$5124,2),IF(F365&gt;0,VLOOKUP(F365,КВР!A$1:B$5001,2),IF(E365&gt;0,VLOOKUP(E365,Направление!A$1:B$4816,2))))))</f>
        <v xml:space="preserve">Закупка товаров, работ и услуг для обеспечения государственных (муниципальных) нужд
</v>
      </c>
      <c r="B365" s="760"/>
      <c r="C365" s="820"/>
      <c r="D365" s="760"/>
      <c r="E365" s="760"/>
      <c r="F365" s="763">
        <v>200</v>
      </c>
      <c r="G365" s="812">
        <v>9373898</v>
      </c>
      <c r="H365" s="812">
        <v>-54322</v>
      </c>
      <c r="I365" s="806">
        <f>SUM(G365:H365)</f>
        <v>9319576</v>
      </c>
    </row>
    <row r="366" spans="1:9" s="101" customFormat="1" x14ac:dyDescent="0.25">
      <c r="A366" s="826" t="str">
        <f>IF(B366&gt;0,VLOOKUP(B366,КВСР!A97:B1262,2),IF(C366&gt;0,VLOOKUP(C366,КФСР!A97:B1609,2),IF(D366&gt;0,VLOOKUP(D366,Программа!A$1:B$5124,2),IF(F366&gt;0,VLOOKUP(F366,КВР!A$1:B$5001,2),IF(E366&gt;0,VLOOKUP(E366,Направление!A$1:B$4816,2))))))</f>
        <v>Непрограммные расходы бюджета</v>
      </c>
      <c r="B366" s="760"/>
      <c r="C366" s="820"/>
      <c r="D366" s="760" t="s">
        <v>311</v>
      </c>
      <c r="E366" s="760"/>
      <c r="F366" s="763"/>
      <c r="G366" s="812">
        <v>139294</v>
      </c>
      <c r="H366" s="812">
        <f>H367</f>
        <v>0</v>
      </c>
      <c r="I366" s="806">
        <f>I367</f>
        <v>139294</v>
      </c>
    </row>
    <row r="367" spans="1:9" s="101" customFormat="1" ht="31.5" x14ac:dyDescent="0.25">
      <c r="A367" s="826" t="str">
        <f>IF(B367&gt;0,VLOOKUP(B367,КВСР!A98:B1263,2),IF(C367&gt;0,VLOOKUP(C367,КФСР!A98:B1610,2),IF(D367&gt;0,VLOOKUP(D367,Программа!A$1:B$5124,2),IF(F367&gt;0,VLOOKUP(F367,КВР!A$1:B$5001,2),IF(E367&gt;0,VLOOKUP(E367,Направление!A$1:B$4816,2))))))</f>
        <v>Расходы  на оказание услуг по захоронению невостребованных трупов</v>
      </c>
      <c r="B367" s="760"/>
      <c r="C367" s="820"/>
      <c r="D367" s="760"/>
      <c r="E367" s="760">
        <v>29356</v>
      </c>
      <c r="F367" s="763"/>
      <c r="G367" s="812">
        <v>139294</v>
      </c>
      <c r="H367" s="812">
        <f>H368</f>
        <v>0</v>
      </c>
      <c r="I367" s="806">
        <f>SUM(G367:H367)</f>
        <v>139294</v>
      </c>
    </row>
    <row r="368" spans="1:9" s="101" customFormat="1" ht="63" x14ac:dyDescent="0.25">
      <c r="A368" s="826" t="str">
        <f>IF(B368&gt;0,VLOOKUP(B368,КВСР!A99:B1264,2),IF(C368&gt;0,VLOOKUP(C368,КФСР!A99:B1611,2),IF(D368&gt;0,VLOOKUP(D368,Программа!A$1:B$5124,2),IF(F368&gt;0,VLOOKUP(F368,КВР!A$1:B$5001,2),IF(E368&gt;0,VLOOKUP(E368,Направление!A$1:B$4816,2))))))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760"/>
      <c r="C368" s="820"/>
      <c r="D368" s="760"/>
      <c r="E368" s="760"/>
      <c r="F368" s="763">
        <v>200</v>
      </c>
      <c r="G368" s="812">
        <v>139294</v>
      </c>
      <c r="H368" s="812"/>
      <c r="I368" s="805">
        <f>G368+H368</f>
        <v>139294</v>
      </c>
    </row>
    <row r="369" spans="1:9" s="101" customFormat="1" ht="37.15" customHeight="1" x14ac:dyDescent="0.25">
      <c r="A369" s="826" t="str">
        <f>IF(B369&gt;0,VLOOKUP(B369,КВСР!A100:B1265,2),IF(C369&gt;0,VLOOKUP(C369,КФСР!A100:B1612,2),IF(D369&gt;0,VLOOKUP(D369,Программа!A$1:B$5124,2),IF(F369&gt;0,VLOOKUP(F369,КВР!A$1:B$5001,2),IF(E369&gt;0,VLOOKUP(E369,Направление!A$1:B$4816,2))))))</f>
        <v>Другие вопросы в области жилищно-коммунального хозяйства</v>
      </c>
      <c r="B369" s="760"/>
      <c r="C369" s="827">
        <v>505</v>
      </c>
      <c r="D369" s="760"/>
      <c r="E369" s="760"/>
      <c r="F369" s="763"/>
      <c r="G369" s="812">
        <v>1172556</v>
      </c>
      <c r="H369" s="812">
        <f t="shared" ref="H369:I369" si="84">H370+H374</f>
        <v>268647</v>
      </c>
      <c r="I369" s="805">
        <f t="shared" si="84"/>
        <v>1441203</v>
      </c>
    </row>
    <row r="370" spans="1:9" s="101" customFormat="1" ht="94.5" x14ac:dyDescent="0.25">
      <c r="A370" s="826" t="str">
        <f>IF(B370&gt;0,VLOOKUP(B370,КВСР!A101:B1266,2),IF(C370&gt;0,VLOOKUP(C370,КФСР!A101:B1613,2),IF(D370&gt;0,VLOOKUP(D370,Программа!A$1:B$5124,2),IF(F370&gt;0,VLOOKUP(F370,КВР!A$1:B$5001,2),IF(E370&gt;0,VLOOKUP(E370,Направление!A$1:B$4816,2))))))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70" s="760"/>
      <c r="C370" s="820"/>
      <c r="D370" s="760" t="s">
        <v>322</v>
      </c>
      <c r="E370" s="760"/>
      <c r="F370" s="763"/>
      <c r="G370" s="812">
        <v>70000</v>
      </c>
      <c r="H370" s="812">
        <f t="shared" ref="H370:I372" si="85">H371</f>
        <v>0</v>
      </c>
      <c r="I370" s="805">
        <f t="shared" si="85"/>
        <v>70000</v>
      </c>
    </row>
    <row r="371" spans="1:9" s="101" customFormat="1" ht="94.5" x14ac:dyDescent="0.25">
      <c r="A371" s="826" t="str">
        <f>IF(B371&gt;0,VLOOKUP(B371,КВСР!A102:B1267,2),IF(C371&gt;0,VLOOKUP(C371,КФСР!A102:B1614,2),IF(D371&gt;0,VLOOKUP(D371,Программа!A$1:B$5124,2),IF(F371&gt;0,VLOOKUP(F371,КВР!A$1:B$5001,2),IF(E371&gt;0,VLOOKUP(E371,Направление!A$1:B$4816,2))))))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71" s="760"/>
      <c r="C371" s="820"/>
      <c r="D371" s="760" t="s">
        <v>1516</v>
      </c>
      <c r="E371" s="760"/>
      <c r="F371" s="763"/>
      <c r="G371" s="812">
        <v>70000</v>
      </c>
      <c r="H371" s="812">
        <f t="shared" si="85"/>
        <v>0</v>
      </c>
      <c r="I371" s="805">
        <f t="shared" si="85"/>
        <v>70000</v>
      </c>
    </row>
    <row r="372" spans="1:9" s="101" customFormat="1" ht="34.5" customHeight="1" x14ac:dyDescent="0.25">
      <c r="A372" s="826" t="str">
        <f>IF(B372&gt;0,VLOOKUP(B372,КВСР!A103:B1268,2),IF(C372&gt;0,VLOOKUP(C372,КФСР!A103:B1615,2),IF(D372&gt;0,VLOOKUP(D372,Программа!A$1:B$5124,2),IF(F372&gt;0,VLOOKUP(F372,КВР!A$1:B$5001,2),IF(E372&gt;0,VLOOKUP(E372,Направление!A$1:B$4816,2))))))</f>
        <v>Внедрение проектной деятельности и бережливых технологий</v>
      </c>
      <c r="B372" s="760"/>
      <c r="C372" s="820"/>
      <c r="D372" s="760"/>
      <c r="E372" s="760">
        <v>12300</v>
      </c>
      <c r="F372" s="763"/>
      <c r="G372" s="812">
        <v>70000</v>
      </c>
      <c r="H372" s="812">
        <f t="shared" si="85"/>
        <v>0</v>
      </c>
      <c r="I372" s="805">
        <f t="shared" si="85"/>
        <v>70000</v>
      </c>
    </row>
    <row r="373" spans="1:9" s="101" customFormat="1" ht="110.25" x14ac:dyDescent="0.25">
      <c r="A373" s="826" t="str">
        <f>IF(B373&gt;0,VLOOKUP(B373,КВСР!A104:B1269,2),IF(C373&gt;0,VLOOKUP(C373,КФСР!A104:B1616,2),IF(D373&gt;0,VLOOKUP(D373,Программа!A$1:B$5124,2),IF(F373&gt;0,VLOOKUP(F373,КВР!A$1:B$5001,2),IF(E373&gt;0,VLOOKUP(E373,Направление!A$1:B$4816,2))))))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760"/>
      <c r="C373" s="820"/>
      <c r="D373" s="760"/>
      <c r="E373" s="760"/>
      <c r="F373" s="763">
        <v>100</v>
      </c>
      <c r="G373" s="812">
        <v>70000</v>
      </c>
      <c r="H373" s="812"/>
      <c r="I373" s="805">
        <f>SUM(G373:H373)</f>
        <v>70000</v>
      </c>
    </row>
    <row r="374" spans="1:9" s="101" customFormat="1" ht="25.5" customHeight="1" x14ac:dyDescent="0.25">
      <c r="A374" s="826" t="str">
        <f>IF(B374&gt;0,VLOOKUP(B374,КВСР!A105:B1270,2),IF(C374&gt;0,VLOOKUP(C374,КФСР!A105:B1617,2),IF(D374&gt;0,VLOOKUP(D374,Программа!A$1:B$5124,2),IF(F374&gt;0,VLOOKUP(F374,КВР!A$1:B$5001,2),IF(E374&gt;0,VLOOKUP(E374,Направление!A$1:B$4816,2))))))</f>
        <v>Непрограммные расходы бюджета</v>
      </c>
      <c r="B374" s="760"/>
      <c r="C374" s="820"/>
      <c r="D374" s="760" t="s">
        <v>311</v>
      </c>
      <c r="E374" s="760"/>
      <c r="F374" s="763"/>
      <c r="G374" s="812">
        <v>1102556</v>
      </c>
      <c r="H374" s="812">
        <f t="shared" ref="H374:I374" si="86">H375+H377</f>
        <v>268647</v>
      </c>
      <c r="I374" s="805">
        <f t="shared" si="86"/>
        <v>1371203</v>
      </c>
    </row>
    <row r="375" spans="1:9" s="101" customFormat="1" ht="35.25" customHeight="1" x14ac:dyDescent="0.25">
      <c r="A375" s="826" t="str">
        <f>IF(B375&gt;0,VLOOKUP(B375,КВСР!A106:B1271,2),IF(C375&gt;0,VLOOKUP(C375,КФСР!A106:B1618,2),IF(D375&gt;0,VLOOKUP(D375,Программа!A$1:B$5124,2),IF(F375&gt;0,VLOOKUP(F375,КВР!A$1:B$5001,2),IF(E375&gt;0,VLOOKUP(E375,Направление!A$1:B$4816,2))))))</f>
        <v>Содержание центрального аппарата</v>
      </c>
      <c r="B375" s="760"/>
      <c r="C375" s="820"/>
      <c r="D375" s="760"/>
      <c r="E375" s="760">
        <v>12010</v>
      </c>
      <c r="F375" s="763"/>
      <c r="G375" s="812">
        <v>974960</v>
      </c>
      <c r="H375" s="812">
        <f t="shared" ref="H375:I375" si="87">H376</f>
        <v>268647</v>
      </c>
      <c r="I375" s="805">
        <f t="shared" si="87"/>
        <v>1243607</v>
      </c>
    </row>
    <row r="376" spans="1:9" s="101" customFormat="1" ht="110.25" x14ac:dyDescent="0.25">
      <c r="A376" s="826" t="str">
        <f>IF(B376&gt;0,VLOOKUP(B376,КВСР!A107:B1272,2),IF(C376&gt;0,VLOOKUP(C376,КФСР!A107:B1619,2),IF(D376&gt;0,VLOOKUP(D376,Программа!A$1:B$5124,2),IF(F376&gt;0,VLOOKUP(F376,КВР!A$1:B$5001,2),IF(E376&gt;0,VLOOKUP(E376,Направление!A$1:B$4816,2))))))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760"/>
      <c r="C376" s="820"/>
      <c r="D376" s="760"/>
      <c r="E376" s="760"/>
      <c r="F376" s="763">
        <v>100</v>
      </c>
      <c r="G376" s="812">
        <v>974960</v>
      </c>
      <c r="H376" s="812">
        <f>213274+55373</f>
        <v>268647</v>
      </c>
      <c r="I376" s="805">
        <f>SUM(G376:H376)</f>
        <v>1243607</v>
      </c>
    </row>
    <row r="377" spans="1:9" s="101" customFormat="1" ht="63" customHeight="1" x14ac:dyDescent="0.25">
      <c r="A377" s="826" t="str">
        <f>IF(B377&gt;0,VLOOKUP(B377,КВСР!A108:B1273,2),IF(C377&gt;0,VLOOKUP(C377,КФСР!A108:B1620,2),IF(D377&gt;0,VLOOKUP(D377,Программа!A$1:B$5124,2),IF(F377&gt;0,VLOOKUP(F377,КВР!A$1:B$5001,2),IF(E377&gt;0,VLOOKUP(E377,Направление!A$1:B$4816,2))))))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77" s="760"/>
      <c r="C377" s="820"/>
      <c r="D377" s="760"/>
      <c r="E377" s="760">
        <v>55490</v>
      </c>
      <c r="F377" s="763"/>
      <c r="G377" s="812">
        <v>127596</v>
      </c>
      <c r="H377" s="812">
        <f t="shared" ref="H377:I377" si="88">H378</f>
        <v>0</v>
      </c>
      <c r="I377" s="805">
        <f t="shared" si="88"/>
        <v>127596</v>
      </c>
    </row>
    <row r="378" spans="1:9" s="101" customFormat="1" ht="110.25" x14ac:dyDescent="0.25">
      <c r="A378" s="826" t="str">
        <f>IF(B378&gt;0,VLOOKUP(B378,КВСР!A109:B1274,2),IF(C378&gt;0,VLOOKUP(C378,КФСР!A109:B1621,2),IF(D378&gt;0,VLOOKUP(D378,Программа!A$1:B$5124,2),IF(F378&gt;0,VLOOKUP(F378,КВР!A$1:B$5001,2),IF(E378&gt;0,VLOOKUP(E378,Направление!A$1:B$4816,2))))))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760"/>
      <c r="C378" s="820"/>
      <c r="D378" s="760"/>
      <c r="E378" s="760"/>
      <c r="F378" s="763">
        <v>100</v>
      </c>
      <c r="G378" s="812">
        <v>127596</v>
      </c>
      <c r="H378" s="812"/>
      <c r="I378" s="805">
        <f>SUM(G378:H378)</f>
        <v>127596</v>
      </c>
    </row>
    <row r="379" spans="1:9" s="101" customFormat="1" ht="31.5" x14ac:dyDescent="0.25">
      <c r="A379" s="826" t="str">
        <f>IF(B379&gt;0,VLOOKUP(B379,КВСР!A58:B1223,2),IF(C379&gt;0,VLOOKUP(C379,КФСР!A58:B1570,2),IF(D379&gt;0,VLOOKUP(D379,Программа!A$1:B$5124,2),IF(F379&gt;0,VLOOKUP(F379,КВР!A$1:B$5001,2),IF(E379&gt;0,VLOOKUP(E379,Направление!A$1:B$4816,2))))))</f>
        <v>Другие вопросы в области охраны окружающей среды</v>
      </c>
      <c r="B379" s="760"/>
      <c r="C379" s="827">
        <v>605</v>
      </c>
      <c r="D379" s="760"/>
      <c r="E379" s="760"/>
      <c r="F379" s="763"/>
      <c r="G379" s="812">
        <v>1644115</v>
      </c>
      <c r="H379" s="812">
        <f t="shared" ref="H379:I380" si="89">H380</f>
        <v>-26180</v>
      </c>
      <c r="I379" s="805">
        <f t="shared" si="89"/>
        <v>1617935</v>
      </c>
    </row>
    <row r="380" spans="1:9" s="101" customFormat="1" ht="63" x14ac:dyDescent="0.25">
      <c r="A380" s="826" t="str">
        <f>IF(B380&gt;0,VLOOKUP(B380,КВСР!A59:B1224,2),IF(C380&gt;0,VLOOKUP(C380,КФСР!A59:B1571,2),IF(D380&gt;0,VLOOKUP(D380,Программа!A$1:B$5124,2),IF(F380&gt;0,VLOOKUP(F380,КВР!A$1:B$5001,2),IF(E380&gt;0,VLOOKUP(E380,Направление!A$1:B$4816,2))))))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380" s="760"/>
      <c r="C380" s="820"/>
      <c r="D380" s="760" t="s">
        <v>1026</v>
      </c>
      <c r="E380" s="760"/>
      <c r="F380" s="763"/>
      <c r="G380" s="812">
        <v>1644115</v>
      </c>
      <c r="H380" s="812">
        <f t="shared" si="89"/>
        <v>-26180</v>
      </c>
      <c r="I380" s="805">
        <f t="shared" si="89"/>
        <v>1617935</v>
      </c>
    </row>
    <row r="381" spans="1:9" s="101" customFormat="1" ht="63" x14ac:dyDescent="0.25">
      <c r="A381" s="826" t="str">
        <f>IF(B381&gt;0,VLOOKUP(B381,КВСР!A60:B1225,2),IF(C381&gt;0,VLOOKUP(C381,КФСР!A60:B1572,2),IF(D381&gt;0,VLOOKUP(D381,Программа!A$1:B$5124,2),IF(F381&gt;0,VLOOKUP(F381,КВР!A$1:B$5001,2),IF(E381&gt;0,VLOOKUP(E381,Направление!A$1:B$4816,2))))))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381" s="760"/>
      <c r="C381" s="820"/>
      <c r="D381" s="760" t="s">
        <v>1067</v>
      </c>
      <c r="E381" s="760"/>
      <c r="F381" s="763"/>
      <c r="G381" s="812">
        <v>1644115</v>
      </c>
      <c r="H381" s="812">
        <f>H382+H385+H387</f>
        <v>-26180</v>
      </c>
      <c r="I381" s="805">
        <f>I382+I385+I387</f>
        <v>1617935</v>
      </c>
    </row>
    <row r="382" spans="1:9" s="101" customFormat="1" ht="31.5" x14ac:dyDescent="0.25">
      <c r="A382" s="826" t="str">
        <f>IF(B382&gt;0,VLOOKUP(B382,КВСР!A60:B1225,2),IF(C382&gt;0,VLOOKUP(C382,КФСР!A60:B1572,2),IF(D382&gt;0,VLOOKUP(D382,Программа!A$1:B$5124,2),IF(F382&gt;0,VLOOKUP(F382,КВР!A$1:B$5001,2),IF(E382&gt;0,VLOOKUP(E382,Направление!A$1:B$4816,2))))))</f>
        <v>Расходы на природоохранные мероприятия</v>
      </c>
      <c r="B382" s="760"/>
      <c r="C382" s="820"/>
      <c r="D382" s="760"/>
      <c r="E382" s="760">
        <v>10600</v>
      </c>
      <c r="F382" s="763"/>
      <c r="G382" s="812">
        <v>1144821</v>
      </c>
      <c r="H382" s="812">
        <f>H383+H384</f>
        <v>-26180</v>
      </c>
      <c r="I382" s="805">
        <f>I383+I384</f>
        <v>1118641</v>
      </c>
    </row>
    <row r="383" spans="1:9" s="101" customFormat="1" ht="63" x14ac:dyDescent="0.25">
      <c r="A383" s="826" t="str">
        <f>IF(B383&gt;0,VLOOKUP(B383,КВСР!A61:B1226,2),IF(C383&gt;0,VLOOKUP(C383,КФСР!A61:B1573,2),IF(D383&gt;0,VLOOKUP(D383,Программа!A$1:B$5124,2),IF(F383&gt;0,VLOOKUP(F383,КВР!A$1:B$5001,2),IF(E383&gt;0,VLOOKUP(E383,Направление!A$1:B$4816,2))))))</f>
        <v xml:space="preserve">Закупка товаров, работ и услуг для обеспечения государственных (муниципальных) нужд
</v>
      </c>
      <c r="B383" s="760"/>
      <c r="C383" s="820"/>
      <c r="D383" s="760"/>
      <c r="E383" s="760"/>
      <c r="F383" s="763">
        <v>200</v>
      </c>
      <c r="G383" s="812">
        <v>346021</v>
      </c>
      <c r="H383" s="812">
        <v>-26180</v>
      </c>
      <c r="I383" s="805">
        <f t="shared" si="28"/>
        <v>319841</v>
      </c>
    </row>
    <row r="384" spans="1:9" s="101" customFormat="1" x14ac:dyDescent="0.25">
      <c r="A384" s="826" t="str">
        <f>IF(B384&gt;0,VLOOKUP(B384,КВСР!A62:B1227,2),IF(C384&gt;0,VLOOKUP(C384,КФСР!A62:B1574,2),IF(D384&gt;0,VLOOKUP(D384,Программа!A$1:B$5124,2),IF(F384&gt;0,VLOOKUP(F384,КВР!A$1:B$5001,2),IF(E384&gt;0,VLOOKUP(E384,Направление!A$1:B$4816,2))))))</f>
        <v xml:space="preserve"> Межбюджетные трансферты</v>
      </c>
      <c r="B384" s="760"/>
      <c r="C384" s="820"/>
      <c r="D384" s="760"/>
      <c r="E384" s="760"/>
      <c r="F384" s="763">
        <v>500</v>
      </c>
      <c r="G384" s="812">
        <v>798800</v>
      </c>
      <c r="H384" s="812"/>
      <c r="I384" s="805">
        <f t="shared" si="28"/>
        <v>798800</v>
      </c>
    </row>
    <row r="385" spans="1:9" s="101" customFormat="1" ht="31.5" x14ac:dyDescent="0.25">
      <c r="A385" s="826" t="str">
        <f>IF(B385&gt;0,VLOOKUP(B385,КВСР!A63:B1228,2),IF(C385&gt;0,VLOOKUP(C385,КФСР!A63:B1575,2),IF(D385&gt;0,VLOOKUP(D385,Программа!A$1:B$5124,2),IF(F385&gt;0,VLOOKUP(F385,КВР!A$1:B$5001,2),IF(E385&gt;0,VLOOKUP(E385,Направление!A$1:B$4816,2))))))</f>
        <v>Расходы на реализацию мероприятий по борьбе с борщевиком Сосновского</v>
      </c>
      <c r="B385" s="760"/>
      <c r="C385" s="820"/>
      <c r="D385" s="760"/>
      <c r="E385" s="760">
        <v>16900</v>
      </c>
      <c r="F385" s="763"/>
      <c r="G385" s="812">
        <v>52229</v>
      </c>
      <c r="H385" s="812">
        <f>H386</f>
        <v>0</v>
      </c>
      <c r="I385" s="805">
        <f>I386</f>
        <v>52229</v>
      </c>
    </row>
    <row r="386" spans="1:9" s="101" customFormat="1" ht="63" x14ac:dyDescent="0.25">
      <c r="A386" s="826" t="str">
        <f>IF(B386&gt;0,VLOOKUP(B386,КВСР!A64:B1229,2),IF(C386&gt;0,VLOOKUP(C386,КФСР!A64:B1576,2),IF(D386&gt;0,VLOOKUP(D386,Программа!A$1:B$5124,2),IF(F386&gt;0,VLOOKUP(F386,КВР!A$1:B$5001,2),IF(E386&gt;0,VLOOKUP(E386,Направление!A$1:B$4816,2))))))</f>
        <v xml:space="preserve">Закупка товаров, работ и услуг для обеспечения государственных (муниципальных) нужд
</v>
      </c>
      <c r="B386" s="760"/>
      <c r="C386" s="820"/>
      <c r="D386" s="760"/>
      <c r="E386" s="760"/>
      <c r="F386" s="763">
        <v>200</v>
      </c>
      <c r="G386" s="812">
        <v>52229</v>
      </c>
      <c r="H386" s="812"/>
      <c r="I386" s="805">
        <f>G386+H386</f>
        <v>52229</v>
      </c>
    </row>
    <row r="387" spans="1:9" s="101" customFormat="1" ht="47.25" x14ac:dyDescent="0.25">
      <c r="A387" s="826" t="str">
        <f>IF(B387&gt;0,VLOOKUP(B387,КВСР!A65:B1230,2),IF(C387&gt;0,VLOOKUP(C387,КФСР!A65:B1577,2),IF(D387&gt;0,VLOOKUP(D387,Программа!A$1:B$5124,2),IF(F387&gt;0,VLOOKUP(F387,КВР!A$1:B$5001,2),IF(E387&gt;0,VLOOKUP(E387,Направление!A$1:B$4816,2))))))</f>
        <v>Расходы на реализацию мероприятий по борьбе с борщевиком Сосновского на территории Ярославской области</v>
      </c>
      <c r="B387" s="760"/>
      <c r="C387" s="820"/>
      <c r="D387" s="760"/>
      <c r="E387" s="760">
        <v>76900</v>
      </c>
      <c r="F387" s="763"/>
      <c r="G387" s="812">
        <v>447065</v>
      </c>
      <c r="H387" s="812">
        <f>H388</f>
        <v>0</v>
      </c>
      <c r="I387" s="805">
        <f>I388</f>
        <v>447065</v>
      </c>
    </row>
    <row r="388" spans="1:9" s="101" customFormat="1" ht="63" x14ac:dyDescent="0.25">
      <c r="A388" s="826" t="str">
        <f>IF(B388&gt;0,VLOOKUP(B388,КВСР!A64:B1229,2),IF(C388&gt;0,VLOOKUP(C388,КФСР!A64:B1576,2),IF(D388&gt;0,VLOOKUP(D388,Программа!A$1:B$5124,2),IF(F388&gt;0,VLOOKUP(F388,КВР!A$1:B$5001,2),IF(E388&gt;0,VLOOKUP(E388,Направление!A$1:B$4816,2))))))</f>
        <v xml:space="preserve">Закупка товаров, работ и услуг для обеспечения государственных (муниципальных) нужд
</v>
      </c>
      <c r="B388" s="760"/>
      <c r="C388" s="820"/>
      <c r="D388" s="760"/>
      <c r="E388" s="760"/>
      <c r="F388" s="763">
        <v>200</v>
      </c>
      <c r="G388" s="812">
        <v>447065</v>
      </c>
      <c r="H388" s="812"/>
      <c r="I388" s="805">
        <f>G388+H388</f>
        <v>447065</v>
      </c>
    </row>
    <row r="389" spans="1:9" s="101" customFormat="1" ht="23.25" customHeight="1" x14ac:dyDescent="0.25">
      <c r="A389" s="826" t="str">
        <f>IF(B389&gt;0,VLOOKUP(B389,КВСР!A65:B1230,2),IF(C389&gt;0,VLOOKUP(C389,КФСР!A65:B1577,2),IF(D389&gt;0,VLOOKUP(D389,Программа!A$1:B$5124,2),IF(F389&gt;0,VLOOKUP(F389,КВР!A$1:B$5001,2),IF(E389&gt;0,VLOOKUP(E389,Направление!A$1:B$4816,2))))))</f>
        <v>Другие вопросы в области образования</v>
      </c>
      <c r="B389" s="760"/>
      <c r="C389" s="827">
        <v>709</v>
      </c>
      <c r="D389" s="760"/>
      <c r="E389" s="760"/>
      <c r="F389" s="763"/>
      <c r="G389" s="812">
        <v>1072140</v>
      </c>
      <c r="H389" s="812">
        <f>H390+H399</f>
        <v>785226.55</v>
      </c>
      <c r="I389" s="805">
        <f>I390+I399</f>
        <v>1857366.55</v>
      </c>
    </row>
    <row r="390" spans="1:9" s="101" customFormat="1" ht="63" x14ac:dyDescent="0.25">
      <c r="A390" s="826" t="str">
        <f>IF(B390&gt;0,VLOOKUP(B390,КВСР!A66:B1231,2),IF(C390&gt;0,VLOOKUP(C390,КФСР!A66:B1578,2),IF(D390&gt;0,VLOOKUP(D390,Программа!A$1:B$5124,2),IF(F390&gt;0,VLOOKUP(F390,КВР!A$1:B$5001,2),IF(E390&gt;0,VLOOKUP(E390,Направление!A$1:B$4816,2))))))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90" s="760"/>
      <c r="C390" s="820"/>
      <c r="D390" s="760" t="s">
        <v>367</v>
      </c>
      <c r="E390" s="760"/>
      <c r="F390" s="763"/>
      <c r="G390" s="812">
        <v>420546</v>
      </c>
      <c r="H390" s="812">
        <f t="shared" ref="H390:I391" si="90">H391</f>
        <v>635575.55000000005</v>
      </c>
      <c r="I390" s="805">
        <f t="shared" si="90"/>
        <v>1056121.55</v>
      </c>
    </row>
    <row r="391" spans="1:9" s="101" customFormat="1" ht="63" x14ac:dyDescent="0.25">
      <c r="A391" s="826" t="str">
        <f>IF(B391&gt;0,VLOOKUP(B391,КВСР!A67:B1232,2),IF(C391&gt;0,VLOOKUP(C391,КФСР!A67:B1579,2),IF(D391&gt;0,VLOOKUP(D391,Программа!A$1:B$5124,2),IF(F391&gt;0,VLOOKUP(F391,КВР!A$1:B$5001,2),IF(E391&gt;0,VLOOKUP(E391,Направление!A$1:B$4816,2))))))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1" s="760"/>
      <c r="C391" s="820"/>
      <c r="D391" s="760" t="s">
        <v>369</v>
      </c>
      <c r="E391" s="760"/>
      <c r="F391" s="763"/>
      <c r="G391" s="812">
        <v>420546</v>
      </c>
      <c r="H391" s="812">
        <f t="shared" si="90"/>
        <v>635575.55000000005</v>
      </c>
      <c r="I391" s="805">
        <f t="shared" si="90"/>
        <v>1056121.55</v>
      </c>
    </row>
    <row r="392" spans="1:9" s="101" customFormat="1" ht="32.25" customHeight="1" x14ac:dyDescent="0.25">
      <c r="A392" s="826" t="str">
        <f>IF(B392&gt;0,VLOOKUP(B392,КВСР!A68:B1233,2),IF(C392&gt;0,VLOOKUP(C392,КФСР!A68:B1580,2),IF(D392&gt;0,VLOOKUP(D392,Программа!A$1:B$5124,2),IF(F392&gt;0,VLOOKUP(F392,КВР!A$1:B$5001,2),IF(E392&gt;0,VLOOKUP(E392,Направление!A$1:B$4816,2))))))</f>
        <v>Обеспечение эффективности управления системой образования</v>
      </c>
      <c r="B392" s="760"/>
      <c r="C392" s="820"/>
      <c r="D392" s="760" t="s">
        <v>1057</v>
      </c>
      <c r="E392" s="760"/>
      <c r="F392" s="763"/>
      <c r="G392" s="812">
        <v>420546</v>
      </c>
      <c r="H392" s="812">
        <f>H393+H395</f>
        <v>635575.55000000005</v>
      </c>
      <c r="I392" s="805">
        <f>I393+I395</f>
        <v>1056121.55</v>
      </c>
    </row>
    <row r="393" spans="1:9" s="101" customFormat="1" ht="63" x14ac:dyDescent="0.25">
      <c r="A393" s="826" t="str">
        <f>IF(B393&gt;0,VLOOKUP(B393,КВСР!A69:B1234,2),IF(C393&gt;0,VLOOKUP(C393,КФСР!A69:B1581,2),IF(D393&gt;0,VLOOKUP(D393,Программа!A$1:B$5124,2),IF(F393&gt;0,VLOOKUP(F393,КВР!A$1:B$5001,2),IF(E393&gt;0,VLOOKUP(E393,Направление!A$1:B$4816,2))))))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93" s="760"/>
      <c r="C393" s="820"/>
      <c r="D393" s="760"/>
      <c r="E393" s="760">
        <v>55490</v>
      </c>
      <c r="F393" s="763"/>
      <c r="G393" s="812">
        <v>132804</v>
      </c>
      <c r="H393" s="812">
        <f>H394</f>
        <v>0</v>
      </c>
      <c r="I393" s="805">
        <f>I394</f>
        <v>132804</v>
      </c>
    </row>
    <row r="394" spans="1:9" s="101" customFormat="1" ht="110.25" x14ac:dyDescent="0.25">
      <c r="A394" s="826" t="str">
        <f>IF(B394&gt;0,VLOOKUP(B394,КВСР!A70:B1235,2),IF(C394&gt;0,VLOOKUP(C394,КФСР!A70:B1582,2),IF(D394&gt;0,VLOOKUP(D394,Программа!A$1:B$5124,2),IF(F394&gt;0,VLOOKUP(F394,КВР!A$1:B$5001,2),IF(E394&gt;0,VLOOKUP(E394,Направление!A$1:B$4816,2))))))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760"/>
      <c r="C394" s="820"/>
      <c r="D394" s="760"/>
      <c r="E394" s="760"/>
      <c r="F394" s="763">
        <v>100</v>
      </c>
      <c r="G394" s="812">
        <v>132804</v>
      </c>
      <c r="H394" s="812"/>
      <c r="I394" s="805">
        <f>SUM(G394:H394)</f>
        <v>132804</v>
      </c>
    </row>
    <row r="395" spans="1:9" s="101" customFormat="1" ht="47.25" x14ac:dyDescent="0.25">
      <c r="A395" s="826" t="str">
        <f>IF(B395&gt;0,VLOOKUP(B395,КВСР!A71:B1236,2),IF(C395&gt;0,VLOOKUP(C395,КФСР!A71:B1583,2),IF(D395&gt;0,VLOOKUP(D395,Программа!A$1:B$5124,2),IF(F395&gt;0,VLOOKUP(F395,КВР!A$1:B$5001,2),IF(E395&gt;0,VLOOKUP(E395,Направление!A$1:B$4816,2))))))</f>
        <v>Расходы на обеспечение деятельности органов опеки и попечительства за счет средств областного бюджета</v>
      </c>
      <c r="B395" s="760"/>
      <c r="C395" s="820"/>
      <c r="D395" s="760"/>
      <c r="E395" s="760">
        <v>70550</v>
      </c>
      <c r="F395" s="763"/>
      <c r="G395" s="812">
        <v>287742</v>
      </c>
      <c r="H395" s="812">
        <f>H396+H397+H398</f>
        <v>635575.55000000005</v>
      </c>
      <c r="I395" s="805">
        <f>I396+I397+I398</f>
        <v>923317.55</v>
      </c>
    </row>
    <row r="396" spans="1:9" s="101" customFormat="1" ht="110.25" x14ac:dyDescent="0.25">
      <c r="A396" s="826" t="str">
        <f>IF(B396&gt;0,VLOOKUP(B396,КВСР!A72:B1237,2),IF(C396&gt;0,VLOOKUP(C396,КФСР!A72:B1584,2),IF(D396&gt;0,VLOOKUP(D396,Программа!A$1:B$5124,2),IF(F396&gt;0,VLOOKUP(F396,КВР!A$1:B$5001,2),IF(E396&gt;0,VLOOKUP(E396,Направление!A$1:B$4816,2))))))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760"/>
      <c r="C396" s="820"/>
      <c r="D396" s="760"/>
      <c r="E396" s="760"/>
      <c r="F396" s="763">
        <v>100</v>
      </c>
      <c r="G396" s="812">
        <v>287742</v>
      </c>
      <c r="H396" s="812">
        <v>598478.55000000005</v>
      </c>
      <c r="I396" s="805">
        <f>SUM(G396:H396)</f>
        <v>886220.55</v>
      </c>
    </row>
    <row r="397" spans="1:9" s="101" customFormat="1" ht="63" x14ac:dyDescent="0.25">
      <c r="A397" s="826" t="str">
        <f>IF(B397&gt;0,VLOOKUP(B397,КВСР!A73:B1238,2),IF(C397&gt;0,VLOOKUP(C397,КФСР!A73:B1585,2),IF(D397&gt;0,VLOOKUP(D397,Программа!A$1:B$5124,2),IF(F397&gt;0,VLOOKUP(F397,КВР!A$1:B$5001,2),IF(E397&gt;0,VLOOKUP(E397,Направление!A$1:B$4816,2))))))</f>
        <v xml:space="preserve">Закупка товаров, работ и услуг для обеспечения государственных (муниципальных) нужд
</v>
      </c>
      <c r="B397" s="760"/>
      <c r="C397" s="820"/>
      <c r="D397" s="760"/>
      <c r="E397" s="760"/>
      <c r="F397" s="763">
        <v>200</v>
      </c>
      <c r="G397" s="812"/>
      <c r="H397" s="812">
        <v>37000</v>
      </c>
      <c r="I397" s="805">
        <f>SUM(G397:H397)</f>
        <v>37000</v>
      </c>
    </row>
    <row r="398" spans="1:9" s="101" customFormat="1" x14ac:dyDescent="0.25">
      <c r="A398" s="826" t="str">
        <f>IF(B398&gt;0,VLOOKUP(B398,КВСР!A161:B1326,2),IF(C398&gt;0,VLOOKUP(C398,КФСР!A161:B1673,2),IF(D398&gt;0,VLOOKUP(D398,Программа!A$1:B$5124,2),IF(F398&gt;0,VLOOKUP(F398,КВР!A$1:B$5001,2),IF(E398&gt;0,VLOOKUP(E398,Направление!A$1:B$4816,2))))))</f>
        <v>Иные бюджетные ассигнования</v>
      </c>
      <c r="B398" s="760"/>
      <c r="C398" s="820"/>
      <c r="D398" s="760"/>
      <c r="E398" s="760"/>
      <c r="F398" s="763">
        <v>800</v>
      </c>
      <c r="G398" s="812"/>
      <c r="H398" s="812">
        <v>97</v>
      </c>
      <c r="I398" s="805">
        <f>SUM(G398:H398)</f>
        <v>97</v>
      </c>
    </row>
    <row r="399" spans="1:9" s="101" customFormat="1" ht="28.15" customHeight="1" x14ac:dyDescent="0.25">
      <c r="A399" s="826" t="str">
        <f>IF(B399&gt;0,VLOOKUP(B399,КВСР!A73:B1238,2),IF(C399&gt;0,VLOOKUP(C399,КФСР!A73:B1585,2),IF(D399&gt;0,VLOOKUP(D399,Программа!A$1:B$5124,2),IF(F399&gt;0,VLOOKUP(F399,КВР!A$1:B$5001,2),IF(E399&gt;0,VLOOKUP(E399,Направление!A$1:B$4816,2))))))</f>
        <v>Непрограммные расходы бюджета</v>
      </c>
      <c r="B399" s="760"/>
      <c r="C399" s="820"/>
      <c r="D399" s="760" t="s">
        <v>311</v>
      </c>
      <c r="E399" s="760"/>
      <c r="F399" s="763"/>
      <c r="G399" s="812">
        <v>651594</v>
      </c>
      <c r="H399" s="812">
        <f t="shared" ref="H399:I400" si="91">H400</f>
        <v>149651</v>
      </c>
      <c r="I399" s="805">
        <f t="shared" si="91"/>
        <v>801245</v>
      </c>
    </row>
    <row r="400" spans="1:9" s="101" customFormat="1" ht="26.25" customHeight="1" x14ac:dyDescent="0.25">
      <c r="A400" s="826" t="str">
        <f>IF(B400&gt;0,VLOOKUP(B400,КВСР!A74:B1239,2),IF(C400&gt;0,VLOOKUP(C400,КФСР!A74:B1586,2),IF(D400&gt;0,VLOOKUP(D400,Программа!A$1:B$5124,2),IF(F400&gt;0,VLOOKUP(F400,КВР!A$1:B$5001,2),IF(E400&gt;0,VLOOKUP(E400,Направление!A$1:B$4816,2))))))</f>
        <v>Содержание центрального аппарата</v>
      </c>
      <c r="B400" s="760"/>
      <c r="C400" s="820"/>
      <c r="D400" s="760"/>
      <c r="E400" s="760">
        <v>12010</v>
      </c>
      <c r="F400" s="763"/>
      <c r="G400" s="812">
        <v>651594</v>
      </c>
      <c r="H400" s="812">
        <f t="shared" si="91"/>
        <v>149651</v>
      </c>
      <c r="I400" s="805">
        <f t="shared" si="91"/>
        <v>801245</v>
      </c>
    </row>
    <row r="401" spans="1:9" s="101" customFormat="1" ht="110.25" x14ac:dyDescent="0.25">
      <c r="A401" s="826" t="str">
        <f>IF(B401&gt;0,VLOOKUP(B401,КВСР!A75:B1240,2),IF(C401&gt;0,VLOOKUP(C401,КФСР!A75:B1587,2),IF(D401&gt;0,VLOOKUP(D401,Программа!A$1:B$5124,2),IF(F401&gt;0,VLOOKUP(F401,КВР!A$1:B$5001,2),IF(E401&gt;0,VLOOKUP(E401,Направление!A$1:B$4816,2))))))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1" s="760"/>
      <c r="C401" s="820"/>
      <c r="D401" s="760"/>
      <c r="E401" s="760"/>
      <c r="F401" s="763">
        <v>100</v>
      </c>
      <c r="G401" s="812">
        <v>651594</v>
      </c>
      <c r="H401" s="812">
        <f>117715+31936</f>
        <v>149651</v>
      </c>
      <c r="I401" s="805">
        <f>SUM(G401:H401)</f>
        <v>801245</v>
      </c>
    </row>
    <row r="402" spans="1:9" s="101" customFormat="1" x14ac:dyDescent="0.25">
      <c r="A402" s="826" t="str">
        <f>IF(B402&gt;0,VLOOKUP(B402,КВСР!A65:B1230,2),IF(C402&gt;0,VLOOKUP(C402,КФСР!A65:B1577,2),IF(D402&gt;0,VLOOKUP(D402,Программа!A$1:B$5124,2),IF(F402&gt;0,VLOOKUP(F402,КВР!A$1:B$5001,2),IF(E402&gt;0,VLOOKUP(E402,Направление!A$1:B$4816,2))))))</f>
        <v>Культура</v>
      </c>
      <c r="B402" s="760"/>
      <c r="C402" s="827">
        <v>801</v>
      </c>
      <c r="D402" s="760"/>
      <c r="E402" s="760"/>
      <c r="F402" s="763"/>
      <c r="G402" s="812">
        <v>31172472.399999999</v>
      </c>
      <c r="H402" s="812">
        <f t="shared" ref="H402:I410" si="92">H403</f>
        <v>0</v>
      </c>
      <c r="I402" s="805">
        <f t="shared" si="92"/>
        <v>31172472.399999999</v>
      </c>
    </row>
    <row r="403" spans="1:9" s="101" customFormat="1" ht="63" x14ac:dyDescent="0.25">
      <c r="A403" s="826" t="str">
        <f>IF(B403&gt;0,VLOOKUP(B403,КВСР!A66:B1231,2),IF(C403&gt;0,VLOOKUP(C403,КФСР!A66:B1578,2),IF(D403&gt;0,VLOOKUP(D403,Программа!A$1:B$5124,2),IF(F403&gt;0,VLOOKUP(F403,КВР!A$1:B$5001,2),IF(E403&gt;0,VLOOKUP(E403,Направление!A$1:B$4816,2))))))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03" s="760"/>
      <c r="C403" s="820"/>
      <c r="D403" s="760" t="s">
        <v>396</v>
      </c>
      <c r="E403" s="760"/>
      <c r="F403" s="763"/>
      <c r="G403" s="812">
        <v>31172472.399999999</v>
      </c>
      <c r="H403" s="812">
        <f t="shared" si="92"/>
        <v>0</v>
      </c>
      <c r="I403" s="805">
        <f t="shared" si="92"/>
        <v>31172472.399999999</v>
      </c>
    </row>
    <row r="404" spans="1:9" s="101" customFormat="1" ht="47.25" x14ac:dyDescent="0.25">
      <c r="A404" s="826" t="str">
        <f>IF(B404&gt;0,VLOOKUP(B404,КВСР!A67:B1232,2),IF(C404&gt;0,VLOOKUP(C404,КФСР!A67:B1579,2),IF(D404&gt;0,VLOOKUP(D404,Программа!A$1:B$5124,2),IF(F404&gt;0,VLOOKUP(F404,КВР!A$1:B$5001,2),IF(E404&gt;0,VLOOKUP(E404,Направление!A$1:B$4816,2))))))</f>
        <v>Ведомственная целевая программа «Сохранение и развитие культуры Тутаевского муниципального района»</v>
      </c>
      <c r="B404" s="760"/>
      <c r="C404" s="820"/>
      <c r="D404" s="760" t="s">
        <v>494</v>
      </c>
      <c r="E404" s="760"/>
      <c r="F404" s="763"/>
      <c r="G404" s="812">
        <v>31172472.399999999</v>
      </c>
      <c r="H404" s="812">
        <f>H409+H405</f>
        <v>0</v>
      </c>
      <c r="I404" s="805">
        <f>I409+I405</f>
        <v>31172472.399999999</v>
      </c>
    </row>
    <row r="405" spans="1:9" s="101" customFormat="1" ht="31.5" hidden="1" x14ac:dyDescent="0.25">
      <c r="A405" s="826" t="str">
        <f>IF(B405&gt;0,VLOOKUP(B405,КВСР!A68:B1233,2),IF(C405&gt;0,VLOOKUP(C405,КФСР!A68:B1580,2),IF(D405&gt;0,VLOOKUP(D405,Программа!A$1:B$5124,2),IF(F405&gt;0,VLOOKUP(F405,КВР!A$1:B$5001,2),IF(E405&gt;0,VLOOKUP(E405,Направление!A$1:B$4816,2))))))</f>
        <v>Содействие доступу граждан к культурным ценностям</v>
      </c>
      <c r="B405" s="760"/>
      <c r="C405" s="820"/>
      <c r="D405" s="760" t="s">
        <v>512</v>
      </c>
      <c r="E405" s="760"/>
      <c r="F405" s="763"/>
      <c r="G405" s="812">
        <v>0</v>
      </c>
      <c r="H405" s="812">
        <f t="shared" ref="H405:I405" si="93">H406</f>
        <v>0</v>
      </c>
      <c r="I405" s="805">
        <f t="shared" si="93"/>
        <v>0</v>
      </c>
    </row>
    <row r="406" spans="1:9" s="101" customFormat="1" ht="31.5" hidden="1" x14ac:dyDescent="0.25">
      <c r="A406" s="826" t="str">
        <f>IF(B406&gt;0,VLOOKUP(B406,КВСР!A69:B1234,2),IF(C406&gt;0,VLOOKUP(C406,КФСР!A69:B1581,2),IF(D406&gt;0,VLOOKUP(D406,Программа!A$1:B$5124,2),IF(F406&gt;0,VLOOKUP(F406,КВР!A$1:B$5001,2),IF(E406&gt;0,VLOOKUP(E406,Направление!A$1:B$4816,2))))))</f>
        <v>Обеспечение деятельности учреждений по организации досуга в сфере культуры</v>
      </c>
      <c r="B406" s="760"/>
      <c r="C406" s="820"/>
      <c r="D406" s="760"/>
      <c r="E406" s="760">
        <v>15010</v>
      </c>
      <c r="F406" s="763"/>
      <c r="G406" s="812">
        <v>0</v>
      </c>
      <c r="H406" s="812">
        <f>H408+H407</f>
        <v>0</v>
      </c>
      <c r="I406" s="805">
        <f>I408+I407</f>
        <v>0</v>
      </c>
    </row>
    <row r="407" spans="1:9" s="101" customFormat="1" ht="63" hidden="1" x14ac:dyDescent="0.25">
      <c r="A407" s="826" t="str">
        <f>IF(B407&gt;0,VLOOKUP(B407,КВСР!A70:B1235,2),IF(C407&gt;0,VLOOKUP(C407,КФСР!A70:B1582,2),IF(D407&gt;0,VLOOKUP(D407,Программа!A$1:B$5124,2),IF(F407&gt;0,VLOOKUP(F407,КВР!A$1:B$5001,2),IF(E407&gt;0,VLOOKUP(E407,Направление!A$1:B$4816,2))))))</f>
        <v xml:space="preserve">Закупка товаров, работ и услуг для обеспечения государственных (муниципальных) нужд
</v>
      </c>
      <c r="B407" s="760"/>
      <c r="C407" s="820"/>
      <c r="D407" s="760"/>
      <c r="E407" s="760"/>
      <c r="F407" s="763">
        <v>200</v>
      </c>
      <c r="G407" s="812">
        <v>0</v>
      </c>
      <c r="H407" s="812"/>
      <c r="I407" s="805">
        <f>G407+H407</f>
        <v>0</v>
      </c>
    </row>
    <row r="408" spans="1:9" s="101" customFormat="1" ht="47.25" hidden="1" x14ac:dyDescent="0.25">
      <c r="A408" s="826" t="str">
        <f>IF(B408&gt;0,VLOOKUP(B408,КВСР!A70:B1235,2),IF(C408&gt;0,VLOOKUP(C408,КФСР!A70:B1582,2),IF(D408&gt;0,VLOOKUP(D408,Программа!A$1:B$5124,2),IF(F408&gt;0,VLOOKUP(F408,КВР!A$1:B$5001,2),IF(E408&gt;0,VLOOKUP(E408,Направление!A$1:B$4816,2))))))</f>
        <v>Предоставление субсидий бюджетным, автономным учреждениям и иным некоммерческим организациям</v>
      </c>
      <c r="B408" s="760"/>
      <c r="C408" s="820"/>
      <c r="D408" s="760"/>
      <c r="E408" s="760"/>
      <c r="F408" s="763">
        <v>600</v>
      </c>
      <c r="G408" s="812">
        <v>0</v>
      </c>
      <c r="H408" s="812"/>
      <c r="I408" s="805">
        <f>G408+H408</f>
        <v>0</v>
      </c>
    </row>
    <row r="409" spans="1:9" s="101" customFormat="1" x14ac:dyDescent="0.25">
      <c r="A409" s="826" t="str">
        <f>IF(B409&gt;0,VLOOKUP(B409,КВСР!A68:B1233,2),IF(C409&gt;0,VLOOKUP(C409,КФСР!A68:B1580,2),IF(D409&gt;0,VLOOKUP(D409,Программа!A$1:B$5124,2),IF(F409&gt;0,VLOOKUP(F409,КВР!A$1:B$5001,2),IF(E409&gt;0,VLOOKUP(E409,Направление!A$1:B$4816,2))))))</f>
        <v>Федеральный проект "Культурная среда"</v>
      </c>
      <c r="B409" s="760"/>
      <c r="C409" s="820"/>
      <c r="D409" s="760" t="s">
        <v>1567</v>
      </c>
      <c r="E409" s="760"/>
      <c r="F409" s="763"/>
      <c r="G409" s="812">
        <v>31172472.399999999</v>
      </c>
      <c r="H409" s="812">
        <f t="shared" si="92"/>
        <v>0</v>
      </c>
      <c r="I409" s="805">
        <f t="shared" si="92"/>
        <v>31172472.399999999</v>
      </c>
    </row>
    <row r="410" spans="1:9" s="101" customFormat="1" ht="47.25" x14ac:dyDescent="0.25">
      <c r="A410" s="826" t="str">
        <f>IF(B410&gt;0,VLOOKUP(B410,КВСР!A69:B1234,2),IF(C410&gt;0,VLOOKUP(C410,КФСР!A69:B1581,2),IF(D410&gt;0,VLOOKUP(D410,Программа!A$1:B$5124,2),IF(F410&gt;0,VLOOKUP(F410,КВР!A$1:B$5001,2),IF(E410&gt;0,VLOOKUP(E410,Направление!A$1:B$4816,2))))))</f>
        <v>Расходы на капитальный ремонт учреждений культурно-досугового типа в сельской местности</v>
      </c>
      <c r="B410" s="760"/>
      <c r="C410" s="820"/>
      <c r="D410" s="760"/>
      <c r="E410" s="760">
        <v>55133</v>
      </c>
      <c r="F410" s="763"/>
      <c r="G410" s="812">
        <v>31172472.399999999</v>
      </c>
      <c r="H410" s="812">
        <f t="shared" si="92"/>
        <v>0</v>
      </c>
      <c r="I410" s="805">
        <f t="shared" si="92"/>
        <v>31172472.399999999</v>
      </c>
    </row>
    <row r="411" spans="1:9" s="101" customFormat="1" ht="63" x14ac:dyDescent="0.25">
      <c r="A411" s="826" t="str">
        <f>IF(B411&gt;0,VLOOKUP(B411,КВСР!A70:B1235,2),IF(C411&gt;0,VLOOKUP(C411,КФСР!A70:B1582,2),IF(D411&gt;0,VLOOKUP(D411,Программа!A$1:B$5124,2),IF(F411&gt;0,VLOOKUP(F411,КВР!A$1:B$5001,2),IF(E411&gt;0,VLOOKUP(E411,Направление!A$1:B$4816,2))))))</f>
        <v xml:space="preserve">Закупка товаров, работ и услуг для обеспечения государственных (муниципальных) нужд
</v>
      </c>
      <c r="B411" s="760"/>
      <c r="C411" s="820"/>
      <c r="D411" s="760"/>
      <c r="E411" s="760"/>
      <c r="F411" s="763">
        <v>200</v>
      </c>
      <c r="G411" s="812">
        <v>31172472.399999999</v>
      </c>
      <c r="H411" s="812"/>
      <c r="I411" s="805">
        <f>G411+H411</f>
        <v>31172472.399999999</v>
      </c>
    </row>
    <row r="412" spans="1:9" s="101" customFormat="1" ht="28.5" customHeight="1" x14ac:dyDescent="0.25">
      <c r="A412" s="826" t="str">
        <f>IF(B412&gt;0,VLOOKUP(B412,КВСР!A62:B1227,2),IF(C412&gt;0,VLOOKUP(C412,КФСР!A62:B1574,2),IF(D412&gt;0,VLOOKUP(D412,Программа!A$1:B$5124,2),IF(F412&gt;0,VLOOKUP(F412,КВР!A$1:B$5001,2),IF(E412&gt;0,VLOOKUP(E412,Направление!A$1:B$4816,2))))))</f>
        <v>Другие вопросы в области культуры, кинематографии</v>
      </c>
      <c r="B412" s="760"/>
      <c r="C412" s="827">
        <v>804</v>
      </c>
      <c r="D412" s="760"/>
      <c r="E412" s="760"/>
      <c r="F412" s="763"/>
      <c r="G412" s="812">
        <v>371918</v>
      </c>
      <c r="H412" s="812">
        <f>H413+H418</f>
        <v>65236</v>
      </c>
      <c r="I412" s="805">
        <f t="shared" si="28"/>
        <v>437154</v>
      </c>
    </row>
    <row r="413" spans="1:9" s="101" customFormat="1" ht="62.25" customHeight="1" x14ac:dyDescent="0.25">
      <c r="A413" s="826" t="str">
        <f>IF(B413&gt;0,VLOOKUP(B413,КВСР!A63:B1228,2),IF(C413&gt;0,VLOOKUP(C413,КФСР!A63:B1575,2),IF(D413&gt;0,VLOOKUP(D413,Программа!A$1:B$5124,2),IF(F413&gt;0,VLOOKUP(F413,КВР!A$1:B$5001,2),IF(E413&gt;0,VLOOKUP(E413,Направление!A$1:B$4816,2))))))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13" s="760"/>
      <c r="C413" s="820"/>
      <c r="D413" s="760" t="s">
        <v>396</v>
      </c>
      <c r="E413" s="760"/>
      <c r="F413" s="763"/>
      <c r="G413" s="812">
        <v>16926</v>
      </c>
      <c r="H413" s="812">
        <f t="shared" ref="H413:I416" si="94">H414</f>
        <v>0</v>
      </c>
      <c r="I413" s="805">
        <f t="shared" si="94"/>
        <v>16926</v>
      </c>
    </row>
    <row r="414" spans="1:9" s="101" customFormat="1" ht="52.5" customHeight="1" x14ac:dyDescent="0.25">
      <c r="A414" s="826" t="str">
        <f>IF(B414&gt;0,VLOOKUP(B414,КВСР!A64:B1229,2),IF(C414&gt;0,VLOOKUP(C414,КФСР!A64:B1576,2),IF(D414&gt;0,VLOOKUP(D414,Программа!A$1:B$5124,2),IF(F414&gt;0,VLOOKUP(F414,КВР!A$1:B$5001,2),IF(E414&gt;0,VLOOKUP(E414,Направление!A$1:B$4816,2))))))</f>
        <v>Ведомственная целевая программа «Сохранение и развитие культуры Тутаевского муниципального района»</v>
      </c>
      <c r="B414" s="760"/>
      <c r="C414" s="820"/>
      <c r="D414" s="760" t="s">
        <v>494</v>
      </c>
      <c r="E414" s="760"/>
      <c r="F414" s="763"/>
      <c r="G414" s="812">
        <v>16926</v>
      </c>
      <c r="H414" s="812">
        <f t="shared" si="94"/>
        <v>0</v>
      </c>
      <c r="I414" s="805">
        <f t="shared" si="94"/>
        <v>16926</v>
      </c>
    </row>
    <row r="415" spans="1:9" s="101" customFormat="1" ht="31.5" x14ac:dyDescent="0.25">
      <c r="A415" s="826" t="str">
        <f>IF(B415&gt;0,VLOOKUP(B415,КВСР!A65:B1230,2),IF(C415&gt;0,VLOOKUP(C415,КФСР!A65:B1577,2),IF(D415&gt;0,VLOOKUP(D415,Программа!A$1:B$5124,2),IF(F415&gt;0,VLOOKUP(F415,КВР!A$1:B$5001,2),IF(E415&gt;0,VLOOKUP(E415,Направление!A$1:B$4816,2))))))</f>
        <v>Обеспечение эффективности управления системой культуры</v>
      </c>
      <c r="B415" s="760"/>
      <c r="C415" s="820"/>
      <c r="D415" s="760" t="s">
        <v>520</v>
      </c>
      <c r="E415" s="760"/>
      <c r="F415" s="763"/>
      <c r="G415" s="812">
        <v>16926</v>
      </c>
      <c r="H415" s="812">
        <f t="shared" si="94"/>
        <v>0</v>
      </c>
      <c r="I415" s="805">
        <f t="shared" si="94"/>
        <v>16926</v>
      </c>
    </row>
    <row r="416" spans="1:9" s="101" customFormat="1" ht="63" x14ac:dyDescent="0.25">
      <c r="A416" s="826" t="str">
        <f>IF(B416&gt;0,VLOOKUP(B416,КВСР!A66:B1231,2),IF(C416&gt;0,VLOOKUP(C416,КФСР!A66:B1578,2),IF(D416&gt;0,VLOOKUP(D416,Программа!A$1:B$5124,2),IF(F416&gt;0,VLOOKUP(F416,КВР!A$1:B$5001,2),IF(E416&gt;0,VLOOKUP(E416,Направление!A$1:B$4816,2))))))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16" s="760"/>
      <c r="C416" s="820"/>
      <c r="D416" s="760"/>
      <c r="E416" s="760">
        <v>55490</v>
      </c>
      <c r="F416" s="763"/>
      <c r="G416" s="812">
        <v>16926</v>
      </c>
      <c r="H416" s="812">
        <f t="shared" si="94"/>
        <v>0</v>
      </c>
      <c r="I416" s="805">
        <f t="shared" si="94"/>
        <v>16926</v>
      </c>
    </row>
    <row r="417" spans="1:9" s="101" customFormat="1" ht="107.25" customHeight="1" x14ac:dyDescent="0.25">
      <c r="A417" s="826" t="str">
        <f>IF(B417&gt;0,VLOOKUP(B417,КВСР!A67:B1232,2),IF(C417&gt;0,VLOOKUP(C417,КФСР!A67:B1579,2),IF(D417&gt;0,VLOOKUP(D417,Программа!A$1:B$5124,2),IF(F417&gt;0,VLOOKUP(F417,КВР!A$1:B$5001,2),IF(E417&gt;0,VLOOKUP(E417,Направление!A$1:B$4816,2))))))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760"/>
      <c r="C417" s="820"/>
      <c r="D417" s="760"/>
      <c r="E417" s="760"/>
      <c r="F417" s="763">
        <v>100</v>
      </c>
      <c r="G417" s="812">
        <v>16926</v>
      </c>
      <c r="H417" s="812"/>
      <c r="I417" s="805">
        <f>SUM(G417:H417)</f>
        <v>16926</v>
      </c>
    </row>
    <row r="418" spans="1:9" s="101" customFormat="1" ht="20.25" customHeight="1" x14ac:dyDescent="0.25">
      <c r="A418" s="826" t="str">
        <f>IF(B418&gt;0,VLOOKUP(B418,КВСР!A63:B1228,2),IF(C418&gt;0,VLOOKUP(C418,КФСР!A63:B1575,2),IF(D418&gt;0,VLOOKUP(D418,Программа!A$1:B$5124,2),IF(F418&gt;0,VLOOKUP(F418,КВР!A$1:B$5001,2),IF(E418&gt;0,VLOOKUP(E418,Направление!A$1:B$4816,2))))))</f>
        <v>Непрограммные расходы бюджета</v>
      </c>
      <c r="B418" s="760"/>
      <c r="C418" s="820"/>
      <c r="D418" s="760" t="s">
        <v>311</v>
      </c>
      <c r="E418" s="760"/>
      <c r="F418" s="763"/>
      <c r="G418" s="812">
        <v>354992</v>
      </c>
      <c r="H418" s="812">
        <f t="shared" ref="H418:I418" si="95">H419</f>
        <v>65236</v>
      </c>
      <c r="I418" s="805">
        <f t="shared" si="95"/>
        <v>420228</v>
      </c>
    </row>
    <row r="419" spans="1:9" s="101" customFormat="1" x14ac:dyDescent="0.25">
      <c r="A419" s="826" t="str">
        <f>IF(B419&gt;0,VLOOKUP(B419,КВСР!A66:B1231,2),IF(C419&gt;0,VLOOKUP(C419,КФСР!A66:B1578,2),IF(D419&gt;0,VLOOKUP(D419,Программа!A$1:B$5124,2),IF(F419&gt;0,VLOOKUP(F419,КВР!A$1:B$5001,2),IF(E419&gt;0,VLOOKUP(E419,Направление!A$1:B$4816,2))))))</f>
        <v>Содержание центрального аппарата</v>
      </c>
      <c r="B419" s="760"/>
      <c r="C419" s="820"/>
      <c r="D419" s="760"/>
      <c r="E419" s="760">
        <v>12010</v>
      </c>
      <c r="F419" s="763"/>
      <c r="G419" s="812">
        <v>354992</v>
      </c>
      <c r="H419" s="812">
        <f t="shared" ref="H419" si="96">H420</f>
        <v>65236</v>
      </c>
      <c r="I419" s="805">
        <f t="shared" si="28"/>
        <v>420228</v>
      </c>
    </row>
    <row r="420" spans="1:9" s="101" customFormat="1" ht="110.25" x14ac:dyDescent="0.25">
      <c r="A420" s="826" t="str">
        <f>IF(B420&gt;0,VLOOKUP(B420,КВСР!A67:B1232,2),IF(C420&gt;0,VLOOKUP(C420,КФСР!A67:B1579,2),IF(D420&gt;0,VLOOKUP(D420,Программа!A$1:B$5124,2),IF(F420&gt;0,VLOOKUP(F420,КВР!A$1:B$5001,2),IF(E420&gt;0,VLOOKUP(E420,Направление!A$1:B$4816,2))))))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760"/>
      <c r="C420" s="820"/>
      <c r="D420" s="760"/>
      <c r="E420" s="760"/>
      <c r="F420" s="763">
        <v>100</v>
      </c>
      <c r="G420" s="812">
        <v>354992</v>
      </c>
      <c r="H420" s="812">
        <f>52075+13161</f>
        <v>65236</v>
      </c>
      <c r="I420" s="805">
        <f t="shared" si="28"/>
        <v>420228</v>
      </c>
    </row>
    <row r="421" spans="1:9" s="101" customFormat="1" x14ac:dyDescent="0.25">
      <c r="A421" s="826" t="str">
        <f>IF(B421&gt;0,VLOOKUP(B421,КВСР!A66:B1231,2),IF(C421&gt;0,VLOOKUP(C421,КФСР!A66:B1578,2),IF(D421&gt;0,VLOOKUP(D421,Программа!A$1:B$5124,2),IF(F421&gt;0,VLOOKUP(F421,КВР!A$1:B$5001,2),IF(E421&gt;0,VLOOKUP(E421,Направление!A$1:B$4816,2))))))</f>
        <v>Массовый спорт</v>
      </c>
      <c r="B421" s="760"/>
      <c r="C421" s="820">
        <v>1102</v>
      </c>
      <c r="D421" s="760"/>
      <c r="E421" s="760"/>
      <c r="F421" s="763"/>
      <c r="G421" s="812">
        <v>9120000</v>
      </c>
      <c r="H421" s="812">
        <f t="shared" ref="H421:I421" si="97">H422</f>
        <v>880000</v>
      </c>
      <c r="I421" s="805">
        <f t="shared" si="97"/>
        <v>10000000</v>
      </c>
    </row>
    <row r="422" spans="1:9" s="101" customFormat="1" ht="63" x14ac:dyDescent="0.25">
      <c r="A422" s="826" t="str">
        <f>IF(B422&gt;0,VLOOKUP(B422,КВСР!A63:B1228,2),IF(C422&gt;0,VLOOKUP(C422,КФСР!A63:B1575,2),IF(D422&gt;0,VLOOKUP(D422,Программа!A$1:B$5124,2),IF(F422&gt;0,VLOOKUP(F422,КВР!A$1:B$5001,2),IF(E422&gt;0,VLOOKUP(E422,Направление!A$1:B$4816,2))))))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22" s="760"/>
      <c r="C422" s="820"/>
      <c r="D422" s="760" t="s">
        <v>367</v>
      </c>
      <c r="E422" s="760"/>
      <c r="F422" s="763"/>
      <c r="G422" s="812">
        <v>9120000</v>
      </c>
      <c r="H422" s="812">
        <f>H423</f>
        <v>880000</v>
      </c>
      <c r="I422" s="805">
        <f>I423</f>
        <v>10000000</v>
      </c>
    </row>
    <row r="423" spans="1:9" s="101" customFormat="1" ht="47.25" x14ac:dyDescent="0.25">
      <c r="A423" s="826" t="str">
        <f>IF(B423&gt;0,VLOOKUP(B423,КВСР!A64:B1229,2),IF(C423&gt;0,VLOOKUP(C423,КФСР!A64:B1576,2),IF(D423&gt;0,VLOOKUP(D423,Программа!A$1:B$5124,2),IF(F423&gt;0,VLOOKUP(F423,КВР!A$1:B$5001,2),IF(E423&gt;0,VLOOKUP(E423,Направление!A$1:B$4816,2))))))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23" s="760"/>
      <c r="C423" s="820"/>
      <c r="D423" s="760" t="s">
        <v>386</v>
      </c>
      <c r="E423" s="760"/>
      <c r="F423" s="763"/>
      <c r="G423" s="812">
        <v>9120000</v>
      </c>
      <c r="H423" s="812">
        <f>H424</f>
        <v>880000</v>
      </c>
      <c r="I423" s="805">
        <f>I424</f>
        <v>10000000</v>
      </c>
    </row>
    <row r="424" spans="1:9" s="101" customFormat="1" ht="47.25" x14ac:dyDescent="0.25">
      <c r="A424" s="826" t="str">
        <f>IF(B424&gt;0,VLOOKUP(B424,КВСР!A65:B1230,2),IF(C424&gt;0,VLOOKUP(C424,КФСР!A65:B1577,2),IF(D424&gt;0,VLOOKUP(D424,Программа!A$1:B$5124,2),IF(F424&gt;0,VLOOKUP(F424,КВР!A$1:B$5001,2),IF(E424&gt;0,VLOOKUP(E424,Направление!A$1:B$4816,2))))))</f>
        <v>Строительство и реконструкция спортивных сооружений и укрепление материальной базы</v>
      </c>
      <c r="B424" s="760"/>
      <c r="C424" s="820"/>
      <c r="D424" s="760" t="s">
        <v>387</v>
      </c>
      <c r="E424" s="760"/>
      <c r="F424" s="763"/>
      <c r="G424" s="812">
        <v>9120000</v>
      </c>
      <c r="H424" s="812">
        <f>H425+H428+H430+H432</f>
        <v>880000</v>
      </c>
      <c r="I424" s="805">
        <f>I425+I428+I430+I432</f>
        <v>10000000</v>
      </c>
    </row>
    <row r="425" spans="1:9" s="101" customFormat="1" ht="47.25" x14ac:dyDescent="0.25">
      <c r="A425" s="826" t="str">
        <f>IF(B425&gt;0,VLOOKUP(B425,КВСР!A65:B1230,2),IF(C425&gt;0,VLOOKUP(C425,КФСР!A65:B1577,2),IF(D425&gt;0,VLOOKUP(D425,Программа!A$1:B$5124,2),IF(F425&gt;0,VLOOKUP(F425,КВР!A$1:B$5001,2),IF(E425&gt;0,VLOOKUP(E425,Направление!A$1:B$4816,2))))))</f>
        <v>Мероприятия по строительству, реконструкции и ремонту спортивных объектов</v>
      </c>
      <c r="B425" s="760"/>
      <c r="C425" s="820"/>
      <c r="D425" s="760"/>
      <c r="E425" s="760">
        <v>14100</v>
      </c>
      <c r="F425" s="763"/>
      <c r="G425" s="812">
        <v>9120000</v>
      </c>
      <c r="H425" s="812">
        <f>H427+H426</f>
        <v>880000</v>
      </c>
      <c r="I425" s="805">
        <f>I427+I426</f>
        <v>10000000</v>
      </c>
    </row>
    <row r="426" spans="1:9" s="101" customFormat="1" ht="63" x14ac:dyDescent="0.25">
      <c r="A426" s="826" t="str">
        <f>IF(B426&gt;0,VLOOKUP(B426,КВСР!A66:B1231,2),IF(C426&gt;0,VLOOKUP(C426,КФСР!A66:B1578,2),IF(D426&gt;0,VLOOKUP(D426,Программа!A$1:B$5124,2),IF(F426&gt;0,VLOOKUP(F426,КВР!A$1:B$5001,2),IF(E426&gt;0,VLOOKUP(E426,Направление!A$1:B$4816,2))))))</f>
        <v xml:space="preserve">Закупка товаров, работ и услуг для обеспечения государственных (муниципальных) нужд
</v>
      </c>
      <c r="B426" s="760"/>
      <c r="C426" s="820"/>
      <c r="D426" s="760"/>
      <c r="E426" s="760"/>
      <c r="F426" s="763">
        <v>200</v>
      </c>
      <c r="G426" s="812">
        <v>120000</v>
      </c>
      <c r="H426" s="812"/>
      <c r="I426" s="805">
        <f>G426+H426</f>
        <v>120000</v>
      </c>
    </row>
    <row r="427" spans="1:9" s="101" customFormat="1" ht="47.25" x14ac:dyDescent="0.25">
      <c r="A427" s="826" t="str">
        <f>IF(B427&gt;0,VLOOKUP(B427,КВСР!A65:B1230,2),IF(C427&gt;0,VLOOKUP(C427,КФСР!A65:B1577,2),IF(D427&gt;0,VLOOKUP(D427,Программа!A$1:B$5124,2),IF(F427&gt;0,VLOOKUP(F427,КВР!A$1:B$5001,2),IF(E427&gt;0,VLOOKUP(E427,Направление!A$1:B$4816,2))))))</f>
        <v>Капитальные вложения в объекты государственной (муниципальной) собственности</v>
      </c>
      <c r="B427" s="760"/>
      <c r="C427" s="820"/>
      <c r="D427" s="760"/>
      <c r="E427" s="760"/>
      <c r="F427" s="763">
        <v>400</v>
      </c>
      <c r="G427" s="812">
        <v>9000000</v>
      </c>
      <c r="H427" s="812">
        <v>880000</v>
      </c>
      <c r="I427" s="805">
        <f t="shared" si="28"/>
        <v>9880000</v>
      </c>
    </row>
    <row r="428" spans="1:9" s="101" customFormat="1" ht="47.25" hidden="1" x14ac:dyDescent="0.25">
      <c r="A428" s="826" t="str">
        <f>IF(B428&gt;0,VLOOKUP(B428,КВСР!A66:B1231,2),IF(C428&gt;0,VLOOKUP(C428,КФСР!A66:B1578,2),IF(D428&gt;0,VLOOKUP(D428,Программа!A$1:B$5124,2),IF(F428&gt;0,VLOOKUP(F428,КВР!A$1:B$5001,2),IF(E428&gt;0,VLOOKUP(E428,Направление!A$1:B$4816,2))))))</f>
        <v>Расходы на реализацию мероприятий инициативного бюджетирования на территории Ярославской области</v>
      </c>
      <c r="B428" s="760"/>
      <c r="C428" s="820"/>
      <c r="D428" s="760"/>
      <c r="E428" s="760">
        <v>15350</v>
      </c>
      <c r="F428" s="763"/>
      <c r="G428" s="812">
        <v>0</v>
      </c>
      <c r="H428" s="812">
        <f t="shared" ref="H428:I428" si="98">H429</f>
        <v>0</v>
      </c>
      <c r="I428" s="805">
        <f t="shared" si="98"/>
        <v>0</v>
      </c>
    </row>
    <row r="429" spans="1:9" s="101" customFormat="1" ht="63" hidden="1" x14ac:dyDescent="0.25">
      <c r="A429" s="826" t="str">
        <f>IF(B429&gt;0,VLOOKUP(B429,КВСР!A67:B1232,2),IF(C429&gt;0,VLOOKUP(C429,КФСР!A67:B1579,2),IF(D429&gt;0,VLOOKUP(D429,Программа!A$1:B$5124,2),IF(F429&gt;0,VLOOKUP(F429,КВР!A$1:B$5001,2),IF(E429&gt;0,VLOOKUP(E429,Направление!A$1:B$4816,2))))))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760"/>
      <c r="C429" s="820"/>
      <c r="D429" s="760"/>
      <c r="E429" s="760"/>
      <c r="F429" s="763">
        <v>200</v>
      </c>
      <c r="G429" s="812">
        <v>0</v>
      </c>
      <c r="H429" s="812"/>
      <c r="I429" s="805">
        <f>G429+H429</f>
        <v>0</v>
      </c>
    </row>
    <row r="430" spans="1:9" s="101" customFormat="1" ht="47.25" hidden="1" x14ac:dyDescent="0.25">
      <c r="A430" s="826" t="str">
        <f>IF(B430&gt;0,VLOOKUP(B430,КВСР!A68:B1233,2),IF(C430&gt;0,VLOOKUP(C430,КФСР!A68:B1580,2),IF(D430&gt;0,VLOOKUP(D430,Программа!A$1:B$5124,2),IF(F430&gt;0,VLOOKUP(F430,КВР!A$1:B$5001,2),IF(E430&gt;0,VLOOKUP(E430,Направление!A$1:B$4816,2))))))</f>
        <v>Расходы на реализацию мероприятий инициативного бюджетирования на территории Ярославской области</v>
      </c>
      <c r="B430" s="760"/>
      <c r="C430" s="820"/>
      <c r="D430" s="760"/>
      <c r="E430" s="760">
        <v>75350</v>
      </c>
      <c r="F430" s="763"/>
      <c r="G430" s="812">
        <v>0</v>
      </c>
      <c r="H430" s="812">
        <f t="shared" ref="H430:I430" si="99">H431</f>
        <v>0</v>
      </c>
      <c r="I430" s="805">
        <f t="shared" si="99"/>
        <v>0</v>
      </c>
    </row>
    <row r="431" spans="1:9" s="101" customFormat="1" ht="63" hidden="1" x14ac:dyDescent="0.25">
      <c r="A431" s="826" t="str">
        <f>IF(B431&gt;0,VLOOKUP(B431,КВСР!A69:B1234,2),IF(C431&gt;0,VLOOKUP(C431,КФСР!A69:B1581,2),IF(D431&gt;0,VLOOKUP(D431,Программа!A$1:B$5124,2),IF(F431&gt;0,VLOOKUP(F431,КВР!A$1:B$5001,2),IF(E431&gt;0,VLOOKUP(E431,Направление!A$1:B$4816,2))))))</f>
        <v xml:space="preserve">Закупка товаров, работ и услуг для обеспечения государственных (муниципальных) нужд
</v>
      </c>
      <c r="B431" s="760"/>
      <c r="C431" s="820"/>
      <c r="D431" s="760"/>
      <c r="E431" s="760"/>
      <c r="F431" s="763">
        <v>200</v>
      </c>
      <c r="G431" s="812">
        <v>0</v>
      </c>
      <c r="H431" s="812"/>
      <c r="I431" s="805">
        <f t="shared" ref="I431" si="100">G431+H431</f>
        <v>0</v>
      </c>
    </row>
    <row r="432" spans="1:9" s="101" customFormat="1" ht="78.75" hidden="1" x14ac:dyDescent="0.25">
      <c r="A432" s="826" t="str">
        <f>IF(B432&gt;0,VLOOKUP(B432,КВСР!A70:B1235,2),IF(C432&gt;0,VLOOKUP(C432,КФСР!A70:B1582,2),IF(D432&gt;0,VLOOKUP(D432,Программа!A$1:B$5124,2),IF(F432&gt;0,VLOOKUP(F432,КВР!A$1:B$5001,2),IF(E432&gt;0,VLOOKUP(E432,Направление!A$1:B$4816,2))))))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432" s="760"/>
      <c r="C432" s="820"/>
      <c r="D432" s="760"/>
      <c r="E432" s="760">
        <v>75870</v>
      </c>
      <c r="F432" s="763"/>
      <c r="G432" s="812">
        <v>0</v>
      </c>
      <c r="H432" s="812">
        <f t="shared" ref="H432:I432" si="101">H433</f>
        <v>0</v>
      </c>
      <c r="I432" s="805">
        <f t="shared" si="101"/>
        <v>0</v>
      </c>
    </row>
    <row r="433" spans="1:9" s="101" customFormat="1" ht="63" hidden="1" x14ac:dyDescent="0.25">
      <c r="A433" s="826" t="str">
        <f>IF(B433&gt;0,VLOOKUP(B433,КВСР!A71:B1236,2),IF(C433&gt;0,VLOOKUP(C433,КФСР!A71:B1583,2),IF(D433&gt;0,VLOOKUP(D433,Программа!A$1:B$5124,2),IF(F433&gt;0,VLOOKUP(F433,КВР!A$1:B$5001,2),IF(E433&gt;0,VLOOKUP(E433,Направление!A$1:B$4816,2))))))</f>
        <v xml:space="preserve">Закупка товаров, работ и услуг для обеспечения государственных (муниципальных) нужд
</v>
      </c>
      <c r="B433" s="760"/>
      <c r="C433" s="820"/>
      <c r="D433" s="760"/>
      <c r="E433" s="760"/>
      <c r="F433" s="763">
        <v>200</v>
      </c>
      <c r="G433" s="812">
        <v>0</v>
      </c>
      <c r="H433" s="812"/>
      <c r="I433" s="805">
        <f>G433+H433</f>
        <v>0</v>
      </c>
    </row>
    <row r="434" spans="1:9" s="101" customFormat="1" x14ac:dyDescent="0.25">
      <c r="A434" s="826" t="str">
        <f>IF(B434&gt;0,VLOOKUP(B434,КВСР!A66:B1231,2),IF(C434&gt;0,VLOOKUP(C434,КФСР!A66:B1578,2),IF(D434&gt;0,VLOOKUP(D434,Программа!A$1:B$5124,2),IF(F434&gt;0,VLOOKUP(F434,КВР!A$1:B$5001,2),IF(E434&gt;0,VLOOKUP(E434,Направление!A$1:B$4816,2))))))</f>
        <v>Периодическая печать и издательства</v>
      </c>
      <c r="B434" s="760"/>
      <c r="C434" s="820">
        <v>1202</v>
      </c>
      <c r="D434" s="760"/>
      <c r="E434" s="760"/>
      <c r="F434" s="763"/>
      <c r="G434" s="812">
        <v>6350662</v>
      </c>
      <c r="H434" s="812">
        <f>H435+H443+H439</f>
        <v>278881</v>
      </c>
      <c r="I434" s="805">
        <f>I435+I443+I439</f>
        <v>6629543</v>
      </c>
    </row>
    <row r="435" spans="1:9" s="101" customFormat="1" ht="94.5" x14ac:dyDescent="0.25">
      <c r="A435" s="826" t="str">
        <f>IF(B435&gt;0,VLOOKUP(B435,КВСР!A67:B1232,2),IF(C435&gt;0,VLOOKUP(C435,КФСР!A67:B1579,2),IF(D435&gt;0,VLOOKUP(D435,Программа!A$1:B$5124,2),IF(F435&gt;0,VLOOKUP(F435,КВР!A$1:B$5001,2),IF(E435&gt;0,VLOOKUP(E435,Направление!A$1:B$4816,2))))))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35" s="760"/>
      <c r="C435" s="820"/>
      <c r="D435" s="760" t="s">
        <v>322</v>
      </c>
      <c r="E435" s="760"/>
      <c r="F435" s="763"/>
      <c r="G435" s="812">
        <v>60000</v>
      </c>
      <c r="H435" s="812">
        <f t="shared" ref="H435:I437" si="102">H436</f>
        <v>0</v>
      </c>
      <c r="I435" s="805">
        <f t="shared" si="102"/>
        <v>60000</v>
      </c>
    </row>
    <row r="436" spans="1:9" s="101" customFormat="1" ht="94.5" x14ac:dyDescent="0.25">
      <c r="A436" s="826" t="str">
        <f>IF(B436&gt;0,VLOOKUP(B436,КВСР!A68:B1233,2),IF(C436&gt;0,VLOOKUP(C436,КФСР!A68:B1580,2),IF(D436&gt;0,VLOOKUP(D436,Программа!A$1:B$5124,2),IF(F436&gt;0,VLOOKUP(F436,КВР!A$1:B$5001,2),IF(E436&gt;0,VLOOKUP(E436,Направление!A$1:B$4816,2))))))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36" s="760"/>
      <c r="C436" s="820"/>
      <c r="D436" s="760" t="s">
        <v>1516</v>
      </c>
      <c r="E436" s="760"/>
      <c r="F436" s="763"/>
      <c r="G436" s="812">
        <v>60000</v>
      </c>
      <c r="H436" s="812">
        <f t="shared" si="102"/>
        <v>0</v>
      </c>
      <c r="I436" s="805">
        <f t="shared" si="102"/>
        <v>60000</v>
      </c>
    </row>
    <row r="437" spans="1:9" s="101" customFormat="1" ht="31.5" x14ac:dyDescent="0.25">
      <c r="A437" s="826" t="str">
        <f>IF(B437&gt;0,VLOOKUP(B437,КВСР!A69:B1234,2),IF(C437&gt;0,VLOOKUP(C437,КФСР!A69:B1581,2),IF(D437&gt;0,VLOOKUP(D437,Программа!A$1:B$5124,2),IF(F437&gt;0,VLOOKUP(F437,КВР!A$1:B$5001,2),IF(E437&gt;0,VLOOKUP(E437,Направление!A$1:B$4816,2))))))</f>
        <v>Внедрение проектной деятельности и бережливых технологий</v>
      </c>
      <c r="B437" s="760"/>
      <c r="C437" s="820"/>
      <c r="D437" s="760"/>
      <c r="E437" s="760">
        <v>12300</v>
      </c>
      <c r="F437" s="763"/>
      <c r="G437" s="812">
        <v>60000</v>
      </c>
      <c r="H437" s="812">
        <f t="shared" si="102"/>
        <v>0</v>
      </c>
      <c r="I437" s="805">
        <f t="shared" si="102"/>
        <v>60000</v>
      </c>
    </row>
    <row r="438" spans="1:9" s="101" customFormat="1" ht="47.25" x14ac:dyDescent="0.25">
      <c r="A438" s="826" t="str">
        <f>IF(B438&gt;0,VLOOKUP(B438,КВСР!A70:B1235,2),IF(C438&gt;0,VLOOKUP(C438,КФСР!A70:B1582,2),IF(D438&gt;0,VLOOKUP(D438,Программа!A$1:B$5124,2),IF(F438&gt;0,VLOOKUP(F438,КВР!A$1:B$5001,2),IF(E438&gt;0,VLOOKUP(E438,Направление!A$1:B$4816,2))))))</f>
        <v>Предоставление субсидий бюджетным, автономным учреждениям и иным некоммерческим организациям</v>
      </c>
      <c r="B438" s="760"/>
      <c r="C438" s="820"/>
      <c r="D438" s="760"/>
      <c r="E438" s="760"/>
      <c r="F438" s="763">
        <v>600</v>
      </c>
      <c r="G438" s="812">
        <v>60000</v>
      </c>
      <c r="H438" s="812"/>
      <c r="I438" s="805">
        <f>G438+H438</f>
        <v>60000</v>
      </c>
    </row>
    <row r="439" spans="1:9" s="101" customFormat="1" ht="63" x14ac:dyDescent="0.25">
      <c r="A439" s="826" t="str">
        <f>IF(B439&gt;0,VLOOKUP(B439,КВСР!A71:B1236,2),IF(C439&gt;0,VLOOKUP(C439,КФСР!A71:B1583,2),IF(D439&gt;0,VLOOKUP(D439,Программа!A$1:B$5124,2),IF(F439&gt;0,VLOOKUP(F439,КВР!A$1:B$5001,2),IF(E439&gt;0,VLOOKUP(E439,Направление!A$1:B$4816,2))))))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9" s="760"/>
      <c r="C439" s="820"/>
      <c r="D439" s="760" t="s">
        <v>426</v>
      </c>
      <c r="E439" s="760"/>
      <c r="F439" s="763"/>
      <c r="G439" s="812">
        <v>15500</v>
      </c>
      <c r="H439" s="812">
        <f t="shared" ref="H439:I441" si="103">H440</f>
        <v>0</v>
      </c>
      <c r="I439" s="805">
        <f t="shared" si="103"/>
        <v>15500</v>
      </c>
    </row>
    <row r="440" spans="1:9" s="101" customFormat="1" ht="31.5" x14ac:dyDescent="0.25">
      <c r="A440" s="826" t="str">
        <f>IF(B440&gt;0,VLOOKUP(B440,КВСР!A72:B1237,2),IF(C440&gt;0,VLOOKUP(C440,КФСР!A72:B1584,2),IF(D440&gt;0,VLOOKUP(D440,Программа!A$1:B$5124,2),IF(F440&gt;0,VLOOKUP(F440,КВР!A$1:B$5001,2),IF(E440&gt;0,VLOOKUP(E440,Направление!A$1:B$4816,2))))))</f>
        <v>Воспрепятствование проявлениям терроризма и экстремизма</v>
      </c>
      <c r="B440" s="760"/>
      <c r="C440" s="820"/>
      <c r="D440" s="760" t="s">
        <v>1778</v>
      </c>
      <c r="E440" s="760"/>
      <c r="F440" s="763"/>
      <c r="G440" s="812">
        <v>15500</v>
      </c>
      <c r="H440" s="812">
        <f t="shared" si="103"/>
        <v>0</v>
      </c>
      <c r="I440" s="805">
        <f t="shared" si="103"/>
        <v>15500</v>
      </c>
    </row>
    <row r="441" spans="1:9" s="101" customFormat="1" ht="47.25" x14ac:dyDescent="0.25">
      <c r="A441" s="826" t="str">
        <f>IF(B441&gt;0,VLOOKUP(B441,КВСР!A73:B1238,2),IF(C441&gt;0,VLOOKUP(C441,КФСР!A73:B1585,2),IF(D441&gt;0,VLOOKUP(D441,Программа!A$1:B$5124,2),IF(F441&gt;0,VLOOKUP(F441,КВР!A$1:B$5001,2),IF(E441&gt;0,VLOOKUP(E441,Направление!A$1:B$4816,2))))))</f>
        <v>Расходы на профилактику правонарушений и усиления борьбы с преступностью</v>
      </c>
      <c r="B441" s="760"/>
      <c r="C441" s="820"/>
      <c r="D441" s="760"/>
      <c r="E441" s="760">
        <v>12250</v>
      </c>
      <c r="F441" s="763"/>
      <c r="G441" s="812">
        <v>15500</v>
      </c>
      <c r="H441" s="812">
        <f t="shared" si="103"/>
        <v>0</v>
      </c>
      <c r="I441" s="805">
        <f t="shared" si="103"/>
        <v>15500</v>
      </c>
    </row>
    <row r="442" spans="1:9" s="101" customFormat="1" ht="47.25" x14ac:dyDescent="0.25">
      <c r="A442" s="826" t="str">
        <f>IF(B442&gt;0,VLOOKUP(B442,КВСР!A74:B1239,2),IF(C442&gt;0,VLOOKUP(C442,КФСР!A74:B1586,2),IF(D442&gt;0,VLOOKUP(D442,Программа!A$1:B$5124,2),IF(F442&gt;0,VLOOKUP(F442,КВР!A$1:B$5001,2),IF(E442&gt;0,VLOOKUP(E442,Направление!A$1:B$4816,2))))))</f>
        <v>Предоставление субсидий бюджетным, автономным учреждениям и иным некоммерческим организациям</v>
      </c>
      <c r="B442" s="760"/>
      <c r="C442" s="820"/>
      <c r="D442" s="760"/>
      <c r="E442" s="760"/>
      <c r="F442" s="763">
        <v>600</v>
      </c>
      <c r="G442" s="812">
        <v>15500</v>
      </c>
      <c r="H442" s="812"/>
      <c r="I442" s="805">
        <f t="shared" ref="I442" si="104">G442+H442</f>
        <v>15500</v>
      </c>
    </row>
    <row r="443" spans="1:9" s="101" customFormat="1" x14ac:dyDescent="0.25">
      <c r="A443" s="826" t="str">
        <f>IF(B443&gt;0,VLOOKUP(B443,КВСР!A67:B1232,2),IF(C443&gt;0,VLOOKUP(C443,КФСР!A67:B1579,2),IF(D443&gt;0,VLOOKUP(D443,Программа!A$1:B$5124,2),IF(F443&gt;0,VLOOKUP(F443,КВР!A$1:B$5001,2),IF(E443&gt;0,VLOOKUP(E443,Направление!A$1:B$4816,2))))))</f>
        <v>Непрограммные расходы бюджета</v>
      </c>
      <c r="B443" s="760"/>
      <c r="C443" s="820"/>
      <c r="D443" s="760" t="s">
        <v>311</v>
      </c>
      <c r="E443" s="760"/>
      <c r="F443" s="763"/>
      <c r="G443" s="812">
        <v>6275162</v>
      </c>
      <c r="H443" s="812">
        <f>H444+H446</f>
        <v>278881</v>
      </c>
      <c r="I443" s="805">
        <f>I444+I446</f>
        <v>6554043</v>
      </c>
    </row>
    <row r="444" spans="1:9" s="101" customFormat="1" x14ac:dyDescent="0.25">
      <c r="A444" s="826" t="str">
        <f>IF(B444&gt;0,VLOOKUP(B444,КВСР!A68:B1233,2),IF(C444&gt;0,VLOOKUP(C444,КФСР!A68:B1580,2),IF(D444&gt;0,VLOOKUP(D444,Программа!A$1:B$5124,2),IF(F444&gt;0,VLOOKUP(F444,КВР!A$1:B$5001,2),IF(E444&gt;0,VLOOKUP(E444,Направление!A$1:B$4816,2))))))</f>
        <v xml:space="preserve">Поддержка периодических изданий </v>
      </c>
      <c r="B444" s="760"/>
      <c r="C444" s="820"/>
      <c r="D444" s="760"/>
      <c r="E444" s="760">
        <v>12750</v>
      </c>
      <c r="F444" s="763"/>
      <c r="G444" s="812">
        <v>6104600</v>
      </c>
      <c r="H444" s="812">
        <f t="shared" ref="H444:I444" si="105">H445</f>
        <v>278881</v>
      </c>
      <c r="I444" s="805">
        <f t="shared" si="105"/>
        <v>6383481</v>
      </c>
    </row>
    <row r="445" spans="1:9" s="101" customFormat="1" ht="47.25" x14ac:dyDescent="0.25">
      <c r="A445" s="826" t="str">
        <f>IF(B445&gt;0,VLOOKUP(B445,КВСР!A69:B1234,2),IF(C445&gt;0,VLOOKUP(C445,КФСР!A69:B1581,2),IF(D445&gt;0,VLOOKUP(D445,Программа!A$1:B$5124,2),IF(F445&gt;0,VLOOKUP(F445,КВР!A$1:B$5001,2),IF(E445&gt;0,VLOOKUP(E445,Направление!A$1:B$4816,2))))))</f>
        <v>Предоставление субсидий бюджетным, автономным учреждениям и иным некоммерческим организациям</v>
      </c>
      <c r="B445" s="760"/>
      <c r="C445" s="820"/>
      <c r="D445" s="760"/>
      <c r="E445" s="760"/>
      <c r="F445" s="763">
        <v>600</v>
      </c>
      <c r="G445" s="812">
        <v>6104600</v>
      </c>
      <c r="H445" s="812">
        <v>278881</v>
      </c>
      <c r="I445" s="805">
        <f>G445+H445</f>
        <v>6383481</v>
      </c>
    </row>
    <row r="446" spans="1:9" s="101" customFormat="1" ht="54" customHeight="1" x14ac:dyDescent="0.25">
      <c r="A446" s="826" t="str">
        <f>IF(B446&gt;0,VLOOKUP(B446,КВСР!A70:B1235,2),IF(C446&gt;0,VLOOKUP(C446,КФСР!A70:B1582,2),IF(D446&gt;0,VLOOKUP(D446,Программа!A$1:B$5124,2),IF(F446&gt;0,VLOOKUP(F446,КВР!A$1:B$5001,2),IF(E446&gt;0,VLOOKUP(E446,Направление!A$1:B$4816,2))))))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46" s="760"/>
      <c r="C446" s="820"/>
      <c r="D446" s="760"/>
      <c r="E446" s="760">
        <v>55490</v>
      </c>
      <c r="F446" s="763"/>
      <c r="G446" s="812">
        <v>170562</v>
      </c>
      <c r="H446" s="812">
        <f>H447</f>
        <v>0</v>
      </c>
      <c r="I446" s="805">
        <f>I447</f>
        <v>170562</v>
      </c>
    </row>
    <row r="447" spans="1:9" s="101" customFormat="1" ht="47.25" x14ac:dyDescent="0.25">
      <c r="A447" s="826" t="str">
        <f>IF(B447&gt;0,VLOOKUP(B447,КВСР!A71:B1236,2),IF(C447&gt;0,VLOOKUP(C447,КФСР!A71:B1583,2),IF(D447&gt;0,VLOOKUP(D447,Программа!A$1:B$5124,2),IF(F447&gt;0,VLOOKUP(F447,КВР!A$1:B$5001,2),IF(E447&gt;0,VLOOKUP(E447,Направление!A$1:B$4816,2))))))</f>
        <v>Предоставление субсидий бюджетным, автономным учреждениям и иным некоммерческим организациям</v>
      </c>
      <c r="B447" s="760"/>
      <c r="C447" s="820"/>
      <c r="D447" s="760"/>
      <c r="E447" s="760"/>
      <c r="F447" s="763">
        <v>600</v>
      </c>
      <c r="G447" s="812">
        <v>170562</v>
      </c>
      <c r="H447" s="812"/>
      <c r="I447" s="805">
        <f>G447+H447</f>
        <v>170562</v>
      </c>
    </row>
    <row r="448" spans="1:9" s="109" customFormat="1" ht="31.5" x14ac:dyDescent="0.25">
      <c r="A448" s="824" t="str">
        <f>IF(B448&gt;0,VLOOKUP(B448,КВСР!A76:B1241,2),IF(C448&gt;0,VLOOKUP(C448,КФСР!A76:B1588,2),IF(D448&gt;0,VLOOKUP(D448,Программа!A$1:B$5124,2),IF(F448&gt;0,VLOOKUP(F448,КВР!A$1:B$5001,2),IF(E448&gt;0,VLOOKUP(E448,Направление!A$1:B$4816,2))))))</f>
        <v>Департамент муниципального имущества Администрации ТМР</v>
      </c>
      <c r="B448" s="758">
        <v>952</v>
      </c>
      <c r="C448" s="820"/>
      <c r="D448" s="760"/>
      <c r="E448" s="760"/>
      <c r="F448" s="763"/>
      <c r="G448" s="811">
        <v>15622069</v>
      </c>
      <c r="H448" s="811">
        <f>H449+H492+H498+H506</f>
        <v>-215232</v>
      </c>
      <c r="I448" s="804">
        <f>I449+I492+I498+I506</f>
        <v>15406837</v>
      </c>
    </row>
    <row r="449" spans="1:9" s="109" customFormat="1" x14ac:dyDescent="0.25">
      <c r="A449" s="826" t="str">
        <f>IF(B449&gt;0,VLOOKUP(B449,КВСР!A77:B1242,2),IF(C449&gt;0,VLOOKUP(C449,КФСР!A77:B1589,2),IF(D449&gt;0,VLOOKUP(D449,Программа!A$1:B$5124,2),IF(F449&gt;0,VLOOKUP(F449,КВР!A$1:B$5001,2),IF(E449&gt;0,VLOOKUP(E449,Направление!A$1:B$4816,2))))))</f>
        <v>Другие общегосударственные вопросы</v>
      </c>
      <c r="B449" s="760"/>
      <c r="C449" s="827">
        <v>113</v>
      </c>
      <c r="D449" s="760"/>
      <c r="E449" s="760"/>
      <c r="F449" s="763"/>
      <c r="G449" s="812">
        <v>14152569</v>
      </c>
      <c r="H449" s="812">
        <f>H470+H463+H456+H450</f>
        <v>-70232</v>
      </c>
      <c r="I449" s="805">
        <f>I470+I463+I456+I450</f>
        <v>14082337</v>
      </c>
    </row>
    <row r="450" spans="1:9" s="109" customFormat="1" ht="47.25" x14ac:dyDescent="0.25">
      <c r="A450" s="826" t="str">
        <f>IF(B450&gt;0,VLOOKUP(B450,КВСР!A78:B1243,2),IF(C450&gt;0,VLOOKUP(C450,КФСР!A78:B1590,2),IF(D450&gt;0,VLOOKUP(D450,Программа!A$1:B$5124,2),IF(F450&gt;0,VLOOKUP(F450,КВР!A$1:B$5001,2),IF(E450&gt;0,VLOOKUP(E450,Направление!A$1:B$4816,2))))))</f>
        <v xml:space="preserve">Муниципальная программа "Управление земельно-имущественным комплексом Тутаевского муниципального района" </v>
      </c>
      <c r="B450" s="760"/>
      <c r="C450" s="820"/>
      <c r="D450" s="760" t="s">
        <v>529</v>
      </c>
      <c r="E450" s="760"/>
      <c r="F450" s="763"/>
      <c r="G450" s="812">
        <v>2262523</v>
      </c>
      <c r="H450" s="812">
        <f t="shared" ref="H450:H452" si="106">H451</f>
        <v>0</v>
      </c>
      <c r="I450" s="805">
        <f t="shared" si="28"/>
        <v>2262523</v>
      </c>
    </row>
    <row r="451" spans="1:9" s="109" customFormat="1" ht="31.5" x14ac:dyDescent="0.25">
      <c r="A451" s="826" t="str">
        <f>IF(B451&gt;0,VLOOKUP(B451,КВСР!A79:B1244,2),IF(C451&gt;0,VLOOKUP(C451,КФСР!A79:B1591,2),IF(D451&gt;0,VLOOKUP(D451,Программа!A$1:B$5124,2),IF(F451&gt;0,VLOOKUP(F451,КВР!A$1:B$5001,2),IF(E451&gt;0,VLOOKUP(E451,Направление!A$1:B$4816,2))))))</f>
        <v>Повышение качества управления имуществом и земельными ресурсами</v>
      </c>
      <c r="B451" s="760"/>
      <c r="C451" s="820"/>
      <c r="D451" s="760" t="s">
        <v>530</v>
      </c>
      <c r="E451" s="760"/>
      <c r="F451" s="763"/>
      <c r="G451" s="812">
        <v>2262523</v>
      </c>
      <c r="H451" s="812">
        <f>H452+H454</f>
        <v>0</v>
      </c>
      <c r="I451" s="805">
        <f t="shared" si="28"/>
        <v>2262523</v>
      </c>
    </row>
    <row r="452" spans="1:9" s="109" customFormat="1" ht="31.5" x14ac:dyDescent="0.25">
      <c r="A452" s="826" t="str">
        <f>IF(B452&gt;0,VLOOKUP(B452,КВСР!A80:B1245,2),IF(C452&gt;0,VLOOKUP(C452,КФСР!A80:B1592,2),IF(D452&gt;0,VLOOKUP(D452,Программа!A$1:B$5124,2),IF(F452&gt;0,VLOOKUP(F452,КВР!A$1:B$5001,2),IF(E452&gt;0,VLOOKUP(E452,Направление!A$1:B$4816,2))))))</f>
        <v>Комплекс кадастровых работ на объектах газораспределения</v>
      </c>
      <c r="B452" s="760"/>
      <c r="C452" s="820"/>
      <c r="D452" s="760"/>
      <c r="E452" s="760">
        <v>70620</v>
      </c>
      <c r="F452" s="763"/>
      <c r="G452" s="812">
        <v>2128223</v>
      </c>
      <c r="H452" s="812">
        <f t="shared" si="106"/>
        <v>0</v>
      </c>
      <c r="I452" s="805">
        <f t="shared" si="28"/>
        <v>2128223</v>
      </c>
    </row>
    <row r="453" spans="1:9" s="109" customFormat="1" ht="63" x14ac:dyDescent="0.25">
      <c r="A453" s="826" t="str">
        <f>IF(B453&gt;0,VLOOKUP(B453,КВСР!A81:B1246,2),IF(C453&gt;0,VLOOKUP(C453,КФСР!A81:B1593,2),IF(D453&gt;0,VLOOKUP(D453,Программа!A$1:B$5124,2),IF(F453&gt;0,VLOOKUP(F453,КВР!A$1:B$5001,2),IF(E453&gt;0,VLOOKUP(E453,Направление!A$1:B$4816,2))))))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760"/>
      <c r="C453" s="820"/>
      <c r="D453" s="760"/>
      <c r="E453" s="760"/>
      <c r="F453" s="763">
        <v>200</v>
      </c>
      <c r="G453" s="812">
        <v>2128223</v>
      </c>
      <c r="H453" s="812"/>
      <c r="I453" s="805">
        <f t="shared" si="28"/>
        <v>2128223</v>
      </c>
    </row>
    <row r="454" spans="1:9" s="109" customFormat="1" ht="31.5" x14ac:dyDescent="0.25">
      <c r="A454" s="826" t="str">
        <f>IF(B454&gt;0,VLOOKUP(B454,КВСР!A82:B1247,2),IF(C454&gt;0,VLOOKUP(C454,КФСР!A82:B1594,2),IF(D454&gt;0,VLOOKUP(D454,Программа!A$1:B$5124,2),IF(F454&gt;0,VLOOKUP(F454,КВР!A$1:B$5001,2),IF(E454&gt;0,VLOOKUP(E454,Направление!A$1:B$4816,2))))))</f>
        <v>Комплекс кадастровых работ на объектах газораспределения</v>
      </c>
      <c r="B454" s="760"/>
      <c r="C454" s="820"/>
      <c r="D454" s="760"/>
      <c r="E454" s="760">
        <v>70626</v>
      </c>
      <c r="F454" s="763"/>
      <c r="G454" s="812">
        <v>134300</v>
      </c>
      <c r="H454" s="812">
        <f t="shared" ref="H454" si="107">H455</f>
        <v>0</v>
      </c>
      <c r="I454" s="805">
        <f t="shared" si="28"/>
        <v>134300</v>
      </c>
    </row>
    <row r="455" spans="1:9" s="109" customFormat="1" ht="63" x14ac:dyDescent="0.25">
      <c r="A455" s="826" t="str">
        <f>IF(B455&gt;0,VLOOKUP(B455,КВСР!A83:B1248,2),IF(C455&gt;0,VLOOKUP(C455,КФСР!A83:B1595,2),IF(D455&gt;0,VLOOKUP(D455,Программа!A$1:B$5124,2),IF(F455&gt;0,VLOOKUP(F455,КВР!A$1:B$5001,2),IF(E455&gt;0,VLOOKUP(E455,Направление!A$1:B$4816,2))))))</f>
        <v xml:space="preserve">Закупка товаров, работ и услуг для обеспечения государственных (муниципальных) нужд
</v>
      </c>
      <c r="B455" s="760"/>
      <c r="C455" s="820"/>
      <c r="D455" s="760"/>
      <c r="E455" s="760"/>
      <c r="F455" s="763">
        <v>200</v>
      </c>
      <c r="G455" s="812">
        <v>134300</v>
      </c>
      <c r="H455" s="812"/>
      <c r="I455" s="805">
        <f t="shared" si="28"/>
        <v>134300</v>
      </c>
    </row>
    <row r="456" spans="1:9" s="109" customFormat="1" ht="94.5" x14ac:dyDescent="0.25">
      <c r="A456" s="826" t="str">
        <f>IF(B456&gt;0,VLOOKUP(B456,КВСР!A78:B1243,2),IF(C456&gt;0,VLOOKUP(C456,КФСР!A78:B1590,2),IF(D456&gt;0,VLOOKUP(D456,Программа!A$1:B$5124,2),IF(F456&gt;0,VLOOKUP(F456,КВР!A$1:B$5001,2),IF(E456&gt;0,VLOOKUP(E456,Направление!A$1:B$4816,2))))))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56" s="760"/>
      <c r="C456" s="820"/>
      <c r="D456" s="760" t="s">
        <v>322</v>
      </c>
      <c r="E456" s="760"/>
      <c r="F456" s="763"/>
      <c r="G456" s="812">
        <v>100000</v>
      </c>
      <c r="H456" s="812">
        <f>H457+H460</f>
        <v>0</v>
      </c>
      <c r="I456" s="805">
        <f>I457+I460</f>
        <v>100000</v>
      </c>
    </row>
    <row r="457" spans="1:9" s="109" customFormat="1" ht="78.75" hidden="1" x14ac:dyDescent="0.25">
      <c r="A457" s="826" t="str">
        <f>IF(B457&gt;0,VLOOKUP(B457,КВСР!A79:B1244,2),IF(C457&gt;0,VLOOKUP(C457,КФСР!A79:B1591,2),IF(D457&gt;0,VLOOKUP(D457,Программа!A$1:B$5124,2),IF(F457&gt;0,VLOOKUP(F457,КВР!A$1:B$5001,2),IF(E457&gt;0,VLOOKUP(E457,Направление!A$1:B$4816,2))))))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7" s="760"/>
      <c r="C457" s="820"/>
      <c r="D457" s="760" t="s">
        <v>323</v>
      </c>
      <c r="E457" s="760"/>
      <c r="F457" s="763"/>
      <c r="G457" s="812">
        <v>0</v>
      </c>
      <c r="H457" s="812">
        <f t="shared" ref="H457:I458" si="108">H458</f>
        <v>0</v>
      </c>
      <c r="I457" s="805">
        <f t="shared" si="108"/>
        <v>0</v>
      </c>
    </row>
    <row r="458" spans="1:9" s="109" customFormat="1" ht="31.5" hidden="1" x14ac:dyDescent="0.25">
      <c r="A458" s="826" t="str">
        <f>IF(B458&gt;0,VLOOKUP(B458,КВСР!A80:B1245,2),IF(C458&gt;0,VLOOKUP(C458,КФСР!A80:B1592,2),IF(D458&gt;0,VLOOKUP(D458,Программа!A$1:B$5124,2),IF(F458&gt;0,VLOOKUP(F458,КВР!A$1:B$5001,2),IF(E458&gt;0,VLOOKUP(E458,Направление!A$1:B$4816,2))))))</f>
        <v>Расходы на развитие муниципальной службы</v>
      </c>
      <c r="B458" s="760"/>
      <c r="C458" s="820"/>
      <c r="D458" s="760"/>
      <c r="E458" s="760">
        <v>12200</v>
      </c>
      <c r="F458" s="763"/>
      <c r="G458" s="812">
        <v>0</v>
      </c>
      <c r="H458" s="812">
        <f t="shared" si="108"/>
        <v>0</v>
      </c>
      <c r="I458" s="805">
        <f t="shared" si="108"/>
        <v>0</v>
      </c>
    </row>
    <row r="459" spans="1:9" s="109" customFormat="1" ht="63" hidden="1" x14ac:dyDescent="0.25">
      <c r="A459" s="826" t="str">
        <f>IF(B459&gt;0,VLOOKUP(B459,КВСР!A81:B1246,2),IF(C459&gt;0,VLOOKUP(C459,КФСР!A81:B1593,2),IF(D459&gt;0,VLOOKUP(D459,Программа!A$1:B$5124,2),IF(F459&gt;0,VLOOKUP(F459,КВР!A$1:B$5001,2),IF(E459&gt;0,VLOOKUP(E459,Направление!A$1:B$4816,2))))))</f>
        <v xml:space="preserve">Закупка товаров, работ и услуг для обеспечения государственных (муниципальных) нужд
</v>
      </c>
      <c r="B459" s="760"/>
      <c r="C459" s="820"/>
      <c r="D459" s="760"/>
      <c r="E459" s="760"/>
      <c r="F459" s="763">
        <v>200</v>
      </c>
      <c r="G459" s="812">
        <v>0</v>
      </c>
      <c r="H459" s="812"/>
      <c r="I459" s="805">
        <f t="shared" si="28"/>
        <v>0</v>
      </c>
    </row>
    <row r="460" spans="1:9" s="109" customFormat="1" ht="94.5" x14ac:dyDescent="0.25">
      <c r="A460" s="826" t="str">
        <f>IF(B460&gt;0,VLOOKUP(B460,КВСР!A82:B1247,2),IF(C460&gt;0,VLOOKUP(C460,КФСР!A82:B1594,2),IF(D460&gt;0,VLOOKUP(D460,Программа!A$1:B$5124,2),IF(F460&gt;0,VLOOKUP(F460,КВР!A$1:B$5001,2),IF(E460&gt;0,VLOOKUP(E460,Направление!A$1:B$4816,2))))))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0" s="760"/>
      <c r="C460" s="820"/>
      <c r="D460" s="760" t="s">
        <v>1516</v>
      </c>
      <c r="E460" s="760"/>
      <c r="F460" s="763"/>
      <c r="G460" s="812">
        <v>100000</v>
      </c>
      <c r="H460" s="812">
        <f t="shared" ref="H460:I461" si="109">H461</f>
        <v>0</v>
      </c>
      <c r="I460" s="805">
        <f t="shared" si="109"/>
        <v>100000</v>
      </c>
    </row>
    <row r="461" spans="1:9" s="109" customFormat="1" ht="31.5" x14ac:dyDescent="0.25">
      <c r="A461" s="826" t="str">
        <f>IF(B461&gt;0,VLOOKUP(B461,КВСР!A83:B1248,2),IF(C461&gt;0,VLOOKUP(C461,КФСР!A83:B1595,2),IF(D461&gt;0,VLOOKUP(D461,Программа!A$1:B$5124,2),IF(F461&gt;0,VLOOKUP(F461,КВР!A$1:B$5001,2),IF(E461&gt;0,VLOOKUP(E461,Направление!A$1:B$4816,2))))))</f>
        <v>Внедрение проектной деятельности и бережливых технологий</v>
      </c>
      <c r="B461" s="760"/>
      <c r="C461" s="820"/>
      <c r="D461" s="760"/>
      <c r="E461" s="760">
        <v>12300</v>
      </c>
      <c r="F461" s="763"/>
      <c r="G461" s="812">
        <v>100000</v>
      </c>
      <c r="H461" s="812">
        <f t="shared" si="109"/>
        <v>0</v>
      </c>
      <c r="I461" s="805">
        <f t="shared" si="109"/>
        <v>100000</v>
      </c>
    </row>
    <row r="462" spans="1:9" s="109" customFormat="1" ht="110.25" x14ac:dyDescent="0.25">
      <c r="A462" s="826" t="str">
        <f>IF(B462&gt;0,VLOOKUP(B462,КВСР!A84:B1249,2),IF(C462&gt;0,VLOOKUP(C462,КФСР!A84:B1596,2),IF(D462&gt;0,VLOOKUP(D462,Программа!A$1:B$5124,2),IF(F462&gt;0,VLOOKUP(F462,КВР!A$1:B$5001,2),IF(E462&gt;0,VLOOKUP(E462,Направление!A$1:B$4816,2))))))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760"/>
      <c r="C462" s="820"/>
      <c r="D462" s="760"/>
      <c r="E462" s="760"/>
      <c r="F462" s="763">
        <v>100</v>
      </c>
      <c r="G462" s="812">
        <v>100000</v>
      </c>
      <c r="H462" s="812"/>
      <c r="I462" s="805">
        <f>G462+H462</f>
        <v>100000</v>
      </c>
    </row>
    <row r="463" spans="1:9" s="109" customFormat="1" ht="63" x14ac:dyDescent="0.25">
      <c r="A463" s="826" t="str">
        <f>IF(B463&gt;0,VLOOKUP(B463,КВСР!A78:B1243,2),IF(C463&gt;0,VLOOKUP(C463,КФСР!A78:B1590,2),IF(D463&gt;0,VLOOKUP(D463,Программа!A$1:B$5124,2),IF(F463&gt;0,VLOOKUP(F463,КВР!A$1:B$5001,2),IF(E463&gt;0,VLOOKUP(E463,Направление!A$1:B$4816,2))))))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463" s="760"/>
      <c r="C463" s="820"/>
      <c r="D463" s="760" t="s">
        <v>326</v>
      </c>
      <c r="E463" s="760"/>
      <c r="F463" s="763"/>
      <c r="G463" s="812">
        <v>190500</v>
      </c>
      <c r="H463" s="812">
        <f>H464+H467</f>
        <v>0</v>
      </c>
      <c r="I463" s="805">
        <f>I464+I467</f>
        <v>190500</v>
      </c>
    </row>
    <row r="464" spans="1:9" s="109" customFormat="1" ht="31.5" x14ac:dyDescent="0.25">
      <c r="A464" s="826" t="str">
        <f>IF(B464&gt;0,VLOOKUP(B464,КВСР!A79:B1244,2),IF(C464&gt;0,VLOOKUP(C464,КФСР!A79:B1591,2),IF(D464&gt;0,VLOOKUP(D464,Программа!A$1:B$5124,2),IF(F464&gt;0,VLOOKUP(F464,КВР!A$1:B$5001,2),IF(E464&gt;0,VLOOKUP(E464,Направление!A$1:B$4816,2))))))</f>
        <v>Бесперебойное функционирование информационных систем</v>
      </c>
      <c r="B464" s="760"/>
      <c r="C464" s="820"/>
      <c r="D464" s="760" t="s">
        <v>360</v>
      </c>
      <c r="E464" s="760"/>
      <c r="F464" s="763"/>
      <c r="G464" s="812">
        <v>190500</v>
      </c>
      <c r="H464" s="812">
        <f>H465</f>
        <v>0</v>
      </c>
      <c r="I464" s="805">
        <f>I465</f>
        <v>190500</v>
      </c>
    </row>
    <row r="465" spans="1:9" s="109" customFormat="1" ht="31.5" x14ac:dyDescent="0.25">
      <c r="A465" s="826" t="str">
        <f>IF(B465&gt;0,VLOOKUP(B465,КВСР!A80:B1245,2),IF(C465&gt;0,VLOOKUP(C465,КФСР!A80:B1592,2),IF(D465&gt;0,VLOOKUP(D465,Программа!A$1:B$5124,2),IF(F465&gt;0,VLOOKUP(F465,КВР!A$1:B$5001,2),IF(E465&gt;0,VLOOKUP(E465,Направление!A$1:B$4816,2))))))</f>
        <v>Расходы на проведение мероприятий по информатизации</v>
      </c>
      <c r="B465" s="760"/>
      <c r="C465" s="820"/>
      <c r="D465" s="760"/>
      <c r="E465" s="760">
        <v>12210</v>
      </c>
      <c r="F465" s="763"/>
      <c r="G465" s="812">
        <v>190500</v>
      </c>
      <c r="H465" s="812">
        <f>H466</f>
        <v>0</v>
      </c>
      <c r="I465" s="805">
        <f>I466</f>
        <v>190500</v>
      </c>
    </row>
    <row r="466" spans="1:9" s="109" customFormat="1" ht="63" x14ac:dyDescent="0.25">
      <c r="A466" s="826" t="str">
        <f>IF(B466&gt;0,VLOOKUP(B466,КВСР!A81:B1246,2),IF(C466&gt;0,VLOOKUP(C466,КФСР!A81:B1593,2),IF(D466&gt;0,VLOOKUP(D466,Программа!A$1:B$5124,2),IF(F466&gt;0,VLOOKUP(F466,КВР!A$1:B$5001,2),IF(E466&gt;0,VLOOKUP(E466,Направление!A$1:B$4816,2))))))</f>
        <v xml:space="preserve">Закупка товаров, работ и услуг для обеспечения государственных (муниципальных) нужд
</v>
      </c>
      <c r="B466" s="760"/>
      <c r="C466" s="820"/>
      <c r="D466" s="760"/>
      <c r="E466" s="760"/>
      <c r="F466" s="763">
        <v>200</v>
      </c>
      <c r="G466" s="812">
        <v>190500</v>
      </c>
      <c r="H466" s="812"/>
      <c r="I466" s="805">
        <f t="shared" si="28"/>
        <v>190500</v>
      </c>
    </row>
    <row r="467" spans="1:9" s="109" customFormat="1" ht="63" hidden="1" x14ac:dyDescent="0.25">
      <c r="A467" s="826" t="str">
        <f>IF(B467&gt;0,VLOOKUP(B467,КВСР!A82:B1247,2),IF(C467&gt;0,VLOOKUP(C467,КФСР!A82:B1594,2),IF(D467&gt;0,VLOOKUP(D467,Программа!A$1:B$5124,2),IF(F467&gt;0,VLOOKUP(F467,КВР!A$1:B$5001,2),IF(E467&gt;0,VLOOKUP(E467,Направление!A$1:B$4816,2))))))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7" s="760"/>
      <c r="C467" s="820"/>
      <c r="D467" s="760" t="s">
        <v>328</v>
      </c>
      <c r="E467" s="760"/>
      <c r="F467" s="763"/>
      <c r="G467" s="812">
        <v>0</v>
      </c>
      <c r="H467" s="812">
        <f>H468</f>
        <v>0</v>
      </c>
      <c r="I467" s="805">
        <f t="shared" si="28"/>
        <v>0</v>
      </c>
    </row>
    <row r="468" spans="1:9" s="109" customFormat="1" ht="31.5" hidden="1" x14ac:dyDescent="0.25">
      <c r="A468" s="826" t="str">
        <f>IF(B468&gt;0,VLOOKUP(B468,КВСР!A83:B1248,2),IF(C468&gt;0,VLOOKUP(C468,КФСР!A83:B1595,2),IF(D468&gt;0,VLOOKUP(D468,Программа!A$1:B$5124,2),IF(F468&gt;0,VLOOKUP(F468,КВР!A$1:B$5001,2),IF(E468&gt;0,VLOOKUP(E468,Направление!A$1:B$4816,2))))))</f>
        <v>Расходы на проведение мероприятий по информатизации</v>
      </c>
      <c r="B468" s="760"/>
      <c r="C468" s="820"/>
      <c r="D468" s="760"/>
      <c r="E468" s="760">
        <v>12210</v>
      </c>
      <c r="F468" s="763"/>
      <c r="G468" s="812">
        <v>0</v>
      </c>
      <c r="H468" s="812">
        <f>H469</f>
        <v>0</v>
      </c>
      <c r="I468" s="805">
        <f t="shared" si="28"/>
        <v>0</v>
      </c>
    </row>
    <row r="469" spans="1:9" s="109" customFormat="1" ht="63" hidden="1" x14ac:dyDescent="0.25">
      <c r="A469" s="826" t="str">
        <f>IF(B469&gt;0,VLOOKUP(B469,КВСР!A83:B1248,2),IF(C469&gt;0,VLOOKUP(C469,КФСР!A83:B1595,2),IF(D469&gt;0,VLOOKUP(D469,Программа!A$1:B$5124,2),IF(F469&gt;0,VLOOKUP(F469,КВР!A$1:B$5001,2),IF(E469&gt;0,VLOOKUP(E469,Направление!A$1:B$4816,2))))))</f>
        <v xml:space="preserve">Закупка товаров, работ и услуг для обеспечения государственных (муниципальных) нужд
</v>
      </c>
      <c r="B469" s="760"/>
      <c r="C469" s="820"/>
      <c r="D469" s="760"/>
      <c r="E469" s="760"/>
      <c r="F469" s="763">
        <v>200</v>
      </c>
      <c r="G469" s="812">
        <v>0</v>
      </c>
      <c r="H469" s="812"/>
      <c r="I469" s="805">
        <f t="shared" si="28"/>
        <v>0</v>
      </c>
    </row>
    <row r="470" spans="1:9" s="109" customFormat="1" x14ac:dyDescent="0.25">
      <c r="A470" s="826" t="str">
        <f>IF(B470&gt;0,VLOOKUP(B470,КВСР!A78:B1243,2),IF(C470&gt;0,VLOOKUP(C470,КФСР!A78:B1590,2),IF(D470&gt;0,VLOOKUP(D470,Программа!A$1:B$5124,2),IF(F470&gt;0,VLOOKUP(F470,КВР!A$1:B$5001,2),IF(E470&gt;0,VLOOKUP(E470,Направление!A$1:B$4816,2))))))</f>
        <v>Непрограммные расходы бюджета</v>
      </c>
      <c r="B470" s="760"/>
      <c r="C470" s="820"/>
      <c r="D470" s="760" t="s">
        <v>311</v>
      </c>
      <c r="E470" s="760"/>
      <c r="F470" s="763"/>
      <c r="G470" s="812">
        <v>11599546</v>
      </c>
      <c r="H470" s="812">
        <f>H471+H476+H478+H480+H1577+H483+H485+H487+H490</f>
        <v>-70232</v>
      </c>
      <c r="I470" s="805">
        <f>I471+I476+I478+I480+I1577+I483+I485+I487+I490</f>
        <v>11529314</v>
      </c>
    </row>
    <row r="471" spans="1:9" s="109" customFormat="1" x14ac:dyDescent="0.25">
      <c r="A471" s="826" t="str">
        <f>IF(B471&gt;0,VLOOKUP(B471,КВСР!A79:B1244,2),IF(C471&gt;0,VLOOKUP(C471,КФСР!A79:B1591,2),IF(D471&gt;0,VLOOKUP(D471,Программа!A$1:B$5124,2),IF(F471&gt;0,VLOOKUP(F471,КВР!A$1:B$5001,2),IF(E471&gt;0,VLOOKUP(E471,Направление!A$1:B$4816,2))))))</f>
        <v>Содержание центрального аппарата</v>
      </c>
      <c r="B471" s="760"/>
      <c r="C471" s="820"/>
      <c r="D471" s="760"/>
      <c r="E471" s="760">
        <v>12010</v>
      </c>
      <c r="F471" s="763"/>
      <c r="G471" s="812">
        <v>7599521</v>
      </c>
      <c r="H471" s="812">
        <f>H472+H473+H475+H474</f>
        <v>104768</v>
      </c>
      <c r="I471" s="805">
        <f>I472+I473+I475+I474</f>
        <v>7704289</v>
      </c>
    </row>
    <row r="472" spans="1:9" s="109" customFormat="1" ht="110.25" x14ac:dyDescent="0.25">
      <c r="A472" s="826" t="str">
        <f>IF(B472&gt;0,VLOOKUP(B472,КВСР!A80:B1245,2),IF(C472&gt;0,VLOOKUP(C472,КФСР!A80:B1592,2),IF(D472&gt;0,VLOOKUP(D472,Программа!A$1:B$5124,2),IF(F472&gt;0,VLOOKUP(F472,КВР!A$1:B$5001,2),IF(E472&gt;0,VLOOKUP(E472,Направление!A$1:B$4816,2))))))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2" s="760"/>
      <c r="C472" s="820"/>
      <c r="D472" s="760"/>
      <c r="E472" s="760"/>
      <c r="F472" s="763">
        <v>100</v>
      </c>
      <c r="G472" s="812">
        <v>7232821</v>
      </c>
      <c r="H472" s="812">
        <f>-10000+104768+10000</f>
        <v>104768</v>
      </c>
      <c r="I472" s="805">
        <f t="shared" si="28"/>
        <v>7337589</v>
      </c>
    </row>
    <row r="473" spans="1:9" s="109" customFormat="1" ht="63" x14ac:dyDescent="0.25">
      <c r="A473" s="826" t="str">
        <f>IF(B473&gt;0,VLOOKUP(B473,КВСР!A81:B1246,2),IF(C473&gt;0,VLOOKUP(C473,КФСР!A81:B1593,2),IF(D473&gt;0,VLOOKUP(D473,Программа!A$1:B$5124,2),IF(F473&gt;0,VLOOKUP(F473,КВР!A$1:B$5001,2),IF(E473&gt;0,VLOOKUP(E473,Направление!A$1:B$4816,2))))))</f>
        <v xml:space="preserve">Закупка товаров, работ и услуг для обеспечения государственных (муниципальных) нужд
</v>
      </c>
      <c r="B473" s="760"/>
      <c r="C473" s="820"/>
      <c r="D473" s="760"/>
      <c r="E473" s="760"/>
      <c r="F473" s="763">
        <v>200</v>
      </c>
      <c r="G473" s="812">
        <v>366700</v>
      </c>
      <c r="H473" s="812"/>
      <c r="I473" s="805">
        <f t="shared" si="28"/>
        <v>366700</v>
      </c>
    </row>
    <row r="474" spans="1:9" s="109" customFormat="1" ht="31.5" hidden="1" x14ac:dyDescent="0.25">
      <c r="A474" s="826" t="str">
        <f>IF(B474&gt;0,VLOOKUP(B474,КВСР!A82:B1247,2),IF(C474&gt;0,VLOOKUP(C474,КФСР!A82:B1594,2),IF(D474&gt;0,VLOOKUP(D474,Программа!A$1:B$5124,2),IF(F474&gt;0,VLOOKUP(F474,КВР!A$1:B$5001,2),IF(E474&gt;0,VLOOKUP(E474,Направление!A$1:B$4816,2))))))</f>
        <v>Социальное обеспечение и иные выплаты населению</v>
      </c>
      <c r="B474" s="760"/>
      <c r="C474" s="820"/>
      <c r="D474" s="760"/>
      <c r="E474" s="760"/>
      <c r="F474" s="763">
        <v>300</v>
      </c>
      <c r="G474" s="812">
        <v>0</v>
      </c>
      <c r="H474" s="812"/>
      <c r="I474" s="805">
        <f>G474+H474</f>
        <v>0</v>
      </c>
    </row>
    <row r="475" spans="1:9" s="109" customFormat="1" hidden="1" x14ac:dyDescent="0.25">
      <c r="A475" s="826" t="str">
        <f>IF(B475&gt;0,VLOOKUP(B475,КВСР!A83:B1248,2),IF(C475&gt;0,VLOOKUP(C475,КФСР!A83:B1595,2),IF(D475&gt;0,VLOOKUP(D475,Программа!A$1:B$5124,2),IF(F475&gt;0,VLOOKUP(F475,КВР!A$1:B$5001,2),IF(E475&gt;0,VLOOKUP(E475,Направление!A$1:B$4816,2))))))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760"/>
      <c r="C475" s="820"/>
      <c r="D475" s="760"/>
      <c r="E475" s="760"/>
      <c r="F475" s="763">
        <v>800</v>
      </c>
      <c r="G475" s="812">
        <v>0</v>
      </c>
      <c r="H475" s="812"/>
      <c r="I475" s="805">
        <f>G475+H475</f>
        <v>0</v>
      </c>
    </row>
    <row r="476" spans="1:9" s="109" customFormat="1" ht="31.5" x14ac:dyDescent="0.25">
      <c r="A476" s="826" t="str">
        <f>IF(B476&gt;0,VLOOKUP(B476,КВСР!A83:B1248,2),IF(C476&gt;0,VLOOKUP(C476,КФСР!A83:B1595,2),IF(D476&gt;0,VLOOKUP(D476,Программа!A$1:B$5124,2),IF(F476&gt;0,VLOOKUP(F476,КВР!A$1:B$5001,2),IF(E476&gt;0,VLOOKUP(E476,Направление!A$1:B$4816,2))))))</f>
        <v>Выполнение других обязательств органов местного самоуправления</v>
      </c>
      <c r="B476" s="760"/>
      <c r="C476" s="820"/>
      <c r="D476" s="760"/>
      <c r="E476" s="760">
        <v>12080</v>
      </c>
      <c r="F476" s="763"/>
      <c r="G476" s="812">
        <v>2800934</v>
      </c>
      <c r="H476" s="812">
        <f>H477</f>
        <v>0</v>
      </c>
      <c r="I476" s="805">
        <f>I477</f>
        <v>2800934</v>
      </c>
    </row>
    <row r="477" spans="1:9" s="109" customFormat="1" ht="63" x14ac:dyDescent="0.25">
      <c r="A477" s="826" t="str">
        <f>IF(B477&gt;0,VLOOKUP(B477,КВСР!A84:B1249,2),IF(C477&gt;0,VLOOKUP(C477,КФСР!A84:B1596,2),IF(D477&gt;0,VLOOKUP(D477,Программа!A$1:B$5124,2),IF(F477&gt;0,VLOOKUP(F477,КВР!A$1:B$5001,2),IF(E477&gt;0,VLOOKUP(E477,Направление!A$1:B$4816,2))))))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760"/>
      <c r="C477" s="820"/>
      <c r="D477" s="760"/>
      <c r="E477" s="760"/>
      <c r="F477" s="763">
        <v>200</v>
      </c>
      <c r="G477" s="812">
        <v>2800934</v>
      </c>
      <c r="H477" s="812">
        <f>-73175.27+73175.27</f>
        <v>0</v>
      </c>
      <c r="I477" s="805">
        <f t="shared" si="28"/>
        <v>2800934</v>
      </c>
    </row>
    <row r="478" spans="1:9" s="109" customFormat="1" ht="47.25" x14ac:dyDescent="0.25">
      <c r="A478" s="826" t="str">
        <f>IF(B478&gt;0,VLOOKUP(B478,КВСР!A83:B1248,2),IF(C478&gt;0,VLOOKUP(C478,КФСР!A83:B1595,2),IF(D478&gt;0,VLOOKUP(D478,Программа!A$1:B$5124,2),IF(F478&gt;0,VLOOKUP(F478,КВР!A$1:B$5001,2),IF(E478&gt;0,VLOOKUP(E478,Направление!A$1:B$4816,2))))))</f>
        <v>Оценка недвижимости, признание прав и регулирование отношений по муниципальной собственности</v>
      </c>
      <c r="B478" s="760"/>
      <c r="C478" s="820"/>
      <c r="D478" s="760"/>
      <c r="E478" s="760">
        <v>12090</v>
      </c>
      <c r="F478" s="763"/>
      <c r="G478" s="812">
        <v>470000</v>
      </c>
      <c r="H478" s="812">
        <f>H479</f>
        <v>-135514.6</v>
      </c>
      <c r="I478" s="805">
        <f>I479</f>
        <v>334485.40000000002</v>
      </c>
    </row>
    <row r="479" spans="1:9" s="109" customFormat="1" ht="63" x14ac:dyDescent="0.25">
      <c r="A479" s="826" t="str">
        <f>IF(B479&gt;0,VLOOKUP(B479,КВСР!A84:B1249,2),IF(C479&gt;0,VLOOKUP(C479,КФСР!A84:B1596,2),IF(D479&gt;0,VLOOKUP(D479,Программа!A$1:B$5124,2),IF(F479&gt;0,VLOOKUP(F479,КВР!A$1:B$5001,2),IF(E479&gt;0,VLOOKUP(E479,Направление!A$1:B$4816,2))))))</f>
        <v xml:space="preserve">Закупка товаров, работ и услуг для обеспечения государственных (муниципальных) нужд
</v>
      </c>
      <c r="B479" s="760"/>
      <c r="C479" s="820"/>
      <c r="D479" s="760"/>
      <c r="E479" s="760"/>
      <c r="F479" s="763">
        <v>200</v>
      </c>
      <c r="G479" s="812">
        <v>470000</v>
      </c>
      <c r="H479" s="812">
        <f>-65514.6-70000</f>
        <v>-135514.6</v>
      </c>
      <c r="I479" s="805">
        <f t="shared" si="28"/>
        <v>334485.40000000002</v>
      </c>
    </row>
    <row r="480" spans="1:9" s="109" customFormat="1" ht="47.25" x14ac:dyDescent="0.25">
      <c r="A480" s="826" t="str">
        <f>IF(B480&gt;0,VLOOKUP(B480,КВСР!A90:B1255,2),IF(C480&gt;0,VLOOKUP(C480,КФСР!A90:B1602,2),IF(D480&gt;0,VLOOKUP(D480,Программа!A$1:B$5124,2),IF(F480&gt;0,VLOOKUP(F480,КВР!A$1:B$5001,2),IF(E480&gt;0,VLOOKUP(E480,Направление!A$1:B$4816,2))))))</f>
        <v>Исполнение судебных актов, актов других органов и должностных лиц, иных документов</v>
      </c>
      <c r="B480" s="760"/>
      <c r="C480" s="820"/>
      <c r="D480" s="760"/>
      <c r="E480" s="760">
        <v>12130</v>
      </c>
      <c r="F480" s="763"/>
      <c r="G480" s="812">
        <v>245896</v>
      </c>
      <c r="H480" s="812">
        <f>+H481+H482</f>
        <v>75514.600000000006</v>
      </c>
      <c r="I480" s="805">
        <f>+I481+I482</f>
        <v>321410.59999999998</v>
      </c>
    </row>
    <row r="481" spans="1:9" s="109" customFormat="1" ht="63" x14ac:dyDescent="0.25">
      <c r="A481" s="826" t="str">
        <f>IF(B481&gt;0,VLOOKUP(B481,КВСР!A92:B1257,2),IF(C481&gt;0,VLOOKUP(C481,КФСР!A92:B1604,2),IF(D481&gt;0,VLOOKUP(D481,Программа!A$1:B$5124,2),IF(F481&gt;0,VLOOKUP(F481,КВР!A$1:B$5001,2),IF(E481&gt;0,VLOOKUP(E481,Направление!A$1:B$4816,2))))))</f>
        <v xml:space="preserve">Закупка товаров, работ и услуг для обеспечения государственных (муниципальных) нужд
</v>
      </c>
      <c r="B481" s="760"/>
      <c r="C481" s="820"/>
      <c r="D481" s="760"/>
      <c r="E481" s="760"/>
      <c r="F481" s="763">
        <v>200</v>
      </c>
      <c r="G481" s="812">
        <v>199219</v>
      </c>
      <c r="H481" s="812"/>
      <c r="I481" s="805">
        <f t="shared" ref="I481:I614" si="110">SUM(G481:H481)</f>
        <v>199219</v>
      </c>
    </row>
    <row r="482" spans="1:9" s="109" customFormat="1" x14ac:dyDescent="0.25">
      <c r="A482" s="826" t="str">
        <f>IF(B482&gt;0,VLOOKUP(B482,КВСР!A93:B1258,2),IF(C482&gt;0,VLOOKUP(C482,КФСР!A93:B1605,2),IF(D482&gt;0,VLOOKUP(D482,Программа!A$1:B$5124,2),IF(F482&gt;0,VLOOKUP(F482,КВР!A$1:B$5001,2),IF(E482&gt;0,VLOOKUP(E482,Направление!A$1:B$4816,2))))))</f>
        <v>Иные бюджетные ассигнования</v>
      </c>
      <c r="B482" s="760"/>
      <c r="C482" s="820"/>
      <c r="D482" s="760"/>
      <c r="E482" s="760"/>
      <c r="F482" s="763">
        <v>800</v>
      </c>
      <c r="G482" s="812">
        <v>46677</v>
      </c>
      <c r="H482" s="812">
        <v>75514.600000000006</v>
      </c>
      <c r="I482" s="805">
        <f t="shared" si="110"/>
        <v>122191.6</v>
      </c>
    </row>
    <row r="483" spans="1:9" s="109" customFormat="1" ht="94.5" x14ac:dyDescent="0.25">
      <c r="A483" s="826" t="str">
        <f>IF(B483&gt;0,VLOOKUP(B483,КВСР!A93:B1258,2),IF(C483&gt;0,VLOOKUP(C483,КФСР!A93:B1605,2),IF(D483&gt;0,VLOOKUP(D483,Программа!A$1:B$5124,2),IF(F483&gt;0,VLOOKUP(F483,КВР!A$1:B$5001,2),IF(E483&gt;0,VLOOKUP(E483,Направление!A$1:B$4816,2))))))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83" s="760"/>
      <c r="C483" s="820"/>
      <c r="D483" s="760"/>
      <c r="E483" s="760">
        <v>29026</v>
      </c>
      <c r="F483" s="763"/>
      <c r="G483" s="812">
        <v>180000</v>
      </c>
      <c r="H483" s="812">
        <f>H484</f>
        <v>-95000</v>
      </c>
      <c r="I483" s="805">
        <f>I484</f>
        <v>85000</v>
      </c>
    </row>
    <row r="484" spans="1:9" s="109" customFormat="1" ht="63" x14ac:dyDescent="0.25">
      <c r="A484" s="826" t="str">
        <f>IF(B484&gt;0,VLOOKUP(B484,КВСР!A94:B1259,2),IF(C484&gt;0,VLOOKUP(C484,КФСР!A94:B1606,2),IF(D484&gt;0,VLOOKUP(D484,Программа!A$1:B$5124,2),IF(F484&gt;0,VLOOKUP(F484,КВР!A$1:B$5001,2),IF(E484&gt;0,VLOOKUP(E484,Направление!A$1:B$4816,2))))))</f>
        <v xml:space="preserve">Закупка товаров, работ и услуг для обеспечения государственных (муниципальных) нужд
</v>
      </c>
      <c r="B484" s="760"/>
      <c r="C484" s="820"/>
      <c r="D484" s="760"/>
      <c r="E484" s="760"/>
      <c r="F484" s="763">
        <v>200</v>
      </c>
      <c r="G484" s="812">
        <v>180000</v>
      </c>
      <c r="H484" s="812">
        <f>-15000-80000</f>
        <v>-95000</v>
      </c>
      <c r="I484" s="805">
        <f t="shared" si="110"/>
        <v>85000</v>
      </c>
    </row>
    <row r="485" spans="1:9" s="109" customFormat="1" ht="63" x14ac:dyDescent="0.25">
      <c r="A485" s="826" t="str">
        <f>IF(B485&gt;0,VLOOKUP(B485,КВСР!A95:B1260,2),IF(C485&gt;0,VLOOKUP(C485,КФСР!A95:B1607,2),IF(D485&gt;0,VLOOKUP(D485,Программа!A$1:B$5124,2),IF(F485&gt;0,VLOOKUP(F485,КВР!A$1:B$5001,2),IF(E485&gt;0,VLOOKUP(E485,Направление!A$1:B$4816,2))))))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85" s="760"/>
      <c r="C485" s="820"/>
      <c r="D485" s="760"/>
      <c r="E485" s="760">
        <v>29556</v>
      </c>
      <c r="F485" s="763"/>
      <c r="G485" s="812">
        <v>220000</v>
      </c>
      <c r="H485" s="812">
        <f t="shared" ref="H485:I485" si="111">H486</f>
        <v>-20000</v>
      </c>
      <c r="I485" s="805">
        <f t="shared" si="111"/>
        <v>200000</v>
      </c>
    </row>
    <row r="486" spans="1:9" s="109" customFormat="1" ht="63" x14ac:dyDescent="0.25">
      <c r="A486" s="826" t="str">
        <f>IF(B486&gt;0,VLOOKUP(B486,КВСР!A96:B1261,2),IF(C486&gt;0,VLOOKUP(C486,КФСР!A96:B1608,2),IF(D486&gt;0,VLOOKUP(D486,Программа!A$1:B$5124,2),IF(F486&gt;0,VLOOKUP(F486,КВР!A$1:B$5001,2),IF(E486&gt;0,VLOOKUP(E486,Направление!A$1:B$4816,2))))))</f>
        <v xml:space="preserve">Закупка товаров, работ и услуг для обеспечения государственных (муниципальных) нужд
</v>
      </c>
      <c r="B486" s="760"/>
      <c r="C486" s="820"/>
      <c r="D486" s="760"/>
      <c r="E486" s="760"/>
      <c r="F486" s="763">
        <v>200</v>
      </c>
      <c r="G486" s="812">
        <v>220000</v>
      </c>
      <c r="H486" s="812">
        <v>-20000</v>
      </c>
      <c r="I486" s="805">
        <f>G486+H486</f>
        <v>200000</v>
      </c>
    </row>
    <row r="487" spans="1:9" s="109" customFormat="1" ht="31.5" x14ac:dyDescent="0.25">
      <c r="A487" s="826" t="str">
        <f>IF(B487&gt;0,VLOOKUP(B487,КВСР!A97:B1262,2),IF(C487&gt;0,VLOOKUP(C487,КФСР!A97:B1609,2),IF(D487&gt;0,VLOOKUP(D487,Программа!A$1:B$5124,2),IF(F487&gt;0,VLOOKUP(F487,КВР!A$1:B$5001,2),IF(E487&gt;0,VLOOKUP(E487,Направление!A$1:B$4816,2))))))</f>
        <v>Выполнение иных обязательств органов местного самоуправления</v>
      </c>
      <c r="B487" s="760"/>
      <c r="C487" s="820"/>
      <c r="D487" s="760"/>
      <c r="E487" s="760">
        <v>29806</v>
      </c>
      <c r="F487" s="763"/>
      <c r="G487" s="812">
        <v>49343</v>
      </c>
      <c r="H487" s="812">
        <f>H488+H489</f>
        <v>0</v>
      </c>
      <c r="I487" s="805">
        <f>I488+I489</f>
        <v>49343</v>
      </c>
    </row>
    <row r="488" spans="1:9" s="109" customFormat="1" ht="63" x14ac:dyDescent="0.25">
      <c r="A488" s="826" t="str">
        <f>IF(B488&gt;0,VLOOKUP(B488,КВСР!A98:B1263,2),IF(C488&gt;0,VLOOKUP(C488,КФСР!A98:B1610,2),IF(D488&gt;0,VLOOKUP(D488,Программа!A$1:B$5124,2),IF(F488&gt;0,VLOOKUP(F488,КВР!A$1:B$5001,2),IF(E488&gt;0,VLOOKUP(E488,Направление!A$1:B$4816,2))))))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760"/>
      <c r="C488" s="820"/>
      <c r="D488" s="760"/>
      <c r="E488" s="760"/>
      <c r="F488" s="763">
        <v>200</v>
      </c>
      <c r="G488" s="812">
        <v>40090.199999999997</v>
      </c>
      <c r="H488" s="812"/>
      <c r="I488" s="805">
        <f t="shared" ref="I488:I489" si="112">G488+H488</f>
        <v>40090.199999999997</v>
      </c>
    </row>
    <row r="489" spans="1:9" s="109" customFormat="1" x14ac:dyDescent="0.25">
      <c r="A489" s="826" t="str">
        <f>IF(B489&gt;0,VLOOKUP(B489,КВСР!A99:B1264,2),IF(C489&gt;0,VLOOKUP(C489,КФСР!A99:B1611,2),IF(D489&gt;0,VLOOKUP(D489,Программа!A$1:B$5124,2),IF(F489&gt;0,VLOOKUP(F489,КВР!A$1:B$5001,2),IF(E489&gt;0,VLOOKUP(E489,Направление!A$1:B$4816,2))))))</f>
        <v>Иные бюджетные ассигнования</v>
      </c>
      <c r="B489" s="760"/>
      <c r="C489" s="820"/>
      <c r="D489" s="760"/>
      <c r="E489" s="760"/>
      <c r="F489" s="763">
        <v>800</v>
      </c>
      <c r="G489" s="812">
        <v>9252.8000000000029</v>
      </c>
      <c r="H489" s="812"/>
      <c r="I489" s="805">
        <f t="shared" si="112"/>
        <v>9252.8000000000029</v>
      </c>
    </row>
    <row r="490" spans="1:9" s="109" customFormat="1" ht="57" customHeight="1" x14ac:dyDescent="0.25">
      <c r="A490" s="826" t="str">
        <f>IF(B490&gt;0,VLOOKUP(B490,КВСР!A100:B1265,2),IF(C490&gt;0,VLOOKUP(C490,КФСР!A100:B1612,2),IF(D490&gt;0,VLOOKUP(D490,Программа!A$1:B$5124,2),IF(F490&gt;0,VLOOKUP(F490,КВР!A$1:B$5001,2),IF(E490&gt;0,VLOOKUP(E490,Направление!A$1:B$4816,2))))))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90" s="760"/>
      <c r="C490" s="820"/>
      <c r="D490" s="760"/>
      <c r="E490" s="760">
        <v>55490</v>
      </c>
      <c r="F490" s="763"/>
      <c r="G490" s="812">
        <v>33852</v>
      </c>
      <c r="H490" s="812">
        <f>H491</f>
        <v>0</v>
      </c>
      <c r="I490" s="805">
        <f t="shared" ref="I490" si="113">I491</f>
        <v>33852</v>
      </c>
    </row>
    <row r="491" spans="1:9" s="109" customFormat="1" ht="79.5" customHeight="1" x14ac:dyDescent="0.25">
      <c r="A491" s="826" t="str">
        <f>IF(B491&gt;0,VLOOKUP(B491,КВСР!A101:B1266,2),IF(C491&gt;0,VLOOKUP(C491,КФСР!A101:B1613,2),IF(D491&gt;0,VLOOKUP(D491,Программа!A$1:B$5124,2),IF(F491&gt;0,VLOOKUP(F491,КВР!A$1:B$5001,2),IF(E491&gt;0,VLOOKUP(E491,Направление!A$1:B$4816,2))))))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760"/>
      <c r="C491" s="820"/>
      <c r="D491" s="760"/>
      <c r="E491" s="760"/>
      <c r="F491" s="763">
        <v>100</v>
      </c>
      <c r="G491" s="812">
        <v>33852</v>
      </c>
      <c r="H491" s="812"/>
      <c r="I491" s="805">
        <f>SUM(G491:H491)</f>
        <v>33852</v>
      </c>
    </row>
    <row r="492" spans="1:9" s="109" customFormat="1" ht="31.5" x14ac:dyDescent="0.25">
      <c r="A492" s="826" t="str">
        <f>IF(B492&gt;0,VLOOKUP(B492,КВСР!A92:B1257,2),IF(C492&gt;0,VLOOKUP(C492,КФСР!A92:B1604,2),IF(D492&gt;0,VLOOKUP(D492,Программа!A$1:B$5124,2),IF(F492&gt;0,VLOOKUP(F492,КВР!A$1:B$5001,2),IF(E492&gt;0,VLOOKUP(E492,Направление!A$1:B$4816,2))))))</f>
        <v>Другие вопросы в области национальной экономики</v>
      </c>
      <c r="B492" s="760"/>
      <c r="C492" s="827">
        <v>412</v>
      </c>
      <c r="D492" s="760"/>
      <c r="E492" s="760"/>
      <c r="F492" s="763"/>
      <c r="G492" s="812">
        <v>714500</v>
      </c>
      <c r="H492" s="812">
        <f t="shared" ref="H492:I494" si="114">H493</f>
        <v>-130000</v>
      </c>
      <c r="I492" s="805">
        <f t="shared" si="114"/>
        <v>584500</v>
      </c>
    </row>
    <row r="493" spans="1:9" s="109" customFormat="1" x14ac:dyDescent="0.25">
      <c r="A493" s="826" t="str">
        <f>IF(B493&gt;0,VLOOKUP(B493,КВСР!A93:B1258,2),IF(C493&gt;0,VLOOKUP(C493,КФСР!A93:B1605,2),IF(D493&gt;0,VLOOKUP(D493,Программа!A$1:B$5124,2),IF(F493&gt;0,VLOOKUP(F493,КВР!A$1:B$5001,2),IF(E493&gt;0,VLOOKUP(E493,Направление!A$1:B$4816,2))))))</f>
        <v>Непрограммные расходы бюджета</v>
      </c>
      <c r="B493" s="760"/>
      <c r="C493" s="820"/>
      <c r="D493" s="760" t="s">
        <v>311</v>
      </c>
      <c r="E493" s="760"/>
      <c r="F493" s="763"/>
      <c r="G493" s="812">
        <v>714500</v>
      </c>
      <c r="H493" s="812">
        <f>H494+H496</f>
        <v>-130000</v>
      </c>
      <c r="I493" s="805">
        <f>I494+I496</f>
        <v>584500</v>
      </c>
    </row>
    <row r="494" spans="1:9" s="109" customFormat="1" ht="31.5" x14ac:dyDescent="0.25">
      <c r="A494" s="826" t="str">
        <f>IF(B494&gt;0,VLOOKUP(B494,КВСР!A94:B1259,2),IF(C494&gt;0,VLOOKUP(C494,КФСР!A94:B1606,2),IF(D494&gt;0,VLOOKUP(D494,Программа!A$1:B$5124,2),IF(F494&gt;0,VLOOKUP(F494,КВР!A$1:B$5001,2),IF(E494&gt;0,VLOOKUP(E494,Направление!A$1:B$4816,2))))))</f>
        <v>Мероприятия по землеустройству и землепользованию</v>
      </c>
      <c r="B494" s="760"/>
      <c r="C494" s="820"/>
      <c r="D494" s="760"/>
      <c r="E494" s="760">
        <v>10510</v>
      </c>
      <c r="F494" s="763"/>
      <c r="G494" s="812">
        <v>139500</v>
      </c>
      <c r="H494" s="812">
        <f t="shared" si="114"/>
        <v>-30000</v>
      </c>
      <c r="I494" s="805">
        <f t="shared" si="114"/>
        <v>109500</v>
      </c>
    </row>
    <row r="495" spans="1:9" s="109" customFormat="1" ht="63" x14ac:dyDescent="0.25">
      <c r="A495" s="826" t="str">
        <f>IF(B495&gt;0,VLOOKUP(B495,КВСР!A95:B1260,2),IF(C495&gt;0,VLOOKUP(C495,КФСР!A95:B1607,2),IF(D495&gt;0,VLOOKUP(D495,Программа!A$1:B$5124,2),IF(F495&gt;0,VLOOKUP(F495,КВР!A$1:B$5001,2),IF(E495&gt;0,VLOOKUP(E495,Направление!A$1:B$4816,2))))))</f>
        <v xml:space="preserve">Закупка товаров, работ и услуг для обеспечения государственных (муниципальных) нужд
</v>
      </c>
      <c r="B495" s="760"/>
      <c r="C495" s="820"/>
      <c r="D495" s="760"/>
      <c r="E495" s="760"/>
      <c r="F495" s="763">
        <v>200</v>
      </c>
      <c r="G495" s="812">
        <v>139500</v>
      </c>
      <c r="H495" s="812">
        <v>-30000</v>
      </c>
      <c r="I495" s="805">
        <f t="shared" si="110"/>
        <v>109500</v>
      </c>
    </row>
    <row r="496" spans="1:9" s="109" customFormat="1" ht="63" x14ac:dyDescent="0.25">
      <c r="A496" s="826" t="str">
        <f>IF(B496&gt;0,VLOOKUP(B496,КВСР!A96:B1261,2),IF(C496&gt;0,VLOOKUP(C496,КФСР!A96:B1608,2),IF(D496&gt;0,VLOOKUP(D496,Программа!A$1:B$5124,2),IF(F496&gt;0,VLOOKUP(F496,КВР!A$1:B$5001,2),IF(E496&gt;0,VLOOKUP(E496,Направление!A$1:B$4816,2))))))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96" s="760"/>
      <c r="C496" s="820"/>
      <c r="D496" s="760"/>
      <c r="E496" s="760">
        <v>29276</v>
      </c>
      <c r="F496" s="763"/>
      <c r="G496" s="813">
        <v>575000</v>
      </c>
      <c r="H496" s="812">
        <f>H497</f>
        <v>-100000</v>
      </c>
      <c r="I496" s="805">
        <f>I497</f>
        <v>475000</v>
      </c>
    </row>
    <row r="497" spans="1:9" s="109" customFormat="1" ht="63" x14ac:dyDescent="0.25">
      <c r="A497" s="826" t="str">
        <f>IF(B497&gt;0,VLOOKUP(B497,КВСР!A97:B1262,2),IF(C497&gt;0,VLOOKUP(C497,КФСР!A97:B1609,2),IF(D497&gt;0,VLOOKUP(D497,Программа!A$1:B$5124,2),IF(F497&gt;0,VLOOKUP(F497,КВР!A$1:B$5001,2),IF(E497&gt;0,VLOOKUP(E497,Направление!A$1:B$4816,2))))))</f>
        <v xml:space="preserve">Закупка товаров, работ и услуг для обеспечения государственных (муниципальных) нужд
</v>
      </c>
      <c r="B497" s="760"/>
      <c r="C497" s="820"/>
      <c r="D497" s="760"/>
      <c r="E497" s="760"/>
      <c r="F497" s="763">
        <v>200</v>
      </c>
      <c r="G497" s="812">
        <v>575000</v>
      </c>
      <c r="H497" s="812">
        <v>-100000</v>
      </c>
      <c r="I497" s="805">
        <f>SUM(G497:H497)</f>
        <v>475000</v>
      </c>
    </row>
    <row r="498" spans="1:9" s="109" customFormat="1" x14ac:dyDescent="0.25">
      <c r="A498" s="826" t="str">
        <f>IF(B498&gt;0,VLOOKUP(B498,КВСР!A100:B1265,2),IF(C498&gt;0,VLOOKUP(C498,КФСР!A100:B1612,2),IF(D498&gt;0,VLOOKUP(D498,Программа!A$1:B$5124,2),IF(F498&gt;0,VLOOKUP(F498,КВР!A$1:B$5001,2),IF(E498&gt;0,VLOOKUP(E498,Направление!A$1:B$4816,2))))))</f>
        <v>Жилищное хозяйство</v>
      </c>
      <c r="B498" s="760"/>
      <c r="C498" s="827">
        <v>501</v>
      </c>
      <c r="D498" s="760"/>
      <c r="E498" s="760"/>
      <c r="F498" s="763"/>
      <c r="G498" s="814">
        <v>755000</v>
      </c>
      <c r="H498" s="812">
        <f t="shared" ref="H498:I500" si="115">H499</f>
        <v>-15000</v>
      </c>
      <c r="I498" s="805">
        <f t="shared" si="115"/>
        <v>740000</v>
      </c>
    </row>
    <row r="499" spans="1:9" s="109" customFormat="1" x14ac:dyDescent="0.25">
      <c r="A499" s="826" t="str">
        <f>IF(B499&gt;0,VLOOKUP(B499,КВСР!A101:B1266,2),IF(C499&gt;0,VLOOKUP(C499,КФСР!A101:B1613,2),IF(D499&gt;0,VLOOKUP(D499,Программа!A$1:B$5124,2),IF(F499&gt;0,VLOOKUP(F499,КВР!A$1:B$5001,2),IF(E499&gt;0,VLOOKUP(E499,Направление!A$1:B$4816,2))))))</f>
        <v>Непрограммные расходы бюджета</v>
      </c>
      <c r="B499" s="760"/>
      <c r="C499" s="820"/>
      <c r="D499" s="760" t="s">
        <v>311</v>
      </c>
      <c r="E499" s="760"/>
      <c r="F499" s="763"/>
      <c r="G499" s="814">
        <v>755000</v>
      </c>
      <c r="H499" s="812">
        <f>H500+H504+H502</f>
        <v>-15000</v>
      </c>
      <c r="I499" s="805">
        <f>I500+I504+I502</f>
        <v>740000</v>
      </c>
    </row>
    <row r="500" spans="1:9" s="109" customFormat="1" ht="47.25" x14ac:dyDescent="0.25">
      <c r="A500" s="826" t="str">
        <f>IF(B500&gt;0,VLOOKUP(B500,КВСР!A102:B1267,2),IF(C500&gt;0,VLOOKUP(C500,КФСР!A102:B1614,2),IF(D500&gt;0,VLOOKUP(D500,Программа!A$1:B$5124,2),IF(F500&gt;0,VLOOKUP(F500,КВР!A$1:B$5001,2),IF(E500&gt;0,VLOOKUP(E500,Направление!A$1:B$4816,2))))))</f>
        <v>Взносы на  капитальный ремонт  жилых помещений муниципального жилищного фонда</v>
      </c>
      <c r="B500" s="760"/>
      <c r="C500" s="820"/>
      <c r="D500" s="760"/>
      <c r="E500" s="760">
        <v>10370</v>
      </c>
      <c r="F500" s="763"/>
      <c r="G500" s="814">
        <v>350000</v>
      </c>
      <c r="H500" s="812">
        <f t="shared" si="115"/>
        <v>-15000</v>
      </c>
      <c r="I500" s="805">
        <f t="shared" si="115"/>
        <v>335000</v>
      </c>
    </row>
    <row r="501" spans="1:9" s="109" customFormat="1" ht="63" x14ac:dyDescent="0.25">
      <c r="A501" s="826" t="str">
        <f>IF(B501&gt;0,VLOOKUP(B501,КВСР!A103:B1268,2),IF(C501&gt;0,VLOOKUP(C501,КФСР!A103:B1615,2),IF(D501&gt;0,VLOOKUP(D501,Программа!A$1:B$5124,2),IF(F501&gt;0,VLOOKUP(F501,КВР!A$1:B$5001,2),IF(E501&gt;0,VLOOKUP(E501,Направление!A$1:B$4816,2))))))</f>
        <v xml:space="preserve">Закупка товаров, работ и услуг для обеспечения государственных (муниципальных) нужд
</v>
      </c>
      <c r="B501" s="760"/>
      <c r="C501" s="820"/>
      <c r="D501" s="760"/>
      <c r="E501" s="760"/>
      <c r="F501" s="763">
        <v>200</v>
      </c>
      <c r="G501" s="812">
        <v>350000</v>
      </c>
      <c r="H501" s="812">
        <v>-15000</v>
      </c>
      <c r="I501" s="805">
        <f t="shared" si="110"/>
        <v>335000</v>
      </c>
    </row>
    <row r="502" spans="1:9" s="109" customFormat="1" ht="47.25" x14ac:dyDescent="0.25">
      <c r="A502" s="826" t="str">
        <f>IF(B502&gt;0,VLOOKUP(B502,КВСР!A104:B1269,2),IF(C502&gt;0,VLOOKUP(C502,КФСР!A104:B1616,2),IF(D502&gt;0,VLOOKUP(D502,Программа!A$1:B$5124,2),IF(F502&gt;0,VLOOKUP(F502,КВР!A$1:B$5001,2),IF(E502&gt;0,VLOOKUP(E502,Направление!A$1:B$4816,2))))))</f>
        <v xml:space="preserve">Обеспечение мероприятий по начислению и сбору платы за найм муниципального жилищного фонда </v>
      </c>
      <c r="B502" s="760"/>
      <c r="C502" s="820"/>
      <c r="D502" s="760"/>
      <c r="E502" s="760">
        <v>29436</v>
      </c>
      <c r="F502" s="763"/>
      <c r="G502" s="813">
        <v>325000</v>
      </c>
      <c r="H502" s="812">
        <f>H503</f>
        <v>0</v>
      </c>
      <c r="I502" s="805">
        <f>I503</f>
        <v>325000</v>
      </c>
    </row>
    <row r="503" spans="1:9" s="109" customFormat="1" ht="63" x14ac:dyDescent="0.25">
      <c r="A503" s="826" t="str">
        <f>IF(B503&gt;0,VLOOKUP(B503,КВСР!A105:B1270,2),IF(C503&gt;0,VLOOKUP(C503,КФСР!A105:B1617,2),IF(D503&gt;0,VLOOKUP(D503,Программа!A$1:B$5124,2),IF(F503&gt;0,VLOOKUP(F503,КВР!A$1:B$5001,2),IF(E503&gt;0,VLOOKUP(E503,Направление!A$1:B$4816,2))))))</f>
        <v xml:space="preserve">Закупка товаров, работ и услуг для обеспечения государственных (муниципальных) нужд
</v>
      </c>
      <c r="B503" s="760"/>
      <c r="C503" s="820"/>
      <c r="D503" s="760"/>
      <c r="E503" s="760"/>
      <c r="F503" s="763">
        <v>200</v>
      </c>
      <c r="G503" s="812">
        <v>325000</v>
      </c>
      <c r="H503" s="812"/>
      <c r="I503" s="805">
        <f t="shared" ref="I503" si="116">SUM(G503:H503)</f>
        <v>325000</v>
      </c>
    </row>
    <row r="504" spans="1:9" s="109" customFormat="1" ht="63" x14ac:dyDescent="0.25">
      <c r="A504" s="826" t="str">
        <f>IF(B504&gt;0,VLOOKUP(B504,КВСР!A104:B1269,2),IF(C504&gt;0,VLOOKUP(C504,КФСР!A104:B1616,2),IF(D504&gt;0,VLOOKUP(D504,Программа!A$1:B$5124,2),IF(F504&gt;0,VLOOKUP(F504,КВР!A$1:B$5001,2),IF(E504&gt;0,VLOOKUP(E504,Направление!A$1:B$4816,2))))))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504" s="760"/>
      <c r="C504" s="820"/>
      <c r="D504" s="760"/>
      <c r="E504" s="760">
        <v>29446</v>
      </c>
      <c r="F504" s="763"/>
      <c r="G504" s="813">
        <v>80000</v>
      </c>
      <c r="H504" s="812">
        <f>H505</f>
        <v>0</v>
      </c>
      <c r="I504" s="805">
        <f>I505</f>
        <v>80000</v>
      </c>
    </row>
    <row r="505" spans="1:9" s="109" customFormat="1" ht="63" x14ac:dyDescent="0.25">
      <c r="A505" s="826" t="str">
        <f>IF(B505&gt;0,VLOOKUP(B505,КВСР!A105:B1270,2),IF(C505&gt;0,VLOOKUP(C505,КФСР!A105:B1617,2),IF(D505&gt;0,VLOOKUP(D505,Программа!A$1:B$5124,2),IF(F505&gt;0,VLOOKUP(F505,КВР!A$1:B$5001,2),IF(E505&gt;0,VLOOKUP(E505,Направление!A$1:B$4816,2))))))</f>
        <v xml:space="preserve">Закупка товаров, работ и услуг для обеспечения государственных (муниципальных) нужд
</v>
      </c>
      <c r="B505" s="760"/>
      <c r="C505" s="820"/>
      <c r="D505" s="760"/>
      <c r="E505" s="760"/>
      <c r="F505" s="763">
        <v>200</v>
      </c>
      <c r="G505" s="812">
        <v>80000</v>
      </c>
      <c r="H505" s="812"/>
      <c r="I505" s="805">
        <f t="shared" si="110"/>
        <v>80000</v>
      </c>
    </row>
    <row r="506" spans="1:9" s="109" customFormat="1" hidden="1" x14ac:dyDescent="0.25">
      <c r="A506" s="826" t="str">
        <f>IF(B506&gt;0,VLOOKUP(B506,КВСР!A106:B1271,2),IF(C506&gt;0,VLOOKUP(C506,КФСР!A106:B1618,2),IF(D506&gt;0,VLOOKUP(D506,Программа!A$1:B$5124,2),IF(F506&gt;0,VLOOKUP(F506,КВР!A$1:B$5001,2),IF(E506&gt;0,VLOOKUP(E506,Направление!A$1:B$4816,2))))))</f>
        <v>Охрана семьи и детства</v>
      </c>
      <c r="B506" s="760"/>
      <c r="C506" s="820">
        <v>1004</v>
      </c>
      <c r="D506" s="760"/>
      <c r="E506" s="760"/>
      <c r="F506" s="763"/>
      <c r="G506" s="812">
        <v>0</v>
      </c>
      <c r="H506" s="812">
        <f t="shared" ref="H506:I508" si="117">H507</f>
        <v>0</v>
      </c>
      <c r="I506" s="805">
        <f t="shared" si="117"/>
        <v>0</v>
      </c>
    </row>
    <row r="507" spans="1:9" s="109" customFormat="1" hidden="1" x14ac:dyDescent="0.25">
      <c r="A507" s="826" t="str">
        <f>IF(B507&gt;0,VLOOKUP(B507,КВСР!A107:B1272,2),IF(C507&gt;0,VLOOKUP(C507,КФСР!A107:B1619,2),IF(D507&gt;0,VLOOKUP(D507,Программа!A$1:B$5124,2),IF(F507&gt;0,VLOOKUP(F507,КВР!A$1:B$5001,2),IF(E507&gt;0,VLOOKUP(E507,Направление!A$1:B$4816,2))))))</f>
        <v>Непрограммные расходы бюджета</v>
      </c>
      <c r="B507" s="760"/>
      <c r="C507" s="820"/>
      <c r="D507" s="760" t="s">
        <v>311</v>
      </c>
      <c r="E507" s="760"/>
      <c r="F507" s="763"/>
      <c r="G507" s="812">
        <v>0</v>
      </c>
      <c r="H507" s="812">
        <f t="shared" si="117"/>
        <v>0</v>
      </c>
      <c r="I507" s="805">
        <f t="shared" si="117"/>
        <v>0</v>
      </c>
    </row>
    <row r="508" spans="1:9" s="109" customFormat="1" hidden="1" x14ac:dyDescent="0.25">
      <c r="A508" s="826" t="str">
        <f>IF(B508&gt;0,VLOOKUP(B508,КВСР!A108:B1273,2),IF(C508&gt;0,VLOOKUP(C508,КФСР!A108:B1620,2),IF(D508&gt;0,VLOOKUP(D508,Программа!A$1:B$5124,2),IF(F508&gt;0,VLOOKUP(F508,КВР!A$1:B$5001,2),IF(E508&gt;0,VLOOKUP(E508,Направление!A$1:B$4816,2))))))</f>
        <v>Содержание центрального аппарата</v>
      </c>
      <c r="B508" s="760"/>
      <c r="C508" s="820"/>
      <c r="D508" s="760"/>
      <c r="E508" s="760">
        <v>12010</v>
      </c>
      <c r="F508" s="763"/>
      <c r="G508" s="812">
        <v>0</v>
      </c>
      <c r="H508" s="812">
        <f t="shared" si="117"/>
        <v>0</v>
      </c>
      <c r="I508" s="805">
        <f t="shared" si="117"/>
        <v>0</v>
      </c>
    </row>
    <row r="509" spans="1:9" s="109" customFormat="1" ht="110.25" hidden="1" x14ac:dyDescent="0.25">
      <c r="A509" s="826" t="str">
        <f>IF(B509&gt;0,VLOOKUP(B509,КВСР!A109:B1274,2),IF(C509&gt;0,VLOOKUP(C509,КФСР!A109:B1621,2),IF(D509&gt;0,VLOOKUP(D509,Программа!A$1:B$5124,2),IF(F509&gt;0,VLOOKUP(F509,КВР!A$1:B$5001,2),IF(E509&gt;0,VLOOKUP(E509,Направление!A$1:B$4816,2))))))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9" s="760"/>
      <c r="C509" s="820"/>
      <c r="D509" s="760"/>
      <c r="E509" s="760"/>
      <c r="F509" s="763">
        <v>100</v>
      </c>
      <c r="G509" s="812">
        <v>0</v>
      </c>
      <c r="H509" s="812"/>
      <c r="I509" s="805">
        <f>G509+H509</f>
        <v>0</v>
      </c>
    </row>
    <row r="510" spans="1:9" ht="31.5" x14ac:dyDescent="0.25">
      <c r="A510" s="824" t="str">
        <f>IF(B510&gt;0,VLOOKUP(B510,КВСР!A106:B1271,2),IF(C510&gt;0,VLOOKUP(C510,КФСР!A106:B1618,2),IF(D510&gt;0,VLOOKUP(D510,Программа!A$1:B$5124,2),IF(F510&gt;0,VLOOKUP(F510,КВР!A$1:B$5001,2),IF(E510&gt;0,VLOOKUP(E510,Направление!A$1:B$4816,2))))))</f>
        <v>Департамент образования Администрации ТМР</v>
      </c>
      <c r="B510" s="758">
        <v>953</v>
      </c>
      <c r="C510" s="820"/>
      <c r="D510" s="760"/>
      <c r="E510" s="760"/>
      <c r="F510" s="763"/>
      <c r="G510" s="811">
        <v>1241903807</v>
      </c>
      <c r="H510" s="811">
        <f>H517+H562+H615+H645+H671+H764+H799+H758+H639+H511</f>
        <v>-5166799.6999999993</v>
      </c>
      <c r="I510" s="804">
        <f>I517+I562+I615+I645+I671+I764+I799+I758+I639+I511</f>
        <v>1236737007.3</v>
      </c>
    </row>
    <row r="511" spans="1:9" x14ac:dyDescent="0.25">
      <c r="A511" s="826" t="str">
        <f>IF(B511&gt;0,VLOOKUP(B511,КВСР!A105:B1270,2),IF(C511&gt;0,VLOOKUP(C511,КФСР!A105:B1617,2),IF(D511&gt;0,VLOOKUP(D511,Программа!A$1:B$5124,2),IF(F511&gt;0,VLOOKUP(F511,КВР!A$1:B$5001,2),IF(E511&gt;0,VLOOKUP(E511,Направление!A$1:B$4816,2))))))</f>
        <v xml:space="preserve"> Общеэкономические вопросы</v>
      </c>
      <c r="B511" s="758"/>
      <c r="C511" s="827">
        <v>401</v>
      </c>
      <c r="D511" s="760"/>
      <c r="E511" s="760"/>
      <c r="F511" s="763"/>
      <c r="G511" s="812">
        <v>358079</v>
      </c>
      <c r="H511" s="812">
        <f t="shared" ref="H511:I515" si="118">H512</f>
        <v>0</v>
      </c>
      <c r="I511" s="805">
        <f t="shared" si="118"/>
        <v>358079</v>
      </c>
    </row>
    <row r="512" spans="1:9" ht="63" x14ac:dyDescent="0.25">
      <c r="A512" s="826" t="str">
        <f>IF(B512&gt;0,VLOOKUP(B512,КВСР!A106:B1271,2),IF(C512&gt;0,VLOOKUP(C512,КФСР!A106:B1618,2),IF(D512&gt;0,VLOOKUP(D512,Программа!A$1:B$5124,2),IF(F512&gt;0,VLOOKUP(F512,КВР!A$1:B$5001,2),IF(E512&gt;0,VLOOKUP(E512,Направление!A$1:B$4816,2))))))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12" s="758"/>
      <c r="C512" s="820"/>
      <c r="D512" s="760" t="s">
        <v>396</v>
      </c>
      <c r="E512" s="760"/>
      <c r="F512" s="763"/>
      <c r="G512" s="812">
        <v>358079</v>
      </c>
      <c r="H512" s="812">
        <f t="shared" si="118"/>
        <v>0</v>
      </c>
      <c r="I512" s="805">
        <f t="shared" si="118"/>
        <v>358079</v>
      </c>
    </row>
    <row r="513" spans="1:9" ht="31.5" x14ac:dyDescent="0.25">
      <c r="A513" s="826" t="str">
        <f>IF(B513&gt;0,VLOOKUP(B513,КВСР!A107:B1272,2),IF(C513&gt;0,VLOOKUP(C513,КФСР!A107:B1619,2),IF(D513&gt;0,VLOOKUP(D513,Программа!A$1:B$5124,2),IF(F513&gt;0,VLOOKUP(F513,КВР!A$1:B$5001,2),IF(E513&gt;0,VLOOKUP(E513,Направление!A$1:B$4816,2))))))</f>
        <v>Ведомственная целевая программа «Молодежь»</v>
      </c>
      <c r="B513" s="758"/>
      <c r="C513" s="820"/>
      <c r="D513" s="760" t="s">
        <v>499</v>
      </c>
      <c r="E513" s="760"/>
      <c r="F513" s="763"/>
      <c r="G513" s="812">
        <v>358079</v>
      </c>
      <c r="H513" s="812">
        <f t="shared" si="118"/>
        <v>0</v>
      </c>
      <c r="I513" s="805">
        <f t="shared" si="118"/>
        <v>358079</v>
      </c>
    </row>
    <row r="514" spans="1:9" ht="47.25" x14ac:dyDescent="0.25">
      <c r="A514" s="826" t="str">
        <f>IF(B514&gt;0,VLOOKUP(B514,КВСР!A108:B1273,2),IF(C514&gt;0,VLOOKUP(C514,КФСР!A108:B1620,2),IF(D514&gt;0,VLOOKUP(D514,Программа!A$1:B$5124,2),IF(F514&gt;0,VLOOKUP(F514,КВР!A$1:B$5001,2),IF(E514&gt;0,VLOOKUP(E514,Направление!A$1:B$4816,2))))))</f>
        <v>Обеспечение качества и доступности услуг(работ) в сфере молодежной политики</v>
      </c>
      <c r="B514" s="758"/>
      <c r="C514" s="820"/>
      <c r="D514" s="760" t="s">
        <v>1091</v>
      </c>
      <c r="E514" s="760"/>
      <c r="F514" s="763"/>
      <c r="G514" s="812">
        <v>358079</v>
      </c>
      <c r="H514" s="812">
        <f t="shared" si="118"/>
        <v>0</v>
      </c>
      <c r="I514" s="805">
        <f t="shared" si="118"/>
        <v>358079</v>
      </c>
    </row>
    <row r="515" spans="1:9" ht="47.25" x14ac:dyDescent="0.25">
      <c r="A515" s="826" t="str">
        <f>IF(B515&gt;0,VLOOKUP(B515,КВСР!A109:B1274,2),IF(C515&gt;0,VLOOKUP(C515,КФСР!A109:B1621,2),IF(D515&gt;0,VLOOKUP(D515,Программа!A$1:B$5124,2),IF(F515&gt;0,VLOOKUP(F515,КВР!A$1:B$5001,2),IF(E515&gt;0,VLOOKUP(E515,Направление!A$1:B$4816,2))))))</f>
        <v>Расходы на обеспечение трудоустройства несовершеннолетних граждан на временные рабочие места</v>
      </c>
      <c r="B515" s="758"/>
      <c r="C515" s="820"/>
      <c r="D515" s="760"/>
      <c r="E515" s="760">
        <v>76950</v>
      </c>
      <c r="F515" s="763"/>
      <c r="G515" s="812">
        <v>358079</v>
      </c>
      <c r="H515" s="812">
        <f t="shared" si="118"/>
        <v>0</v>
      </c>
      <c r="I515" s="805">
        <f t="shared" si="118"/>
        <v>358079</v>
      </c>
    </row>
    <row r="516" spans="1:9" ht="47.25" x14ac:dyDescent="0.25">
      <c r="A516" s="826" t="str">
        <f>IF(B516&gt;0,VLOOKUP(B516,КВСР!A110:B1275,2),IF(C516&gt;0,VLOOKUP(C516,КФСР!A110:B1622,2),IF(D516&gt;0,VLOOKUP(D516,Программа!A$1:B$5124,2),IF(F516&gt;0,VLOOKUP(F516,КВР!A$1:B$5001,2),IF(E516&gt;0,VLOOKUP(E516,Направление!A$1:B$4816,2))))))</f>
        <v>Предоставление субсидий бюджетным, автономным учреждениям и иным некоммерческим организациям</v>
      </c>
      <c r="B516" s="758"/>
      <c r="C516" s="820"/>
      <c r="D516" s="760"/>
      <c r="E516" s="760"/>
      <c r="F516" s="763">
        <v>600</v>
      </c>
      <c r="G516" s="812">
        <v>358079</v>
      </c>
      <c r="H516" s="812"/>
      <c r="I516" s="805">
        <f>G516+H516</f>
        <v>358079</v>
      </c>
    </row>
    <row r="517" spans="1:9" x14ac:dyDescent="0.25">
      <c r="A517" s="826" t="str">
        <f>IF(B517&gt;0,VLOOKUP(B517,КВСР!A111:B1276,2),IF(C517&gt;0,VLOOKUP(C517,КФСР!A111:B1623,2),IF(D517&gt;0,VLOOKUP(D517,Программа!A$1:B$5124,2),IF(F517&gt;0,VLOOKUP(F517,КВР!A$1:B$5001,2),IF(E517&gt;0,VLOOKUP(E517,Направление!A$1:B$4816,2))))))</f>
        <v>Дошкольное образование</v>
      </c>
      <c r="B517" s="760"/>
      <c r="C517" s="827">
        <v>701</v>
      </c>
      <c r="D517" s="760"/>
      <c r="E517" s="760"/>
      <c r="F517" s="763"/>
      <c r="G517" s="812">
        <v>449578560.30000001</v>
      </c>
      <c r="H517" s="812">
        <f>H518+H559+H550</f>
        <v>366116.28</v>
      </c>
      <c r="I517" s="805">
        <f>I518+I559+I550</f>
        <v>449944676.57999998</v>
      </c>
    </row>
    <row r="518" spans="1:9" ht="63" x14ac:dyDescent="0.25">
      <c r="A518" s="826" t="str">
        <f>IF(B518&gt;0,VLOOKUP(B518,КВСР!A112:B1277,2),IF(C518&gt;0,VLOOKUP(C518,КФСР!A112:B1624,2),IF(D518&gt;0,VLOOKUP(D518,Программа!A$1:B$5124,2),IF(F518&gt;0,VLOOKUP(F518,КВР!A$1:B$5001,2),IF(E518&gt;0,VLOOKUP(E518,Направление!A$1:B$4816,2))))))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18" s="760"/>
      <c r="C518" s="820"/>
      <c r="D518" s="760" t="s">
        <v>367</v>
      </c>
      <c r="E518" s="760"/>
      <c r="F518" s="763"/>
      <c r="G518" s="812">
        <v>449578560.30000001</v>
      </c>
      <c r="H518" s="812">
        <f>H520</f>
        <v>366116.28</v>
      </c>
      <c r="I518" s="805">
        <f>I520</f>
        <v>449944676.57999998</v>
      </c>
    </row>
    <row r="519" spans="1:9" ht="63" x14ac:dyDescent="0.25">
      <c r="A519" s="826" t="str">
        <f>IF(B519&gt;0,VLOOKUP(B519,КВСР!A113:B1278,2),IF(C519&gt;0,VLOOKUP(C519,КФСР!A113:B1625,2),IF(D519&gt;0,VLOOKUP(D519,Программа!A$1:B$5124,2),IF(F519&gt;0,VLOOKUP(F519,КВР!A$1:B$5001,2),IF(E519&gt;0,VLOOKUP(E519,Направление!A$1:B$4816,2))))))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760"/>
      <c r="C519" s="820"/>
      <c r="D519" s="760" t="s">
        <v>369</v>
      </c>
      <c r="E519" s="760"/>
      <c r="F519" s="763"/>
      <c r="G519" s="812">
        <v>449578560.30000001</v>
      </c>
      <c r="H519" s="812">
        <f>H520</f>
        <v>366116.28</v>
      </c>
      <c r="I519" s="805">
        <f>I520</f>
        <v>449944676.57999998</v>
      </c>
    </row>
    <row r="520" spans="1:9" ht="47.25" x14ac:dyDescent="0.25">
      <c r="A520" s="826" t="str">
        <f>IF(B520&gt;0,VLOOKUP(B520,КВСР!A114:B1279,2),IF(C520&gt;0,VLOOKUP(C520,КФСР!A114:B1626,2),IF(D520&gt;0,VLOOKUP(D520,Программа!A$1:B$5124,2),IF(F520&gt;0,VLOOKUP(F520,КВР!A$1:B$5001,2),IF(E520&gt;0,VLOOKUP(E520,Направление!A$1:B$4816,2))))))</f>
        <v>Обеспечение качества и доступности образовательных услуг в сфере дошкольного образования</v>
      </c>
      <c r="B520" s="760"/>
      <c r="C520" s="820"/>
      <c r="D520" s="760" t="s">
        <v>370</v>
      </c>
      <c r="E520" s="760"/>
      <c r="F520" s="763"/>
      <c r="G520" s="812">
        <v>449578560.30000001</v>
      </c>
      <c r="H520" s="812">
        <f>H521+H530+H539+H525+H534+H527+H544+H542+H547+H536+H532</f>
        <v>366116.28</v>
      </c>
      <c r="I520" s="805">
        <f>I521+I530+I539+I525+I534+I527+I544+I542+I547+I536+I532</f>
        <v>449944676.57999998</v>
      </c>
    </row>
    <row r="521" spans="1:9" ht="31.5" x14ac:dyDescent="0.25">
      <c r="A521" s="826" t="str">
        <f>IF(B521&gt;0,VLOOKUP(B521,КВСР!A114:B1279,2),IF(C521&gt;0,VLOOKUP(C521,КФСР!A114:B1626,2),IF(D521&gt;0,VLOOKUP(D521,Программа!A$1:B$5124,2),IF(F521&gt;0,VLOOKUP(F521,КВР!A$1:B$5001,2),IF(E521&gt;0,VLOOKUP(E521,Направление!A$1:B$4816,2))))))</f>
        <v>Обеспечение деятельности дошкольных учреждений</v>
      </c>
      <c r="B521" s="760"/>
      <c r="C521" s="820"/>
      <c r="D521" s="760"/>
      <c r="E521" s="760">
        <v>13010</v>
      </c>
      <c r="F521" s="763"/>
      <c r="G521" s="812">
        <v>166922804.30000001</v>
      </c>
      <c r="H521" s="812">
        <f>H522+H523+H524</f>
        <v>417498</v>
      </c>
      <c r="I521" s="805">
        <f t="shared" ref="I521" si="119">I522+I523+I524</f>
        <v>167340302.30000001</v>
      </c>
    </row>
    <row r="522" spans="1:9" ht="110.25" x14ac:dyDescent="0.25">
      <c r="A522" s="826" t="str">
        <f>IF(B522&gt;0,VLOOKUP(B522,КВСР!A115:B1280,2),IF(C522&gt;0,VLOOKUP(C522,КФСР!A115:B1627,2),IF(D522&gt;0,VLOOKUP(D522,Программа!A$1:B$5124,2),IF(F522&gt;0,VLOOKUP(F522,КВР!A$1:B$5001,2),IF(E522&gt;0,VLOOKUP(E522,Направление!A$1:B$4816,2))))))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760"/>
      <c r="C522" s="820"/>
      <c r="D522" s="760"/>
      <c r="E522" s="760"/>
      <c r="F522" s="763">
        <v>100</v>
      </c>
      <c r="G522" s="812">
        <v>66108474.409999996</v>
      </c>
      <c r="H522" s="812"/>
      <c r="I522" s="805">
        <f>SUM(G522:H522)</f>
        <v>66108474.409999996</v>
      </c>
    </row>
    <row r="523" spans="1:9" ht="63" x14ac:dyDescent="0.25">
      <c r="A523" s="826" t="str">
        <f>IF(B523&gt;0,VLOOKUP(B523,КВСР!A116:B1281,2),IF(C523&gt;0,VLOOKUP(C523,КФСР!A116:B1628,2),IF(D523&gt;0,VLOOKUP(D523,Программа!A$1:B$5124,2),IF(F523&gt;0,VLOOKUP(F523,КВР!A$1:B$5001,2),IF(E523&gt;0,VLOOKUP(E523,Направление!A$1:B$4816,2))))))</f>
        <v xml:space="preserve">Закупка товаров, работ и услуг для обеспечения государственных (муниципальных) нужд
</v>
      </c>
      <c r="B523" s="760"/>
      <c r="C523" s="820"/>
      <c r="D523" s="760"/>
      <c r="E523" s="760"/>
      <c r="F523" s="763">
        <v>200</v>
      </c>
      <c r="G523" s="812">
        <v>95104943.269999996</v>
      </c>
      <c r="H523" s="812"/>
      <c r="I523" s="805">
        <f t="shared" ref="I523:I524" si="120">SUM(G523:H523)</f>
        <v>95104943.269999996</v>
      </c>
    </row>
    <row r="524" spans="1:9" x14ac:dyDescent="0.25">
      <c r="A524" s="826" t="str">
        <f>IF(B524&gt;0,VLOOKUP(B524,КВСР!A117:B1282,2),IF(C524&gt;0,VLOOKUP(C524,КФСР!A117:B1629,2),IF(D524&gt;0,VLOOKUP(D524,Программа!A$1:B$5124,2),IF(F524&gt;0,VLOOKUP(F524,КВР!A$1:B$5001,2),IF(E524&gt;0,VLOOKUP(E524,Направление!A$1:B$4816,2))))))</f>
        <v>Иные бюджетные ассигнования</v>
      </c>
      <c r="B524" s="760"/>
      <c r="C524" s="820"/>
      <c r="D524" s="760"/>
      <c r="E524" s="760"/>
      <c r="F524" s="763">
        <v>800</v>
      </c>
      <c r="G524" s="812">
        <v>5709386.6200000001</v>
      </c>
      <c r="H524" s="812">
        <v>417498</v>
      </c>
      <c r="I524" s="805">
        <f t="shared" si="120"/>
        <v>6126884.6200000001</v>
      </c>
    </row>
    <row r="525" spans="1:9" ht="31.5" x14ac:dyDescent="0.25">
      <c r="A525" s="826" t="str">
        <f>IF(B525&gt;0,VLOOKUP(B525,КВСР!A116:B1281,2),IF(C525&gt;0,VLOOKUP(C525,КФСР!A116:B1628,2),IF(D525&gt;0,VLOOKUP(D525,Программа!A$1:B$5124,2),IF(F525&gt;0,VLOOKUP(F525,КВР!A$1:B$5001,2),IF(E525&gt;0,VLOOKUP(E525,Направление!A$1:B$4816,2))))))</f>
        <v>Обеспечение деятельности общеобразовательных учреждений</v>
      </c>
      <c r="B525" s="760"/>
      <c r="C525" s="820"/>
      <c r="D525" s="760"/>
      <c r="E525" s="760">
        <v>13110</v>
      </c>
      <c r="F525" s="763"/>
      <c r="G525" s="813">
        <v>15336350</v>
      </c>
      <c r="H525" s="812">
        <f t="shared" ref="H525:I525" si="121">H526</f>
        <v>304875</v>
      </c>
      <c r="I525" s="805">
        <f t="shared" si="121"/>
        <v>15641225</v>
      </c>
    </row>
    <row r="526" spans="1:9" ht="47.25" x14ac:dyDescent="0.25">
      <c r="A526" s="826" t="str">
        <f>IF(B526&gt;0,VLOOKUP(B526,КВСР!A117:B1282,2),IF(C526&gt;0,VLOOKUP(C526,КФСР!A117:B1629,2),IF(D526&gt;0,VLOOKUP(D526,Программа!A$1:B$5124,2),IF(F526&gt;0,VLOOKUP(F526,КВР!A$1:B$5001,2),IF(E526&gt;0,VLOOKUP(E526,Направление!A$1:B$4816,2))))))</f>
        <v>Предоставление субсидий бюджетным, автономным учреждениям и иным некоммерческим организациям</v>
      </c>
      <c r="B526" s="760"/>
      <c r="C526" s="820"/>
      <c r="D526" s="760"/>
      <c r="E526" s="760"/>
      <c r="F526" s="763">
        <v>600</v>
      </c>
      <c r="G526" s="812">
        <v>15336350</v>
      </c>
      <c r="H526" s="812">
        <f>282272+22603</f>
        <v>304875</v>
      </c>
      <c r="I526" s="805">
        <f t="shared" si="110"/>
        <v>15641225</v>
      </c>
    </row>
    <row r="527" spans="1:9" ht="47.25" x14ac:dyDescent="0.25">
      <c r="A527" s="826" t="str">
        <f>IF(B527&gt;0,VLOOKUP(B527,КВСР!A118:B1283,2),IF(C527&gt;0,VLOOKUP(C527,КФСР!A118:B1630,2),IF(D527&gt;0,VLOOKUP(D527,Программа!A$1:B$5124,2),IF(F527&gt;0,VLOOKUP(F527,КВР!A$1:B$5001,2),IF(E527&gt;0,VLOOKUP(E527,Направление!A$1:B$4816,2))))))</f>
        <v>Расходы на реализацию мероприятий инициативного бюджетирования на территории Ярославской области</v>
      </c>
      <c r="B527" s="760"/>
      <c r="C527" s="820"/>
      <c r="D527" s="760"/>
      <c r="E527" s="760">
        <v>15350</v>
      </c>
      <c r="F527" s="763"/>
      <c r="G527" s="812">
        <v>299596</v>
      </c>
      <c r="H527" s="812">
        <f>H528+H529</f>
        <v>-657.72</v>
      </c>
      <c r="I527" s="805">
        <f>I528+I529</f>
        <v>298938.28000000003</v>
      </c>
    </row>
    <row r="528" spans="1:9" ht="63" x14ac:dyDescent="0.25">
      <c r="A528" s="826" t="str">
        <f>IF(B528&gt;0,VLOOKUP(B528,КВСР!A119:B1284,2),IF(C528&gt;0,VLOOKUP(C528,КФСР!A119:B1631,2),IF(D528&gt;0,VLOOKUP(D528,Программа!A$1:B$5124,2),IF(F528&gt;0,VLOOKUP(F528,КВР!A$1:B$5001,2),IF(E528&gt;0,VLOOKUP(E528,Направление!A$1:B$4816,2))))))</f>
        <v xml:space="preserve">Закупка товаров, работ и услуг для обеспечения государственных (муниципальных) нужд
</v>
      </c>
      <c r="B528" s="760"/>
      <c r="C528" s="820"/>
      <c r="D528" s="760"/>
      <c r="E528" s="760"/>
      <c r="F528" s="763">
        <v>200</v>
      </c>
      <c r="G528" s="812">
        <v>289069</v>
      </c>
      <c r="H528" s="812"/>
      <c r="I528" s="805">
        <f>G528+H528</f>
        <v>289069</v>
      </c>
    </row>
    <row r="529" spans="1:9" ht="47.25" x14ac:dyDescent="0.25">
      <c r="A529" s="826" t="str">
        <f>IF(B529&gt;0,VLOOKUP(B529,КВСР!A120:B1285,2),IF(C529&gt;0,VLOOKUP(C529,КФСР!A120:B1632,2),IF(D529&gt;0,VLOOKUP(D529,Программа!A$1:B$5124,2),IF(F529&gt;0,VLOOKUP(F529,КВР!A$1:B$5001,2),IF(E529&gt;0,VLOOKUP(E529,Направление!A$1:B$4816,2))))))</f>
        <v>Предоставление субсидий бюджетным, автономным учреждениям и иным некоммерческим организациям</v>
      </c>
      <c r="B529" s="760"/>
      <c r="C529" s="820"/>
      <c r="D529" s="760"/>
      <c r="E529" s="760"/>
      <c r="F529" s="763">
        <v>600</v>
      </c>
      <c r="G529" s="812">
        <v>10527</v>
      </c>
      <c r="H529" s="812">
        <v>-657.72</v>
      </c>
      <c r="I529" s="805">
        <f>G529+H529</f>
        <v>9869.2800000000007</v>
      </c>
    </row>
    <row r="530" spans="1:9" ht="63" x14ac:dyDescent="0.25">
      <c r="A530" s="826" t="str">
        <f>IF(B530&gt;0,VLOOKUP(B530,КВСР!A118:B1283,2),IF(C530&gt;0,VLOOKUP(C530,КФСР!A118:B1630,2),IF(D530&gt;0,VLOOKUP(D530,Программа!A$1:B$5124,2),IF(F530&gt;0,VLOOKUP(F530,КВР!A$1:B$5001,2),IF(E530&gt;0,VLOOKUP(E530,Направление!A$1:B$4816,2))))))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30" s="760"/>
      <c r="C530" s="820"/>
      <c r="D530" s="760"/>
      <c r="E530" s="760">
        <v>15890</v>
      </c>
      <c r="F530" s="763"/>
      <c r="G530" s="812">
        <v>1977945</v>
      </c>
      <c r="H530" s="812">
        <f>+H531</f>
        <v>-299784</v>
      </c>
      <c r="I530" s="805">
        <f t="shared" si="110"/>
        <v>1678161</v>
      </c>
    </row>
    <row r="531" spans="1:9" ht="110.25" x14ac:dyDescent="0.25">
      <c r="A531" s="826" t="str">
        <f>IF(B531&gt;0,VLOOKUP(B531,КВСР!A119:B1284,2),IF(C531&gt;0,VLOOKUP(C531,КФСР!A119:B1631,2),IF(D531&gt;0,VLOOKUP(D531,Программа!A$1:B$5124,2),IF(F531&gt;0,VLOOKUP(F531,КВР!A$1:B$5001,2),IF(E531&gt;0,VLOOKUP(E531,Направление!A$1:B$4816,2))))))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1" s="760"/>
      <c r="C531" s="820"/>
      <c r="D531" s="760"/>
      <c r="E531" s="760"/>
      <c r="F531" s="763">
        <v>100</v>
      </c>
      <c r="G531" s="812">
        <v>1977945</v>
      </c>
      <c r="H531" s="812">
        <v>-299784</v>
      </c>
      <c r="I531" s="805">
        <f t="shared" si="110"/>
        <v>1678161</v>
      </c>
    </row>
    <row r="532" spans="1:9" ht="82.15" customHeight="1" x14ac:dyDescent="0.25">
      <c r="A532" s="826" t="s">
        <v>1805</v>
      </c>
      <c r="B532" s="760"/>
      <c r="C532" s="820"/>
      <c r="D532" s="760"/>
      <c r="E532" s="760">
        <v>70430</v>
      </c>
      <c r="F532" s="763"/>
      <c r="G532" s="812"/>
      <c r="H532" s="812">
        <f>H533</f>
        <v>101485</v>
      </c>
      <c r="I532" s="805">
        <f>H532+G532</f>
        <v>101485</v>
      </c>
    </row>
    <row r="533" spans="1:9" x14ac:dyDescent="0.25">
      <c r="A533" s="826" t="s">
        <v>1806</v>
      </c>
      <c r="B533" s="760"/>
      <c r="C533" s="820"/>
      <c r="D533" s="760"/>
      <c r="E533" s="760"/>
      <c r="F533" s="763">
        <v>200</v>
      </c>
      <c r="G533" s="812"/>
      <c r="H533" s="812">
        <v>101485</v>
      </c>
      <c r="I533" s="805">
        <f>H533+G533</f>
        <v>101485</v>
      </c>
    </row>
    <row r="534" spans="1:9" ht="47.25" x14ac:dyDescent="0.25">
      <c r="A534" s="826" t="str">
        <f>IF(B534&gt;0,VLOOKUP(B534,КВСР!A120:B1285,2),IF(C534&gt;0,VLOOKUP(C534,КФСР!A120:B1632,2),IF(D534&gt;0,VLOOKUP(D534,Программа!A$1:B$5124,2),IF(F534&gt;0,VLOOKUP(F534,КВР!A$1:B$5001,2),IF(E534&gt;0,VLOOKUP(E534,Направление!A$1:B$4816,2))))))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34" s="760"/>
      <c r="C534" s="820"/>
      <c r="D534" s="760"/>
      <c r="E534" s="760">
        <v>70520</v>
      </c>
      <c r="F534" s="763"/>
      <c r="G534" s="813">
        <v>21192315</v>
      </c>
      <c r="H534" s="812">
        <f t="shared" ref="H534:I534" si="122">H535</f>
        <v>0</v>
      </c>
      <c r="I534" s="806">
        <f t="shared" si="122"/>
        <v>21192315</v>
      </c>
    </row>
    <row r="535" spans="1:9" ht="47.25" x14ac:dyDescent="0.25">
      <c r="A535" s="826" t="str">
        <f>IF(B535&gt;0,VLOOKUP(B535,КВСР!A121:B1286,2),IF(C535&gt;0,VLOOKUP(C535,КФСР!A121:B1633,2),IF(D535&gt;0,VLOOKUP(D535,Программа!A$1:B$5124,2),IF(F535&gt;0,VLOOKUP(F535,КВР!A$1:B$5001,2),IF(E535&gt;0,VLOOKUP(E535,Направление!A$1:B$4816,2))))))</f>
        <v>Предоставление субсидий бюджетным, автономным учреждениям и иным некоммерческим организациям</v>
      </c>
      <c r="B535" s="760"/>
      <c r="C535" s="820"/>
      <c r="D535" s="760"/>
      <c r="E535" s="760"/>
      <c r="F535" s="763">
        <v>600</v>
      </c>
      <c r="G535" s="812">
        <v>21192315</v>
      </c>
      <c r="H535" s="812"/>
      <c r="I535" s="805">
        <f>G535+H535</f>
        <v>21192315</v>
      </c>
    </row>
    <row r="536" spans="1:9" ht="110.25" x14ac:dyDescent="0.25">
      <c r="A536" s="826" t="str">
        <f>IF(B536&gt;0,VLOOKUP(B536,КВСР!A122:B1287,2),IF(C536&gt;0,VLOOKUP(C536,КФСР!A122:B1634,2),IF(D536&gt;0,VLOOKUP(D536,Программа!A$1:B$5124,2),IF(F536&gt;0,VLOOKUP(F536,КВР!A$1:B$5001,2),IF(E536&gt;0,VLOOKUP(E536,Направление!A$1:B$4816,2))))))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6" s="760"/>
      <c r="C536" s="820"/>
      <c r="D536" s="760"/>
      <c r="E536" s="760">
        <v>71100</v>
      </c>
      <c r="F536" s="763"/>
      <c r="G536" s="812">
        <v>6513940</v>
      </c>
      <c r="H536" s="812">
        <f t="shared" ref="H536:I536" si="123">H537+H538</f>
        <v>-9318</v>
      </c>
      <c r="I536" s="805">
        <f t="shared" si="123"/>
        <v>6504622</v>
      </c>
    </row>
    <row r="537" spans="1:9" ht="66.75" customHeight="1" x14ac:dyDescent="0.25">
      <c r="A537" s="826" t="str">
        <f>IF(B537&gt;0,VLOOKUP(B537,КВСР!A123:B1288,2),IF(C537&gt;0,VLOOKUP(C537,КФСР!A123:B1635,2),IF(D537&gt;0,VLOOKUP(D537,Программа!A$1:B$5124,2),IF(F537&gt;0,VLOOKUP(F537,КВР!A$1:B$5001,2),IF(E537&gt;0,VLOOKUP(E537,Направление!A$1:B$4816,2))))))</f>
        <v xml:space="preserve">Закупка товаров, работ и услуг для обеспечения государственных (муниципальных) нужд
</v>
      </c>
      <c r="B537" s="760"/>
      <c r="C537" s="820"/>
      <c r="D537" s="760"/>
      <c r="E537" s="760"/>
      <c r="F537" s="763">
        <v>200</v>
      </c>
      <c r="G537" s="812">
        <v>6135475</v>
      </c>
      <c r="H537" s="812">
        <v>75149</v>
      </c>
      <c r="I537" s="805">
        <f>G537+H537</f>
        <v>6210624</v>
      </c>
    </row>
    <row r="538" spans="1:9" ht="47.25" x14ac:dyDescent="0.25">
      <c r="A538" s="826" t="str">
        <f>IF(B538&gt;0,VLOOKUP(B538,КВСР!A124:B1289,2),IF(C538&gt;0,VLOOKUP(C538,КФСР!A124:B1636,2),IF(D538&gt;0,VLOOKUP(D538,Программа!A$1:B$5124,2),IF(F538&gt;0,VLOOKUP(F538,КВР!A$1:B$5001,2),IF(E538&gt;0,VLOOKUP(E538,Направление!A$1:B$4816,2))))))</f>
        <v>Предоставление субсидий бюджетным, автономным учреждениям и иным некоммерческим организациям</v>
      </c>
      <c r="B538" s="760"/>
      <c r="C538" s="820"/>
      <c r="D538" s="760"/>
      <c r="E538" s="760"/>
      <c r="F538" s="763">
        <v>600</v>
      </c>
      <c r="G538" s="812">
        <v>378465</v>
      </c>
      <c r="H538" s="812">
        <v>-84467</v>
      </c>
      <c r="I538" s="805">
        <f>G538+H538</f>
        <v>293998</v>
      </c>
    </row>
    <row r="539" spans="1:9" ht="63" x14ac:dyDescent="0.25">
      <c r="A539" s="826" t="str">
        <f>IF(B539&gt;0,VLOOKUP(B539,КВСР!A120:B1285,2),IF(C539&gt;0,VLOOKUP(C539,КФСР!A120:B1632,2),IF(D539&gt;0,VLOOKUP(D539,Программа!A$1:B$5124,2),IF(F539&gt;0,VLOOKUP(F539,КВР!A$1:B$5001,2),IF(E539&gt;0,VLOOKUP(E539,Направление!A$1:B$4816,2))))))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39" s="760"/>
      <c r="C539" s="820"/>
      <c r="D539" s="760"/>
      <c r="E539" s="760">
        <v>73110</v>
      </c>
      <c r="F539" s="763"/>
      <c r="G539" s="812">
        <v>231760969</v>
      </c>
      <c r="H539" s="812">
        <f>H540+H541</f>
        <v>0</v>
      </c>
      <c r="I539" s="805">
        <f>I540+I541</f>
        <v>231760969</v>
      </c>
    </row>
    <row r="540" spans="1:9" ht="110.25" x14ac:dyDescent="0.25">
      <c r="A540" s="826" t="str">
        <f>IF(B540&gt;0,VLOOKUP(B540,КВСР!A121:B1286,2),IF(C540&gt;0,VLOOKUP(C540,КФСР!A121:B1633,2),IF(D540&gt;0,VLOOKUP(D540,Программа!A$1:B$5124,2),IF(F540&gt;0,VLOOKUP(F540,КВР!A$1:B$5001,2),IF(E540&gt;0,VLOOKUP(E540,Направление!A$1:B$4816,2))))))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760"/>
      <c r="C540" s="820"/>
      <c r="D540" s="760"/>
      <c r="E540" s="760"/>
      <c r="F540" s="763">
        <v>100</v>
      </c>
      <c r="G540" s="812">
        <v>220288396</v>
      </c>
      <c r="H540" s="812"/>
      <c r="I540" s="805">
        <f t="shared" si="110"/>
        <v>220288396</v>
      </c>
    </row>
    <row r="541" spans="1:9" ht="63" x14ac:dyDescent="0.25">
      <c r="A541" s="826" t="str">
        <f>IF(B541&gt;0,VLOOKUP(B541,КВСР!A122:B1287,2),IF(C541&gt;0,VLOOKUP(C541,КФСР!A122:B1634,2),IF(D541&gt;0,VLOOKUP(D541,Программа!A$1:B$5124,2),IF(F541&gt;0,VLOOKUP(F541,КВР!A$1:B$5001,2),IF(E541&gt;0,VLOOKUP(E541,Направление!A$1:B$4816,2))))))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760"/>
      <c r="C541" s="820"/>
      <c r="D541" s="760"/>
      <c r="E541" s="760"/>
      <c r="F541" s="763">
        <v>200</v>
      </c>
      <c r="G541" s="812">
        <v>11472573</v>
      </c>
      <c r="H541" s="812"/>
      <c r="I541" s="805">
        <f t="shared" si="110"/>
        <v>11472573</v>
      </c>
    </row>
    <row r="542" spans="1:9" hidden="1" x14ac:dyDescent="0.25">
      <c r="A542" s="826" t="str">
        <f>IF(B542&gt;0,VLOOKUP(B542,КВСР!A123:B1288,2),IF(C542&gt;0,VLOOKUP(C542,КФСР!A123:B1635,2),IF(D542&gt;0,VLOOKUP(D542,Программа!A$1:B$5124,2),IF(F542&gt;0,VLOOKUP(F542,КВР!A$1:B$5001,2),IF(E542&gt;0,VLOOKUP(E542,Направление!A$1:B$4816,2))))))</f>
        <v xml:space="preserve">Иная дотация </v>
      </c>
      <c r="B542" s="760"/>
      <c r="C542" s="820"/>
      <c r="D542" s="760"/>
      <c r="E542" s="760">
        <v>73260</v>
      </c>
      <c r="F542" s="763"/>
      <c r="G542" s="812">
        <v>0</v>
      </c>
      <c r="H542" s="812">
        <f t="shared" ref="H542:I542" si="124">H543</f>
        <v>0</v>
      </c>
      <c r="I542" s="805">
        <f t="shared" si="124"/>
        <v>0</v>
      </c>
    </row>
    <row r="543" spans="1:9" ht="63" hidden="1" x14ac:dyDescent="0.25">
      <c r="A543" s="826" t="str">
        <f>IF(B543&gt;0,VLOOKUP(B543,КВСР!A124:B1289,2),IF(C543&gt;0,VLOOKUP(C543,КФСР!A124:B1636,2),IF(D543&gt;0,VLOOKUP(D543,Программа!A$1:B$5124,2),IF(F543&gt;0,VLOOKUP(F543,КВР!A$1:B$5001,2),IF(E543&gt;0,VLOOKUP(E543,Направление!A$1:B$4816,2))))))</f>
        <v xml:space="preserve">Закупка товаров, работ и услуг для обеспечения государственных (муниципальных) нужд
</v>
      </c>
      <c r="B543" s="760"/>
      <c r="C543" s="820"/>
      <c r="D543" s="760"/>
      <c r="E543" s="760"/>
      <c r="F543" s="763">
        <v>200</v>
      </c>
      <c r="G543" s="812">
        <v>0</v>
      </c>
      <c r="H543" s="812"/>
      <c r="I543" s="805">
        <f>G543+H543</f>
        <v>0</v>
      </c>
    </row>
    <row r="544" spans="1:9" ht="47.25" x14ac:dyDescent="0.25">
      <c r="A544" s="826" t="str">
        <f>IF(B544&gt;0,VLOOKUP(B544,КВСР!A123:B1288,2),IF(C544&gt;0,VLOOKUP(C544,КФСР!A123:B1635,2),IF(D544&gt;0,VLOOKUP(D544,Программа!A$1:B$5124,2),IF(F544&gt;0,VLOOKUP(F544,КВР!A$1:B$5001,2),IF(E544&gt;0,VLOOKUP(E544,Направление!A$1:B$4816,2))))))</f>
        <v>Расходы на реализацию мероприятий инициативного бюджетирования на территории Ярославской области</v>
      </c>
      <c r="B544" s="760"/>
      <c r="C544" s="820"/>
      <c r="D544" s="760"/>
      <c r="E544" s="760">
        <v>75350</v>
      </c>
      <c r="F544" s="763"/>
      <c r="G544" s="812">
        <v>4667602</v>
      </c>
      <c r="H544" s="812">
        <f>H545+H546</f>
        <v>0</v>
      </c>
      <c r="I544" s="805">
        <f>I545+I546</f>
        <v>4667602</v>
      </c>
    </row>
    <row r="545" spans="1:9" ht="63" x14ac:dyDescent="0.25">
      <c r="A545" s="826" t="str">
        <f>IF(B545&gt;0,VLOOKUP(B545,КВСР!A124:B1289,2),IF(C545&gt;0,VLOOKUP(C545,КФСР!A124:B1636,2),IF(D545&gt;0,VLOOKUP(D545,Программа!A$1:B$5124,2),IF(F545&gt;0,VLOOKUP(F545,КВР!A$1:B$5001,2),IF(E545&gt;0,VLOOKUP(E545,Направление!A$1:B$4816,2))))))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760"/>
      <c r="C545" s="820"/>
      <c r="D545" s="760"/>
      <c r="E545" s="760"/>
      <c r="F545" s="763">
        <v>200</v>
      </c>
      <c r="G545" s="812">
        <v>4467602</v>
      </c>
      <c r="H545" s="812"/>
      <c r="I545" s="805">
        <f>G545+H545</f>
        <v>4467602</v>
      </c>
    </row>
    <row r="546" spans="1:9" ht="47.25" x14ac:dyDescent="0.25">
      <c r="A546" s="826" t="str">
        <f>IF(B546&gt;0,VLOOKUP(B546,КВСР!A125:B1290,2),IF(C546&gt;0,VLOOKUP(C546,КФСР!A125:B1637,2),IF(D546&gt;0,VLOOKUP(D546,Программа!A$1:B$5124,2),IF(F546&gt;0,VLOOKUP(F546,КВР!A$1:B$5001,2),IF(E546&gt;0,VLOOKUP(E546,Направление!A$1:B$4816,2))))))</f>
        <v>Предоставление субсидий бюджетным, автономным учреждениям и иным некоммерческим организациям</v>
      </c>
      <c r="B546" s="760"/>
      <c r="C546" s="820"/>
      <c r="D546" s="760"/>
      <c r="E546" s="760"/>
      <c r="F546" s="763">
        <v>600</v>
      </c>
      <c r="G546" s="812">
        <v>200000</v>
      </c>
      <c r="H546" s="812"/>
      <c r="I546" s="805">
        <f>G546+H546</f>
        <v>200000</v>
      </c>
    </row>
    <row r="547" spans="1:9" ht="63" x14ac:dyDescent="0.25">
      <c r="A547" s="826" t="str">
        <f>IF(B547&gt;0,VLOOKUP(B547,КВСР!A125:B1290,2),IF(C547&gt;0,VLOOKUP(C547,КФСР!A125:B1637,2),IF(D547&gt;0,VLOOKUP(D547,Программа!A$1:B$5124,2),IF(F547&gt;0,VLOOKUP(F547,КВР!A$1:B$5001,2),IF(E547&gt;0,VLOOKUP(E547,Направление!A$1:B$4816,2))))))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47" s="760"/>
      <c r="C547" s="820"/>
      <c r="D547" s="760"/>
      <c r="E547" s="760">
        <v>75890</v>
      </c>
      <c r="F547" s="763"/>
      <c r="G547" s="812">
        <v>907039</v>
      </c>
      <c r="H547" s="812">
        <f>H548</f>
        <v>-147982</v>
      </c>
      <c r="I547" s="805">
        <f t="shared" ref="I547" si="125">I548+I549</f>
        <v>759057</v>
      </c>
    </row>
    <row r="548" spans="1:9" ht="110.25" x14ac:dyDescent="0.25">
      <c r="A548" s="826" t="str">
        <f>IF(B548&gt;0,VLOOKUP(B548,КВСР!A126:B1291,2),IF(C548&gt;0,VLOOKUP(C548,КФСР!A126:B1638,2),IF(D548&gt;0,VLOOKUP(D548,Программа!A$1:B$5124,2),IF(F548&gt;0,VLOOKUP(F548,КВР!A$1:B$5001,2),IF(E548&gt;0,VLOOKUP(E548,Направление!A$1:B$4816,2))))))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760"/>
      <c r="C548" s="820"/>
      <c r="D548" s="760"/>
      <c r="E548" s="760"/>
      <c r="F548" s="763">
        <v>100</v>
      </c>
      <c r="G548" s="812">
        <v>907039</v>
      </c>
      <c r="H548" s="812">
        <v>-147982</v>
      </c>
      <c r="I548" s="805">
        <f>G548+H548</f>
        <v>759057</v>
      </c>
    </row>
    <row r="549" spans="1:9" ht="47.25" hidden="1" x14ac:dyDescent="0.25">
      <c r="A549" s="826" t="str">
        <f>IF(B549&gt;0,VLOOKUP(B549,КВСР!A127:B1292,2),IF(C549&gt;0,VLOOKUP(C549,КФСР!A127:B1639,2),IF(D549&gt;0,VLOOKUP(D549,Программа!A$1:B$5124,2),IF(F549&gt;0,VLOOKUP(F549,КВР!A$1:B$5001,2),IF(E549&gt;0,VLOOKUP(E549,Направление!A$1:B$4816,2))))))</f>
        <v>Предоставление субсидий бюджетным, автономным учреждениям и иным некоммерческим организациям</v>
      </c>
      <c r="B549" s="760"/>
      <c r="C549" s="820"/>
      <c r="D549" s="760"/>
      <c r="E549" s="760"/>
      <c r="F549" s="763">
        <v>600</v>
      </c>
      <c r="G549" s="812">
        <v>0</v>
      </c>
      <c r="H549" s="812"/>
      <c r="I549" s="805">
        <f>G549+H549</f>
        <v>0</v>
      </c>
    </row>
    <row r="550" spans="1:9" ht="47.25" hidden="1" x14ac:dyDescent="0.25">
      <c r="A550" s="826" t="str">
        <f>IF(B550&gt;0,VLOOKUP(B550,КВСР!A122:B1287,2),IF(C550&gt;0,VLOOKUP(C550,КФСР!A122:B1634,2),IF(D550&gt;0,VLOOKUP(D550,Программа!A$1:B$5124,2),IF(F550&gt;0,VLOOKUP(F550,КВР!A$1:B$5001,2),IF(E550&gt;0,VLOOKUP(E550,Направление!A$1:B$4816,2))))))</f>
        <v>Муниципальная программа "Социальная поддержка населения Тутаевского муниципального района"</v>
      </c>
      <c r="B550" s="760"/>
      <c r="C550" s="820"/>
      <c r="D550" s="760" t="s">
        <v>376</v>
      </c>
      <c r="E550" s="760"/>
      <c r="F550" s="763"/>
      <c r="G550" s="812">
        <v>0</v>
      </c>
      <c r="H550" s="812">
        <f>H551</f>
        <v>0</v>
      </c>
      <c r="I550" s="805">
        <f t="shared" si="110"/>
        <v>0</v>
      </c>
    </row>
    <row r="551" spans="1:9" ht="47.25" hidden="1" x14ac:dyDescent="0.25">
      <c r="A551" s="826" t="str">
        <f>IF(B551&gt;0,VLOOKUP(B551,КВСР!A123:B1288,2),IF(C551&gt;0,VLOOKUP(C551,КФСР!A123:B1635,2),IF(D551&gt;0,VLOOKUP(D551,Программа!A$1:B$5124,2),IF(F551&gt;0,VLOOKUP(F551,КВР!A$1:B$5001,2),IF(E551&gt;0,VLOOKUP(E551,Направление!A$1:B$4816,2))))))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551" s="760"/>
      <c r="C551" s="820"/>
      <c r="D551" s="760" t="s">
        <v>378</v>
      </c>
      <c r="E551" s="760"/>
      <c r="F551" s="763"/>
      <c r="G551" s="812">
        <v>0</v>
      </c>
      <c r="H551" s="812">
        <f>H552+H556</f>
        <v>0</v>
      </c>
      <c r="I551" s="805">
        <f t="shared" si="110"/>
        <v>0</v>
      </c>
    </row>
    <row r="552" spans="1:9" ht="63" hidden="1" x14ac:dyDescent="0.25">
      <c r="A552" s="826" t="str">
        <f>IF(B552&gt;0,VLOOKUP(B552,КВСР!A124:B1289,2),IF(C552&gt;0,VLOOKUP(C552,КФСР!A124:B1636,2),IF(D552&gt;0,VLOOKUP(D552,Программа!A$1:B$5124,2),IF(F552&gt;0,VLOOKUP(F552,КВР!A$1:B$5001,2),IF(E552&gt;0,VLOOKUP(E552,Направление!A$1:B$4816,2))))))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52" s="760"/>
      <c r="C552" s="820"/>
      <c r="D552" s="760" t="s">
        <v>379</v>
      </c>
      <c r="E552" s="760"/>
      <c r="F552" s="763"/>
      <c r="G552" s="812">
        <v>0</v>
      </c>
      <c r="H552" s="812">
        <f>H553</f>
        <v>0</v>
      </c>
      <c r="I552" s="805">
        <f t="shared" si="110"/>
        <v>0</v>
      </c>
    </row>
    <row r="553" spans="1:9" ht="31.5" hidden="1" x14ac:dyDescent="0.25">
      <c r="A553" s="826" t="str">
        <f>IF(B553&gt;0,VLOOKUP(B553,КВСР!A125:B1290,2),IF(C553&gt;0,VLOOKUP(C553,КФСР!A125:B1637,2),IF(D553&gt;0,VLOOKUP(D553,Программа!A$1:B$5124,2),IF(F553&gt;0,VLOOKUP(F553,КВР!A$1:B$5001,2),IF(E553&gt;0,VLOOKUP(E553,Направление!A$1:B$4816,2))))))</f>
        <v>Расходы на реализацию мероприятий по улучшению условий и охраны труда</v>
      </c>
      <c r="B553" s="760"/>
      <c r="C553" s="820"/>
      <c r="D553" s="760"/>
      <c r="E553" s="760">
        <v>16150</v>
      </c>
      <c r="F553" s="763"/>
      <c r="G553" s="812">
        <v>0</v>
      </c>
      <c r="H553" s="812">
        <f>H554+H555</f>
        <v>0</v>
      </c>
      <c r="I553" s="805">
        <f t="shared" si="110"/>
        <v>0</v>
      </c>
    </row>
    <row r="554" spans="1:9" ht="63" hidden="1" x14ac:dyDescent="0.25">
      <c r="A554" s="826" t="str">
        <f>IF(B554&gt;0,VLOOKUP(B554,КВСР!A126:B1291,2),IF(C554&gt;0,VLOOKUP(C554,КФСР!A126:B1638,2),IF(D554&gt;0,VLOOKUP(D554,Программа!A$1:B$5124,2),IF(F554&gt;0,VLOOKUP(F554,КВР!A$1:B$5001,2),IF(E554&gt;0,VLOOKUP(E554,Направление!A$1:B$4816,2))))))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760"/>
      <c r="C554" s="820"/>
      <c r="D554" s="760"/>
      <c r="E554" s="760"/>
      <c r="F554" s="763">
        <v>200</v>
      </c>
      <c r="G554" s="812">
        <v>0</v>
      </c>
      <c r="H554" s="812"/>
      <c r="I554" s="805">
        <f t="shared" si="110"/>
        <v>0</v>
      </c>
    </row>
    <row r="555" spans="1:9" ht="47.25" hidden="1" x14ac:dyDescent="0.25">
      <c r="A555" s="826" t="str">
        <f>IF(B555&gt;0,VLOOKUP(B555,КВСР!A127:B1292,2),IF(C555&gt;0,VLOOKUP(C555,КФСР!A127:B1639,2),IF(D555&gt;0,VLOOKUP(D555,Программа!A$1:B$5124,2),IF(F555&gt;0,VLOOKUP(F555,КВР!A$1:B$5001,2),IF(E555&gt;0,VLOOKUP(E555,Направление!A$1:B$4816,2))))))</f>
        <v>Предоставление субсидий бюджетным, автономным учреждениям и иным некоммерческим организациям</v>
      </c>
      <c r="B555" s="760"/>
      <c r="C555" s="820"/>
      <c r="D555" s="760"/>
      <c r="E555" s="760"/>
      <c r="F555" s="763">
        <v>600</v>
      </c>
      <c r="G555" s="812">
        <v>0</v>
      </c>
      <c r="H555" s="812"/>
      <c r="I555" s="805">
        <f t="shared" si="110"/>
        <v>0</v>
      </c>
    </row>
    <row r="556" spans="1:9" ht="47.25" hidden="1" x14ac:dyDescent="0.25">
      <c r="A556" s="826" t="str">
        <f>IF(B556&gt;0,VLOOKUP(B556,КВСР!A127:B1292,2),IF(C556&gt;0,VLOOKUP(C556,КФСР!A127:B1639,2),IF(D556&gt;0,VLOOKUP(D556,Программа!A$1:B$5124,2),IF(F556&gt;0,VLOOKUP(F556,КВР!A$1:B$5001,2),IF(E556&gt;0,VLOOKUP(E556,Направление!A$1:B$4816,2))))))</f>
        <v>Обучение по охране труда работников организаций Тутаевского муниципального района</v>
      </c>
      <c r="B556" s="760"/>
      <c r="C556" s="820"/>
      <c r="D556" s="760" t="s">
        <v>1036</v>
      </c>
      <c r="E556" s="760"/>
      <c r="F556" s="763"/>
      <c r="G556" s="812">
        <v>0</v>
      </c>
      <c r="H556" s="812">
        <f>H557</f>
        <v>0</v>
      </c>
      <c r="I556" s="805">
        <f t="shared" si="110"/>
        <v>0</v>
      </c>
    </row>
    <row r="557" spans="1:9" ht="31.5" hidden="1" x14ac:dyDescent="0.25">
      <c r="A557" s="826" t="str">
        <f>IF(B557&gt;0,VLOOKUP(B557,КВСР!A128:B1293,2),IF(C557&gt;0,VLOOKUP(C557,КФСР!A128:B1640,2),IF(D557&gt;0,VLOOKUP(D557,Программа!A$1:B$5124,2),IF(F557&gt;0,VLOOKUP(F557,КВР!A$1:B$5001,2),IF(E557&gt;0,VLOOKUP(E557,Направление!A$1:B$4816,2))))))</f>
        <v>Расходы на реализацию мероприятий по улучшению условий и охраны труда</v>
      </c>
      <c r="B557" s="760"/>
      <c r="C557" s="820"/>
      <c r="D557" s="760"/>
      <c r="E557" s="760">
        <v>16150</v>
      </c>
      <c r="F557" s="763"/>
      <c r="G557" s="812">
        <v>0</v>
      </c>
      <c r="H557" s="812">
        <f>H558</f>
        <v>0</v>
      </c>
      <c r="I557" s="805">
        <f t="shared" si="110"/>
        <v>0</v>
      </c>
    </row>
    <row r="558" spans="1:9" ht="63" hidden="1" x14ac:dyDescent="0.25">
      <c r="A558" s="826" t="str">
        <f>IF(B558&gt;0,VLOOKUP(B558,КВСР!A129:B1294,2),IF(C558&gt;0,VLOOKUP(C558,КФСР!A129:B1641,2),IF(D558&gt;0,VLOOKUP(D558,Программа!A$1:B$5124,2),IF(F558&gt;0,VLOOKUP(F558,КВР!A$1:B$5001,2),IF(E558&gt;0,VLOOKUP(E558,Направление!A$1:B$4816,2))))))</f>
        <v xml:space="preserve">Закупка товаров, работ и услуг для обеспечения государственных (муниципальных) нужд
</v>
      </c>
      <c r="B558" s="760"/>
      <c r="C558" s="820"/>
      <c r="D558" s="760"/>
      <c r="E558" s="760"/>
      <c r="F558" s="763">
        <v>200</v>
      </c>
      <c r="G558" s="812">
        <v>0</v>
      </c>
      <c r="H558" s="812"/>
      <c r="I558" s="805">
        <f t="shared" si="110"/>
        <v>0</v>
      </c>
    </row>
    <row r="559" spans="1:9" hidden="1" x14ac:dyDescent="0.25">
      <c r="A559" s="826" t="str">
        <f>IF(B559&gt;0,VLOOKUP(B559,КВСР!A125:B1290,2),IF(C559&gt;0,VLOOKUP(C559,КФСР!A125:B1637,2),IF(D559&gt;0,VLOOKUP(D559,Программа!A$1:B$5124,2),IF(F559&gt;0,VLOOKUP(F559,КВР!A$1:B$5001,2),IF(E559&gt;0,VLOOKUP(E559,Направление!A$1:B$4816,2))))))</f>
        <v>Непрограммные расходы бюджета</v>
      </c>
      <c r="B559" s="760"/>
      <c r="C559" s="820"/>
      <c r="D559" s="760" t="s">
        <v>311</v>
      </c>
      <c r="E559" s="760"/>
      <c r="F559" s="763"/>
      <c r="G559" s="812">
        <v>0</v>
      </c>
      <c r="H559" s="812">
        <f>H560</f>
        <v>0</v>
      </c>
      <c r="I559" s="805">
        <f t="shared" si="110"/>
        <v>0</v>
      </c>
    </row>
    <row r="560" spans="1:9" ht="47.25" hidden="1" x14ac:dyDescent="0.25">
      <c r="A560" s="826" t="str">
        <f>IF(B560&gt;0,VLOOKUP(B560,КВСР!A117:B1282,2),IF(C560&gt;0,VLOOKUP(C560,КФСР!A117:B1629,2),IF(D560&gt;0,VLOOKUP(D560,Программа!A$1:B$5124,2),IF(F560&gt;0,VLOOKUP(F560,КВР!A$1:B$5001,2),IF(E560&gt;0,VLOOKUP(E560,Направление!A$1:B$4816,2))))))</f>
        <v>Исполнение судебных актов, актов других органов и должностных лиц, иных документов</v>
      </c>
      <c r="B560" s="760"/>
      <c r="C560" s="820"/>
      <c r="D560" s="760"/>
      <c r="E560" s="760">
        <v>12130</v>
      </c>
      <c r="F560" s="763"/>
      <c r="G560" s="812">
        <v>0</v>
      </c>
      <c r="H560" s="812">
        <f>H561</f>
        <v>0</v>
      </c>
      <c r="I560" s="805">
        <f t="shared" si="110"/>
        <v>0</v>
      </c>
    </row>
    <row r="561" spans="1:9" ht="47.25" hidden="1" x14ac:dyDescent="0.25">
      <c r="A561" s="826" t="str">
        <f>IF(B561&gt;0,VLOOKUP(B561,КВСР!A118:B1283,2),IF(C561&gt;0,VLOOKUP(C561,КФСР!A118:B1630,2),IF(D561&gt;0,VLOOKUP(D561,Программа!A$1:B$5124,2),IF(F561&gt;0,VLOOKUP(F561,КВР!A$1:B$5001,2),IF(E561&gt;0,VLOOKUP(E561,Направление!A$1:B$4816,2))))))</f>
        <v>Предоставление субсидий бюджетным, автономным учреждениям и иным некоммерческим организациям</v>
      </c>
      <c r="B561" s="760"/>
      <c r="C561" s="820"/>
      <c r="D561" s="760"/>
      <c r="E561" s="760"/>
      <c r="F561" s="763">
        <v>600</v>
      </c>
      <c r="G561" s="812">
        <v>0</v>
      </c>
      <c r="H561" s="812"/>
      <c r="I561" s="805">
        <f t="shared" si="110"/>
        <v>0</v>
      </c>
    </row>
    <row r="562" spans="1:9" x14ac:dyDescent="0.25">
      <c r="A562" s="826" t="str">
        <f>IF(B562&gt;0,VLOOKUP(B562,КВСР!A120:B1285,2),IF(C562&gt;0,VLOOKUP(C562,КФСР!A120:B1632,2),IF(D562&gt;0,VLOOKUP(D562,Программа!A$1:B$5124,2),IF(F562&gt;0,VLOOKUP(F562,КВР!A$1:B$5001,2),IF(E562&gt;0,VLOOKUP(E562,Направление!A$1:B$4816,2))))))</f>
        <v>Общее образование</v>
      </c>
      <c r="B562" s="760"/>
      <c r="C562" s="827">
        <v>702</v>
      </c>
      <c r="D562" s="760"/>
      <c r="E562" s="760"/>
      <c r="F562" s="763"/>
      <c r="G562" s="812">
        <v>584441171.36000001</v>
      </c>
      <c r="H562" s="812">
        <f>H568+H607+H563</f>
        <v>-5136985.08</v>
      </c>
      <c r="I562" s="805">
        <f>I568+I607+I563</f>
        <v>579304186.27999997</v>
      </c>
    </row>
    <row r="563" spans="1:9" ht="63" x14ac:dyDescent="0.25">
      <c r="A563" s="826" t="str">
        <f>IF(B563&gt;0,VLOOKUP(B563,КВСР!A121:B1286,2),IF(C563&gt;0,VLOOKUP(C563,КФСР!A121:B1633,2),IF(D563&gt;0,VLOOKUP(D563,Программа!A$1:B$5124,2),IF(F563&gt;0,VLOOKUP(F563,КВР!A$1:B$5001,2),IF(E563&gt;0,VLOOKUP(E563,Направление!A$1:B$4816,2))))))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63" s="760"/>
      <c r="C563" s="820"/>
      <c r="D563" s="760" t="s">
        <v>396</v>
      </c>
      <c r="E563" s="760"/>
      <c r="F563" s="763"/>
      <c r="G563" s="812">
        <v>15000</v>
      </c>
      <c r="H563" s="812">
        <f t="shared" ref="H563:I566" si="126">H564</f>
        <v>0</v>
      </c>
      <c r="I563" s="805">
        <f t="shared" si="126"/>
        <v>15000</v>
      </c>
    </row>
    <row r="564" spans="1:9" ht="94.5" x14ac:dyDescent="0.25">
      <c r="A564" s="826" t="str">
        <f>IF(B564&gt;0,VLOOKUP(B564,КВСР!A122:B1287,2),IF(C564&gt;0,VLOOKUP(C564,КФСР!A122:B1634,2),IF(D564&gt;0,VLOOKUP(D564,Программа!A$1:B$5124,2),IF(F564&gt;0,VLOOKUP(F564,КВР!A$1:B$5001,2),IF(E564&gt;0,VLOOKUP(E564,Направление!A$1:B$4816,2))))))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64" s="760"/>
      <c r="C564" s="820"/>
      <c r="D564" s="760" t="s">
        <v>398</v>
      </c>
      <c r="E564" s="760"/>
      <c r="F564" s="763"/>
      <c r="G564" s="812">
        <v>15000</v>
      </c>
      <c r="H564" s="812">
        <f t="shared" si="126"/>
        <v>0</v>
      </c>
      <c r="I564" s="805">
        <f t="shared" si="126"/>
        <v>15000</v>
      </c>
    </row>
    <row r="565" spans="1:9" ht="78.75" x14ac:dyDescent="0.25">
      <c r="A565" s="826" t="str">
        <f>IF(B565&gt;0,VLOOKUP(B565,КВСР!A123:B1288,2),IF(C565&gt;0,VLOOKUP(C565,КФСР!A123:B1635,2),IF(D565&gt;0,VLOOKUP(D565,Программа!A$1:B$5124,2),IF(F565&gt;0,VLOOKUP(F565,КВР!A$1:B$5001,2),IF(E565&gt;0,VLOOKUP(E565,Направление!A$1:B$4816,2))))))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65" s="760"/>
      <c r="C565" s="820"/>
      <c r="D565" s="760" t="s">
        <v>400</v>
      </c>
      <c r="E565" s="760"/>
      <c r="F565" s="763"/>
      <c r="G565" s="812">
        <v>15000</v>
      </c>
      <c r="H565" s="812">
        <f t="shared" si="126"/>
        <v>0</v>
      </c>
      <c r="I565" s="805">
        <f t="shared" si="126"/>
        <v>15000</v>
      </c>
    </row>
    <row r="566" spans="1:9" ht="31.5" x14ac:dyDescent="0.25">
      <c r="A566" s="826" t="str">
        <f>IF(B566&gt;0,VLOOKUP(B566,КВСР!A124:B1289,2),IF(C566&gt;0,VLOOKUP(C566,КФСР!A124:B1636,2),IF(D566&gt;0,VLOOKUP(D566,Программа!A$1:B$5124,2),IF(F566&gt;0,VLOOKUP(F566,КВР!A$1:B$5001,2),IF(E566&gt;0,VLOOKUP(E566,Направление!A$1:B$4816,2))))))</f>
        <v>Мероприятия по патриотическому воспитанию граждан</v>
      </c>
      <c r="B566" s="760"/>
      <c r="C566" s="820"/>
      <c r="D566" s="760"/>
      <c r="E566" s="760">
        <v>74880</v>
      </c>
      <c r="F566" s="763"/>
      <c r="G566" s="812">
        <v>15000</v>
      </c>
      <c r="H566" s="812">
        <f t="shared" si="126"/>
        <v>0</v>
      </c>
      <c r="I566" s="805">
        <f t="shared" si="126"/>
        <v>15000</v>
      </c>
    </row>
    <row r="567" spans="1:9" ht="47.25" x14ac:dyDescent="0.25">
      <c r="A567" s="826" t="str">
        <f>IF(B567&gt;0,VLOOKUP(B567,КВСР!A125:B1290,2),IF(C567&gt;0,VLOOKUP(C567,КФСР!A125:B1637,2),IF(D567&gt;0,VLOOKUP(D567,Программа!A$1:B$5124,2),IF(F567&gt;0,VLOOKUP(F567,КВР!A$1:B$5001,2),IF(E567&gt;0,VLOOKUP(E567,Направление!A$1:B$4816,2))))))</f>
        <v>Предоставление субсидий бюджетным, автономным учреждениям и иным некоммерческим организациям</v>
      </c>
      <c r="B567" s="760"/>
      <c r="C567" s="820"/>
      <c r="D567" s="760"/>
      <c r="E567" s="760"/>
      <c r="F567" s="763">
        <v>600</v>
      </c>
      <c r="G567" s="812">
        <v>15000</v>
      </c>
      <c r="H567" s="812"/>
      <c r="I567" s="805">
        <f>G567+H567</f>
        <v>15000</v>
      </c>
    </row>
    <row r="568" spans="1:9" ht="63" x14ac:dyDescent="0.25">
      <c r="A568" s="826" t="str">
        <f>IF(B568&gt;0,VLOOKUP(B568,КВСР!A121:B1286,2),IF(C568&gt;0,VLOOKUP(C568,КФСР!A121:B1633,2),IF(D568&gt;0,VLOOKUP(D568,Программа!A$1:B$5124,2),IF(F568&gt;0,VLOOKUP(F568,КВР!A$1:B$5001,2),IF(E568&gt;0,VLOOKUP(E568,Направление!A$1:B$4816,2))))))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68" s="760"/>
      <c r="C568" s="820"/>
      <c r="D568" s="760" t="s">
        <v>367</v>
      </c>
      <c r="E568" s="760"/>
      <c r="F568" s="763"/>
      <c r="G568" s="812">
        <v>584426171.36000001</v>
      </c>
      <c r="H568" s="812">
        <f>H569+H603</f>
        <v>-5136985.08</v>
      </c>
      <c r="I568" s="805">
        <f>I569+I603</f>
        <v>579289186.27999997</v>
      </c>
    </row>
    <row r="569" spans="1:9" ht="63" x14ac:dyDescent="0.25">
      <c r="A569" s="826" t="str">
        <f>IF(B569&gt;0,VLOOKUP(B569,КВСР!A122:B1287,2),IF(C569&gt;0,VLOOKUP(C569,КФСР!A122:B1634,2),IF(D569&gt;0,VLOOKUP(D569,Программа!A$1:B$5124,2),IF(F569&gt;0,VLOOKUP(F569,КВР!A$1:B$5001,2),IF(E569&gt;0,VLOOKUP(E569,Направление!A$1:B$4816,2))))))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69" s="760"/>
      <c r="C569" s="820"/>
      <c r="D569" s="760" t="s">
        <v>369</v>
      </c>
      <c r="E569" s="760"/>
      <c r="F569" s="763"/>
      <c r="G569" s="812">
        <v>584426171.36000001</v>
      </c>
      <c r="H569" s="812">
        <f>H570+H600+H595</f>
        <v>-5136985.08</v>
      </c>
      <c r="I569" s="805">
        <f>I570+I600+I595</f>
        <v>579289186.27999997</v>
      </c>
    </row>
    <row r="570" spans="1:9" ht="47.25" x14ac:dyDescent="0.25">
      <c r="A570" s="826" t="str">
        <f>IF(B570&gt;0,VLOOKUP(B570,КВСР!A123:B1288,2),IF(C570&gt;0,VLOOKUP(C570,КФСР!A123:B1635,2),IF(D570&gt;0,VLOOKUP(D570,Программа!A$1:B$5124,2),IF(F570&gt;0,VLOOKUP(F570,КВР!A$1:B$5001,2),IF(E570&gt;0,VLOOKUP(E570,Направление!A$1:B$4816,2))))))</f>
        <v>Обеспечение качества и доступности образовательных услуг в сфере общего образования</v>
      </c>
      <c r="B570" s="760"/>
      <c r="C570" s="820"/>
      <c r="D570" s="760" t="s">
        <v>409</v>
      </c>
      <c r="E570" s="760"/>
      <c r="F570" s="763"/>
      <c r="G570" s="812">
        <v>582306171.36000001</v>
      </c>
      <c r="H570" s="812">
        <f>H573+H575+H579+H583+H585+H591+H593+H577+H587+H589+H571+H581</f>
        <v>-4875432.08</v>
      </c>
      <c r="I570" s="805">
        <f>I573+I575+I579+I583+I585+I591+I593+I577+I587+I589+I571+I581</f>
        <v>577430739.27999997</v>
      </c>
    </row>
    <row r="571" spans="1:9" ht="63" x14ac:dyDescent="0.25">
      <c r="A571" s="826" t="str">
        <f>IF(B571&gt;0,VLOOKUP(B571,КВСР!A124:B1289,2),IF(C571&gt;0,VLOOKUP(C571,КФСР!A124:B1636,2),IF(D571&gt;0,VLOOKUP(D571,Программа!A$1:B$5124,2),IF(F571&gt;0,VLOOKUP(F571,КВР!A$1:B$5001,2),IF(E571&gt;0,VLOOKUP(E571,Направление!A$1:B$4816,2))))))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71" s="760"/>
      <c r="C571" s="820"/>
      <c r="D571" s="760"/>
      <c r="E571" s="760">
        <v>10371</v>
      </c>
      <c r="F571" s="763"/>
      <c r="G571" s="812">
        <v>94737</v>
      </c>
      <c r="H571" s="812">
        <f>H572</f>
        <v>0</v>
      </c>
      <c r="I571" s="805">
        <f t="shared" ref="I571" si="127">I572</f>
        <v>94737</v>
      </c>
    </row>
    <row r="572" spans="1:9" ht="47.25" x14ac:dyDescent="0.25">
      <c r="A572" s="826" t="str">
        <f>IF(B572&gt;0,VLOOKUP(B572,КВСР!A125:B1290,2),IF(C572&gt;0,VLOOKUP(C572,КФСР!A125:B1637,2),IF(D572&gt;0,VLOOKUP(D572,Программа!A$1:B$5124,2),IF(F572&gt;0,VLOOKUP(F572,КВР!A$1:B$5001,2),IF(E572&gt;0,VLOOKUP(E572,Направление!A$1:B$4816,2))))))</f>
        <v>Предоставление субсидий бюджетным, автономным учреждениям и иным некоммерческим организациям</v>
      </c>
      <c r="B572" s="760"/>
      <c r="C572" s="820"/>
      <c r="D572" s="760"/>
      <c r="E572" s="760"/>
      <c r="F572" s="763">
        <v>600</v>
      </c>
      <c r="G572" s="812">
        <v>94737</v>
      </c>
      <c r="H572" s="812"/>
      <c r="I572" s="805">
        <f t="shared" si="110"/>
        <v>94737</v>
      </c>
    </row>
    <row r="573" spans="1:9" ht="31.5" x14ac:dyDescent="0.25">
      <c r="A573" s="826" t="str">
        <f>IF(B573&gt;0,VLOOKUP(B573,КВСР!A123:B1288,2),IF(C573&gt;0,VLOOKUP(C573,КФСР!A123:B1635,2),IF(D573&gt;0,VLOOKUP(D573,Программа!A$1:B$5124,2),IF(F573&gt;0,VLOOKUP(F573,КВР!A$1:B$5001,2),IF(E573&gt;0,VLOOKUP(E573,Направление!A$1:B$4816,2))))))</f>
        <v>Обеспечение деятельности общеобразовательных учреждений</v>
      </c>
      <c r="B573" s="760"/>
      <c r="C573" s="820"/>
      <c r="D573" s="760"/>
      <c r="E573" s="760">
        <v>13110</v>
      </c>
      <c r="F573" s="763"/>
      <c r="G573" s="812">
        <v>94546956.359999999</v>
      </c>
      <c r="H573" s="812">
        <f>H574</f>
        <v>1012473</v>
      </c>
      <c r="I573" s="805">
        <f>I574</f>
        <v>95559429.359999999</v>
      </c>
    </row>
    <row r="574" spans="1:9" ht="47.25" x14ac:dyDescent="0.25">
      <c r="A574" s="826" t="str">
        <f>IF(B574&gt;0,VLOOKUP(B574,КВСР!A124:B1289,2),IF(C574&gt;0,VLOOKUP(C574,КФСР!A124:B1636,2),IF(D574&gt;0,VLOOKUP(D574,Программа!A$1:B$5124,2),IF(F574&gt;0,VLOOKUP(F574,КВР!A$1:B$5001,2),IF(E574&gt;0,VLOOKUP(E574,Направление!A$1:B$4816,2))))))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760"/>
      <c r="C574" s="820"/>
      <c r="D574" s="760"/>
      <c r="E574" s="760"/>
      <c r="F574" s="763">
        <v>600</v>
      </c>
      <c r="G574" s="812">
        <v>94546956.359999999</v>
      </c>
      <c r="H574" s="812">
        <v>1012473</v>
      </c>
      <c r="I574" s="805">
        <f t="shared" si="110"/>
        <v>95559429.359999999</v>
      </c>
    </row>
    <row r="575" spans="1:9" ht="47.25" x14ac:dyDescent="0.25">
      <c r="A575" s="826" t="str">
        <f>IF(B575&gt;0,VLOOKUP(B575,КВСР!A125:B1290,2),IF(C575&gt;0,VLOOKUP(C575,КФСР!A125:B1637,2),IF(D575&gt;0,VLOOKUP(D575,Программа!A$1:B$5124,2),IF(F575&gt;0,VLOOKUP(F575,КВР!A$1:B$5001,2),IF(E575&gt;0,VLOOKUP(E575,Направление!A$1:B$4816,2))))))</f>
        <v>Расходы на реализацию мероприятий инициативного бюджетирования на территории Ярославской области</v>
      </c>
      <c r="B575" s="760"/>
      <c r="C575" s="820"/>
      <c r="D575" s="760"/>
      <c r="E575" s="760">
        <v>15350</v>
      </c>
      <c r="F575" s="763"/>
      <c r="G575" s="812">
        <v>295937</v>
      </c>
      <c r="H575" s="812">
        <f>H576</f>
        <v>-30764.080000000002</v>
      </c>
      <c r="I575" s="805">
        <f>I576</f>
        <v>265172.92</v>
      </c>
    </row>
    <row r="576" spans="1:9" ht="47.25" x14ac:dyDescent="0.25">
      <c r="A576" s="826" t="str">
        <f>IF(B576&gt;0,VLOOKUP(B576,КВСР!A126:B1291,2),IF(C576&gt;0,VLOOKUP(C576,КФСР!A126:B1638,2),IF(D576&gt;0,VLOOKUP(D576,Программа!A$1:B$5124,2),IF(F576&gt;0,VLOOKUP(F576,КВР!A$1:B$5001,2),IF(E576&gt;0,VLOOKUP(E576,Направление!A$1:B$4816,2))))))</f>
        <v>Предоставление субсидий бюджетным, автономным учреждениям и иным некоммерческим организациям</v>
      </c>
      <c r="B576" s="767"/>
      <c r="C576" s="820"/>
      <c r="D576" s="767"/>
      <c r="E576" s="767"/>
      <c r="F576" s="800">
        <v>600</v>
      </c>
      <c r="G576" s="812">
        <v>295937</v>
      </c>
      <c r="H576" s="812">
        <v>-30764.080000000002</v>
      </c>
      <c r="I576" s="805">
        <f t="shared" si="110"/>
        <v>265172.92</v>
      </c>
    </row>
    <row r="577" spans="1:9" ht="47.25" hidden="1" x14ac:dyDescent="0.25">
      <c r="A577" s="826" t="str">
        <f>IF(B577&gt;0,VLOOKUP(B577,КВСР!A127:B1292,2),IF(C577&gt;0,VLOOKUP(C577,КФСР!A127:B1639,2),IF(D577&gt;0,VLOOKUP(D577,Программа!A$1:B$5124,2),IF(F577&gt;0,VLOOKUP(F577,КВР!A$1:B$5001,2),IF(E577&gt;0,VLOOKUP(E577,Направление!A$1:B$4816,2))))))</f>
        <v>Расходы на повышение антитеррористической защищенности объектов  образования</v>
      </c>
      <c r="B577" s="767"/>
      <c r="C577" s="820"/>
      <c r="D577" s="767"/>
      <c r="E577" s="767">
        <v>17440</v>
      </c>
      <c r="F577" s="800"/>
      <c r="G577" s="812">
        <v>0</v>
      </c>
      <c r="H577" s="812">
        <f t="shared" ref="H577:I577" si="128">H578</f>
        <v>0</v>
      </c>
      <c r="I577" s="805">
        <f t="shared" si="128"/>
        <v>0</v>
      </c>
    </row>
    <row r="578" spans="1:9" ht="47.25" hidden="1" x14ac:dyDescent="0.25">
      <c r="A578" s="826" t="str">
        <f>IF(B578&gt;0,VLOOKUP(B578,КВСР!A128:B1293,2),IF(C578&gt;0,VLOOKUP(C578,КФСР!A128:B1640,2),IF(D578&gt;0,VLOOKUP(D578,Программа!A$1:B$5124,2),IF(F578&gt;0,VLOOKUP(F578,КВР!A$1:B$5001,2),IF(E578&gt;0,VLOOKUP(E578,Направление!A$1:B$4816,2))))))</f>
        <v>Предоставление субсидий бюджетным, автономным учреждениям и иным некоммерческим организациям</v>
      </c>
      <c r="B578" s="767"/>
      <c r="C578" s="820"/>
      <c r="D578" s="767"/>
      <c r="E578" s="767"/>
      <c r="F578" s="800">
        <v>600</v>
      </c>
      <c r="G578" s="812">
        <v>0</v>
      </c>
      <c r="H578" s="812"/>
      <c r="I578" s="805">
        <f t="shared" si="110"/>
        <v>0</v>
      </c>
    </row>
    <row r="579" spans="1:9" ht="78.75" x14ac:dyDescent="0.25">
      <c r="A579" s="826" t="str">
        <f>IF(B579&gt;0,VLOOKUP(B579,КВСР!A129:B1294,2),IF(C579&gt;0,VLOOKUP(C579,КФСР!A129:B1641,2),IF(D579&gt;0,VLOOKUP(D579,Программа!A$1:B$5124,2),IF(F579&gt;0,VLOOKUP(F579,КВР!A$1:B$5001,2),IF(E579&gt;0,VLOOKUP(E579,Направление!A$1:B$4816,2))))))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79" s="767"/>
      <c r="C579" s="820"/>
      <c r="D579" s="767"/>
      <c r="E579" s="767">
        <v>53031</v>
      </c>
      <c r="F579" s="800"/>
      <c r="G579" s="812">
        <v>23922670</v>
      </c>
      <c r="H579" s="812">
        <f>H580</f>
        <v>-787234</v>
      </c>
      <c r="I579" s="805">
        <f>I580</f>
        <v>23135436</v>
      </c>
    </row>
    <row r="580" spans="1:9" ht="47.25" x14ac:dyDescent="0.25">
      <c r="A580" s="826" t="str">
        <f>IF(B580&gt;0,VLOOKUP(B580,КВСР!A130:B1295,2),IF(C580&gt;0,VLOOKUP(C580,КФСР!A130:B1642,2),IF(D580&gt;0,VLOOKUP(D580,Программа!A$1:B$5124,2),IF(F580&gt;0,VLOOKUP(F580,КВР!A$1:B$5001,2),IF(E580&gt;0,VLOOKUP(E580,Направление!A$1:B$4816,2))))))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767"/>
      <c r="C580" s="820"/>
      <c r="D580" s="767"/>
      <c r="E580" s="767"/>
      <c r="F580" s="763">
        <v>600</v>
      </c>
      <c r="G580" s="812">
        <v>23922670</v>
      </c>
      <c r="H580" s="812">
        <v>-787234</v>
      </c>
      <c r="I580" s="805">
        <f t="shared" si="110"/>
        <v>23135436</v>
      </c>
    </row>
    <row r="581" spans="1:9" ht="63" x14ac:dyDescent="0.25">
      <c r="A581" s="826" t="str">
        <f>IF(B581&gt;0,VLOOKUP(B581,КВСР!A131:B1296,2),IF(C581&gt;0,VLOOKUP(C581,КФСР!A131:B1643,2),IF(D581&gt;0,VLOOKUP(D581,Программа!A$1:B$5124,2),IF(F581&gt;0,VLOOKUP(F581,КВР!A$1:B$5001,2),IF(E581&gt;0,VLOOKUP(E581,Направление!A$1:B$4816,2))))))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81" s="767"/>
      <c r="C581" s="820"/>
      <c r="D581" s="767"/>
      <c r="E581" s="767">
        <v>70370</v>
      </c>
      <c r="F581" s="763"/>
      <c r="G581" s="812">
        <v>1800000</v>
      </c>
      <c r="H581" s="812">
        <f t="shared" ref="H581:I581" si="129">H582</f>
        <v>0</v>
      </c>
      <c r="I581" s="805">
        <f t="shared" si="129"/>
        <v>1800000</v>
      </c>
    </row>
    <row r="582" spans="1:9" ht="47.25" x14ac:dyDescent="0.25">
      <c r="A582" s="826" t="str">
        <f>IF(B582&gt;0,VLOOKUP(B582,КВСР!A132:B1297,2),IF(C582&gt;0,VLOOKUP(C582,КФСР!A132:B1644,2),IF(D582&gt;0,VLOOKUP(D582,Программа!A$1:B$5124,2),IF(F582&gt;0,VLOOKUP(F582,КВР!A$1:B$5001,2),IF(E582&gt;0,VLOOKUP(E582,Направление!A$1:B$4816,2))))))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767"/>
      <c r="C582" s="820"/>
      <c r="D582" s="767"/>
      <c r="E582" s="767"/>
      <c r="F582" s="763">
        <v>600</v>
      </c>
      <c r="G582" s="812">
        <v>1800000</v>
      </c>
      <c r="H582" s="812"/>
      <c r="I582" s="805">
        <f>G582+H582</f>
        <v>1800000</v>
      </c>
    </row>
    <row r="583" spans="1:9" ht="47.25" x14ac:dyDescent="0.25">
      <c r="A583" s="826" t="str">
        <f>IF(B583&gt;0,VLOOKUP(B583,КВСР!A131:B1296,2),IF(C583&gt;0,VLOOKUP(C583,КФСР!A131:B1643,2),IF(D583&gt;0,VLOOKUP(D583,Программа!A$1:B$5124,2),IF(F583&gt;0,VLOOKUP(F583,КВР!A$1:B$5001,2),IF(E583&gt;0,VLOOKUP(E583,Направление!A$1:B$4816,2))))))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83" s="767"/>
      <c r="C583" s="820"/>
      <c r="D583" s="767"/>
      <c r="E583" s="767">
        <v>70520</v>
      </c>
      <c r="F583" s="763"/>
      <c r="G583" s="812">
        <v>405143303</v>
      </c>
      <c r="H583" s="812">
        <f>H584</f>
        <v>0</v>
      </c>
      <c r="I583" s="805">
        <f>I584</f>
        <v>405143303</v>
      </c>
    </row>
    <row r="584" spans="1:9" ht="47.25" x14ac:dyDescent="0.25">
      <c r="A584" s="826" t="str">
        <f>IF(B584&gt;0,VLOOKUP(B584,КВСР!A132:B1297,2),IF(C584&gt;0,VLOOKUP(C584,КФСР!A132:B1644,2),IF(D584&gt;0,VLOOKUP(D584,Программа!A$1:B$5124,2),IF(F584&gt;0,VLOOKUP(F584,КВР!A$1:B$5001,2),IF(E584&gt;0,VLOOKUP(E584,Направление!A$1:B$4816,2))))))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767"/>
      <c r="C584" s="820"/>
      <c r="D584" s="767"/>
      <c r="E584" s="767"/>
      <c r="F584" s="763">
        <v>600</v>
      </c>
      <c r="G584" s="812">
        <v>405143303</v>
      </c>
      <c r="H584" s="812"/>
      <c r="I584" s="805">
        <f t="shared" si="110"/>
        <v>405143303</v>
      </c>
    </row>
    <row r="585" spans="1:9" ht="63" x14ac:dyDescent="0.25">
      <c r="A585" s="826" t="str">
        <f>IF(B585&gt;0,VLOOKUP(B585,КВСР!A133:B1298,2),IF(C585&gt;0,VLOOKUP(C585,КФСР!A133:B1645,2),IF(D585&gt;0,VLOOKUP(D585,Программа!A$1:B$5124,2),IF(F585&gt;0,VLOOKUP(F585,КВР!A$1:B$5001,2),IF(E585&gt;0,VLOOKUP(E585,Направление!A$1:B$4816,2))))))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85" s="767"/>
      <c r="C585" s="820"/>
      <c r="D585" s="767"/>
      <c r="E585" s="767">
        <v>70530</v>
      </c>
      <c r="F585" s="763"/>
      <c r="G585" s="812">
        <v>22323234</v>
      </c>
      <c r="H585" s="812">
        <f>H586</f>
        <v>-2798468</v>
      </c>
      <c r="I585" s="805">
        <f>I586</f>
        <v>19524766</v>
      </c>
    </row>
    <row r="586" spans="1:9" ht="47.25" x14ac:dyDescent="0.25">
      <c r="A586" s="826" t="str">
        <f>IF(B586&gt;0,VLOOKUP(B586,КВСР!A134:B1299,2),IF(C586&gt;0,VLOOKUP(C586,КФСР!A134:B1646,2),IF(D586&gt;0,VLOOKUP(D586,Программа!A$1:B$5124,2),IF(F586&gt;0,VLOOKUP(F586,КВР!A$1:B$5001,2),IF(E586&gt;0,VLOOKUP(E586,Направление!A$1:B$4816,2))))))</f>
        <v>Предоставление субсидий бюджетным, автономным учреждениям и иным некоммерческим организациям</v>
      </c>
      <c r="B586" s="767"/>
      <c r="C586" s="820"/>
      <c r="D586" s="767"/>
      <c r="E586" s="767"/>
      <c r="F586" s="763">
        <v>600</v>
      </c>
      <c r="G586" s="812">
        <v>22323234</v>
      </c>
      <c r="H586" s="812">
        <v>-2798468</v>
      </c>
      <c r="I586" s="805">
        <f t="shared" si="110"/>
        <v>19524766</v>
      </c>
    </row>
    <row r="587" spans="1:9" hidden="1" x14ac:dyDescent="0.25">
      <c r="A587" s="826" t="str">
        <f>IF(B587&gt;0,VLOOKUP(B587,КВСР!A135:B1300,2),IF(C587&gt;0,VLOOKUP(C587,КФСР!A135:B1647,2),IF(D587&gt;0,VLOOKUP(D587,Программа!A$1:B$5124,2),IF(F587&gt;0,VLOOKUP(F587,КВР!A$1:B$5001,2),IF(E587&gt;0,VLOOKUP(E587,Направление!A$1:B$4816,2))))))</f>
        <v xml:space="preserve">Иная дотация </v>
      </c>
      <c r="B587" s="767"/>
      <c r="C587" s="820"/>
      <c r="D587" s="767"/>
      <c r="E587" s="767">
        <v>73260</v>
      </c>
      <c r="F587" s="763"/>
      <c r="G587" s="812">
        <v>0</v>
      </c>
      <c r="H587" s="812">
        <f t="shared" ref="H587:I587" si="130">H588</f>
        <v>0</v>
      </c>
      <c r="I587" s="805">
        <f t="shared" si="130"/>
        <v>0</v>
      </c>
    </row>
    <row r="588" spans="1:9" ht="47.25" hidden="1" x14ac:dyDescent="0.25">
      <c r="A588" s="826" t="str">
        <f>IF(B588&gt;0,VLOOKUP(B588,КВСР!A136:B1301,2),IF(C588&gt;0,VLOOKUP(C588,КФСР!A136:B1648,2),IF(D588&gt;0,VLOOKUP(D588,Программа!A$1:B$5124,2),IF(F588&gt;0,VLOOKUP(F588,КВР!A$1:B$5001,2),IF(E588&gt;0,VLOOKUP(E588,Направление!A$1:B$4816,2))))))</f>
        <v>Предоставление субсидий бюджетным, автономным учреждениям и иным некоммерческим организациям</v>
      </c>
      <c r="B588" s="767"/>
      <c r="C588" s="820"/>
      <c r="D588" s="767"/>
      <c r="E588" s="767"/>
      <c r="F588" s="763">
        <v>600</v>
      </c>
      <c r="G588" s="812">
        <v>0</v>
      </c>
      <c r="H588" s="812"/>
      <c r="I588" s="805">
        <f t="shared" si="110"/>
        <v>0</v>
      </c>
    </row>
    <row r="589" spans="1:9" ht="47.25" x14ac:dyDescent="0.25">
      <c r="A589" s="826" t="str">
        <f>IF(B589&gt;0,VLOOKUP(B589,КВСР!A137:B1302,2),IF(C589&gt;0,VLOOKUP(C589,КФСР!A137:B1649,2),IF(D589&gt;0,VLOOKUP(D589,Программа!A$1:B$5124,2),IF(F589&gt;0,VLOOKUP(F589,КВР!A$1:B$5001,2),IF(E589&gt;0,VLOOKUP(E589,Направление!A$1:B$4816,2))))))</f>
        <v>Расходы на реализацию мероприятий инициативного бюджетирования на территории Ярославской области</v>
      </c>
      <c r="B589" s="767"/>
      <c r="C589" s="820"/>
      <c r="D589" s="767"/>
      <c r="E589" s="767">
        <v>75350</v>
      </c>
      <c r="F589" s="763"/>
      <c r="G589" s="812">
        <v>5177200</v>
      </c>
      <c r="H589" s="812">
        <f t="shared" ref="H589:I589" si="131">H590</f>
        <v>0</v>
      </c>
      <c r="I589" s="805">
        <f t="shared" si="131"/>
        <v>5177200</v>
      </c>
    </row>
    <row r="590" spans="1:9" ht="47.25" x14ac:dyDescent="0.25">
      <c r="A590" s="826" t="str">
        <f>IF(B590&gt;0,VLOOKUP(B590,КВСР!A138:B1303,2),IF(C590&gt;0,VLOOKUP(C590,КФСР!A138:B1650,2),IF(D590&gt;0,VLOOKUP(D590,Программа!A$1:B$5124,2),IF(F590&gt;0,VLOOKUP(F590,КВР!A$1:B$5001,2),IF(E590&gt;0,VLOOKUP(E590,Направление!A$1:B$4816,2))))))</f>
        <v>Предоставление субсидий бюджетным, автономным учреждениям и иным некоммерческим организациям</v>
      </c>
      <c r="B590" s="767"/>
      <c r="C590" s="820"/>
      <c r="D590" s="767"/>
      <c r="E590" s="767"/>
      <c r="F590" s="763">
        <v>600</v>
      </c>
      <c r="G590" s="812">
        <v>5177200</v>
      </c>
      <c r="H590" s="812"/>
      <c r="I590" s="805">
        <f>G590+H590</f>
        <v>5177200</v>
      </c>
    </row>
    <row r="591" spans="1:9" ht="47.25" hidden="1" x14ac:dyDescent="0.25">
      <c r="A591" s="826" t="str">
        <f>IF(B591&gt;0,VLOOKUP(B591,КВСР!A135:B1300,2),IF(C591&gt;0,VLOOKUP(C591,КФСР!A135:B1647,2),IF(D591&gt;0,VLOOKUP(D591,Программа!A$1:B$5124,2),IF(F591&gt;0,VLOOKUP(F591,КВР!A$1:B$5001,2),IF(E591&gt;0,VLOOKUP(E591,Направление!A$1:B$4816,2))))))</f>
        <v>Расходы на повышение антитеррористической защищенности объектов  образования</v>
      </c>
      <c r="B591" s="767"/>
      <c r="C591" s="820"/>
      <c r="D591" s="767"/>
      <c r="E591" s="767">
        <v>77440</v>
      </c>
      <c r="F591" s="763"/>
      <c r="G591" s="812">
        <v>0</v>
      </c>
      <c r="H591" s="812">
        <f t="shared" ref="H591:I591" si="132">H592</f>
        <v>0</v>
      </c>
      <c r="I591" s="805">
        <f t="shared" si="132"/>
        <v>0</v>
      </c>
    </row>
    <row r="592" spans="1:9" ht="47.25" hidden="1" x14ac:dyDescent="0.25">
      <c r="A592" s="826" t="str">
        <f>IF(B592&gt;0,VLOOKUP(B592,КВСР!A136:B1301,2),IF(C592&gt;0,VLOOKUP(C592,КФСР!A136:B1648,2),IF(D592&gt;0,VLOOKUP(D592,Программа!A$1:B$5124,2),IF(F592&gt;0,VLOOKUP(F592,КВР!A$1:B$5001,2),IF(E592&gt;0,VLOOKUP(E592,Направление!A$1:B$4816,2))))))</f>
        <v>Предоставление субсидий бюджетным, автономным учреждениям и иным некоммерческим организациям</v>
      </c>
      <c r="B592" s="767"/>
      <c r="C592" s="820"/>
      <c r="D592" s="767"/>
      <c r="E592" s="767"/>
      <c r="F592" s="763">
        <v>600</v>
      </c>
      <c r="G592" s="812">
        <v>0</v>
      </c>
      <c r="H592" s="812"/>
      <c r="I592" s="805">
        <f>G592+H592</f>
        <v>0</v>
      </c>
    </row>
    <row r="593" spans="1:9" ht="78.75" x14ac:dyDescent="0.25">
      <c r="A593" s="826" t="str">
        <f>IF(B593&gt;0,VLOOKUP(B593,КВСР!A137:B1302,2),IF(C593&gt;0,VLOOKUP(C593,КФСР!A137:B1649,2),IF(D593&gt;0,VLOOKUP(D593,Программа!A$1:B$5124,2),IF(F593&gt;0,VLOOKUP(F593,КВР!A$1:B$5001,2),IF(E593&gt;0,VLOOKUP(E593,Направление!A$1:B$4816,2))))))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93" s="767"/>
      <c r="C593" s="820"/>
      <c r="D593" s="767"/>
      <c r="E593" s="767" t="s">
        <v>1512</v>
      </c>
      <c r="F593" s="763"/>
      <c r="G593" s="812">
        <v>29002134</v>
      </c>
      <c r="H593" s="812">
        <f t="shared" ref="H593:I593" si="133">H594</f>
        <v>-2271439</v>
      </c>
      <c r="I593" s="805">
        <f t="shared" si="133"/>
        <v>26730695</v>
      </c>
    </row>
    <row r="594" spans="1:9" ht="47.25" x14ac:dyDescent="0.25">
      <c r="A594" s="826" t="str">
        <f>IF(B594&gt;0,VLOOKUP(B594,КВСР!A138:B1303,2),IF(C594&gt;0,VLOOKUP(C594,КФСР!A138:B1650,2),IF(D594&gt;0,VLOOKUP(D594,Программа!A$1:B$5124,2),IF(F594&gt;0,VLOOKUP(F594,КВР!A$1:B$5001,2),IF(E594&gt;0,VLOOKUP(E594,Направление!A$1:B$4816,2))))))</f>
        <v>Предоставление субсидий бюджетным, автономным учреждениям и иным некоммерческим организациям</v>
      </c>
      <c r="B594" s="767"/>
      <c r="C594" s="820"/>
      <c r="D594" s="767"/>
      <c r="E594" s="767"/>
      <c r="F594" s="763">
        <v>600</v>
      </c>
      <c r="G594" s="812">
        <v>29002134</v>
      </c>
      <c r="H594" s="812">
        <v>-2271439</v>
      </c>
      <c r="I594" s="805">
        <f>G594+H594</f>
        <v>26730695</v>
      </c>
    </row>
    <row r="595" spans="1:9" ht="31.5" x14ac:dyDescent="0.25">
      <c r="A595" s="826" t="str">
        <f>IF(B595&gt;0,VLOOKUP(B595,КВСР!A137:B1302,2),IF(C595&gt;0,VLOOKUP(C595,КФСР!A137:B1649,2),IF(D595&gt;0,VLOOKUP(D595,Программа!A$1:B$5124,2),IF(F595&gt;0,VLOOKUP(F595,КВР!A$1:B$5001,2),IF(E595&gt;0,VLOOKUP(E595,Направление!A$1:B$4816,2))))))</f>
        <v>Региональный проект "Современная школа"</v>
      </c>
      <c r="B595" s="767"/>
      <c r="C595" s="820"/>
      <c r="D595" s="760" t="s">
        <v>1600</v>
      </c>
      <c r="E595" s="767"/>
      <c r="F595" s="763"/>
      <c r="G595" s="812">
        <v>2120000</v>
      </c>
      <c r="H595" s="812">
        <f>H596+H598</f>
        <v>-261553</v>
      </c>
      <c r="I595" s="805">
        <f>I596+I598</f>
        <v>1858447</v>
      </c>
    </row>
    <row r="596" spans="1:9" ht="78.75" x14ac:dyDescent="0.25">
      <c r="A596" s="826" t="str">
        <f>IF(B596&gt;0,VLOOKUP(B596,КВСР!A138:B1303,2),IF(C596&gt;0,VLOOKUP(C596,КФСР!A138:B1650,2),IF(D596&gt;0,VLOOKUP(D596,Программа!A$1:B$5124,2),IF(F596&gt;0,VLOOKUP(F596,КВР!A$1:B$5001,2),IF(E596&gt;0,VLOOKUP(E596,Направление!A$1:B$4816,2))))))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96" s="767"/>
      <c r="C596" s="820"/>
      <c r="D596" s="767"/>
      <c r="E596" s="767">
        <v>11690</v>
      </c>
      <c r="F596" s="763"/>
      <c r="G596" s="812">
        <v>120000</v>
      </c>
      <c r="H596" s="812">
        <f t="shared" ref="H596:I596" si="134">H597</f>
        <v>-14805</v>
      </c>
      <c r="I596" s="805">
        <f t="shared" si="134"/>
        <v>105195</v>
      </c>
    </row>
    <row r="597" spans="1:9" ht="47.25" x14ac:dyDescent="0.25">
      <c r="A597" s="826" t="str">
        <f>IF(B597&gt;0,VLOOKUP(B597,КВСР!A139:B1304,2),IF(C597&gt;0,VLOOKUP(C597,КФСР!A139:B1651,2),IF(D597&gt;0,VLOOKUP(D597,Программа!A$1:B$5124,2),IF(F597&gt;0,VLOOKUP(F597,КВР!A$1:B$5001,2),IF(E597&gt;0,VLOOKUP(E597,Направление!A$1:B$4816,2))))))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767"/>
      <c r="C597" s="820"/>
      <c r="D597" s="767"/>
      <c r="E597" s="767"/>
      <c r="F597" s="763">
        <v>600</v>
      </c>
      <c r="G597" s="812">
        <v>120000</v>
      </c>
      <c r="H597" s="812">
        <v>-14805</v>
      </c>
      <c r="I597" s="805">
        <f>G597+H597</f>
        <v>105195</v>
      </c>
    </row>
    <row r="598" spans="1:9" ht="78.75" x14ac:dyDescent="0.25">
      <c r="A598" s="826" t="str">
        <f>IF(B598&gt;0,VLOOKUP(B598,КВСР!A140:B1305,2),IF(C598&gt;0,VLOOKUP(C598,КФСР!A140:B1652,2),IF(D598&gt;0,VLOOKUP(D598,Программа!A$1:B$5124,2),IF(F598&gt;0,VLOOKUP(F598,КВР!A$1:B$5001,2),IF(E598&gt;0,VLOOKUP(E598,Направление!A$1:B$4816,2))))))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98" s="767"/>
      <c r="C598" s="820"/>
      <c r="D598" s="767"/>
      <c r="E598" s="767">
        <v>71690</v>
      </c>
      <c r="F598" s="763"/>
      <c r="G598" s="812">
        <v>2000000</v>
      </c>
      <c r="H598" s="812">
        <f t="shared" ref="H598:I598" si="135">H599</f>
        <v>-246748</v>
      </c>
      <c r="I598" s="805">
        <f t="shared" si="135"/>
        <v>1753252</v>
      </c>
    </row>
    <row r="599" spans="1:9" ht="47.25" x14ac:dyDescent="0.25">
      <c r="A599" s="826" t="str">
        <f>IF(B599&gt;0,VLOOKUP(B599,КВСР!A141:B1306,2),IF(C599&gt;0,VLOOKUP(C599,КФСР!A141:B1653,2),IF(D599&gt;0,VLOOKUP(D599,Программа!A$1:B$5124,2),IF(F599&gt;0,VLOOKUP(F599,КВР!A$1:B$5001,2),IF(E599&gt;0,VLOOKUP(E599,Направление!A$1:B$4816,2))))))</f>
        <v>Предоставление субсидий бюджетным, автономным учреждениям и иным некоммерческим организациям</v>
      </c>
      <c r="B599" s="767"/>
      <c r="C599" s="820"/>
      <c r="D599" s="767"/>
      <c r="E599" s="767"/>
      <c r="F599" s="763">
        <v>600</v>
      </c>
      <c r="G599" s="812">
        <v>2000000</v>
      </c>
      <c r="H599" s="812">
        <v>-246748</v>
      </c>
      <c r="I599" s="805">
        <f t="shared" ref="I599" si="136">G599+H599</f>
        <v>1753252</v>
      </c>
    </row>
    <row r="600" spans="1:9" ht="31.5" hidden="1" x14ac:dyDescent="0.25">
      <c r="A600" s="826" t="str">
        <f>IF(B600&gt;0,VLOOKUP(B600,КВСР!A137:B1302,2),IF(C600&gt;0,VLOOKUP(C600,КФСР!A137:B1649,2),IF(D600&gt;0,VLOOKUP(D600,Программа!A$1:B$5124,2),IF(F600&gt;0,VLOOKUP(F600,КВР!A$1:B$5001,2),IF(E600&gt;0,VLOOKUP(E600,Направление!A$1:B$4816,2))))))</f>
        <v>Региональный проект "Успех каждого ребенка"</v>
      </c>
      <c r="B600" s="767"/>
      <c r="C600" s="820"/>
      <c r="D600" s="767" t="s">
        <v>1428</v>
      </c>
      <c r="E600" s="767"/>
      <c r="F600" s="763"/>
      <c r="G600" s="812">
        <v>0</v>
      </c>
      <c r="H600" s="812">
        <f>H601</f>
        <v>0</v>
      </c>
      <c r="I600" s="805">
        <f>I601</f>
        <v>0</v>
      </c>
    </row>
    <row r="601" spans="1:9" ht="78.75" hidden="1" x14ac:dyDescent="0.25">
      <c r="A601" s="826" t="str">
        <f>IF(B601&gt;0,VLOOKUP(B601,КВСР!A138:B1303,2),IF(C601&gt;0,VLOOKUP(C601,КФСР!A138:B1650,2),IF(D601&gt;0,VLOOKUP(D601,Программа!A$1:B$5124,2),IF(F601&gt;0,VLOOKUP(F601,КВР!A$1:B$5001,2),IF(E601&gt;0,VLOOKUP(E601,Направление!A$1:B$4816,2))))))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601" s="767"/>
      <c r="C601" s="820"/>
      <c r="D601" s="767"/>
      <c r="E601" s="767">
        <v>50970</v>
      </c>
      <c r="F601" s="763"/>
      <c r="G601" s="812">
        <v>0</v>
      </c>
      <c r="H601" s="812">
        <f>H602</f>
        <v>0</v>
      </c>
      <c r="I601" s="805">
        <f>I602</f>
        <v>0</v>
      </c>
    </row>
    <row r="602" spans="1:9" ht="47.25" hidden="1" x14ac:dyDescent="0.25">
      <c r="A602" s="826" t="str">
        <f>IF(B602&gt;0,VLOOKUP(B602,КВСР!A139:B1304,2),IF(C602&gt;0,VLOOKUP(C602,КФСР!A139:B1651,2),IF(D602&gt;0,VLOOKUP(D602,Программа!A$1:B$5124,2),IF(F602&gt;0,VLOOKUP(F602,КВР!A$1:B$5001,2),IF(E602&gt;0,VLOOKUP(E602,Направление!A$1:B$4816,2))))))</f>
        <v>Предоставление субсидий бюджетным, автономным учреждениям и иным некоммерческим организациям</v>
      </c>
      <c r="B602" s="767"/>
      <c r="C602" s="820"/>
      <c r="D602" s="767"/>
      <c r="E602" s="767"/>
      <c r="F602" s="763">
        <v>600</v>
      </c>
      <c r="G602" s="812">
        <v>0</v>
      </c>
      <c r="H602" s="812"/>
      <c r="I602" s="805">
        <f>G602+H602</f>
        <v>0</v>
      </c>
    </row>
    <row r="603" spans="1:9" ht="47.25" hidden="1" x14ac:dyDescent="0.25">
      <c r="A603" s="826" t="str">
        <f>IF(B603&gt;0,VLOOKUP(B603,КВСР!A143:B1308,2),IF(C603&gt;0,VLOOKUP(C603,КФСР!A143:B1655,2),IF(D603&gt;0,VLOOKUP(D603,Программа!A$1:B$5124,2),IF(F603&gt;0,VLOOKUP(F603,КВР!A$1:B$5001,2),IF(E603&gt;0,VLOOKUP(E603,Направление!A$1:B$4816,2))))))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603" s="767"/>
      <c r="C603" s="820"/>
      <c r="D603" s="767" t="s">
        <v>386</v>
      </c>
      <c r="E603" s="767"/>
      <c r="F603" s="800"/>
      <c r="G603" s="812">
        <v>0</v>
      </c>
      <c r="H603" s="812">
        <f>H605</f>
        <v>0</v>
      </c>
      <c r="I603" s="805">
        <f t="shared" si="110"/>
        <v>0</v>
      </c>
    </row>
    <row r="604" spans="1:9" ht="47.25" hidden="1" x14ac:dyDescent="0.25">
      <c r="A604" s="826" t="str">
        <f>IF(B604&gt;0,VLOOKUP(B604,КВСР!A144:B1309,2),IF(C604&gt;0,VLOOKUP(C604,КФСР!A144:B1656,2),IF(D604&gt;0,VLOOKUP(D604,Программа!A$1:B$5124,2),IF(F604&gt;0,VLOOKUP(F604,КВР!A$1:B$5001,2),IF(E604&gt;0,VLOOKUP(E604,Направление!A$1:B$4816,2))))))</f>
        <v>Строительство и реконструкция спортивных сооружений и укрепление материальной базы</v>
      </c>
      <c r="B604" s="767"/>
      <c r="C604" s="820"/>
      <c r="D604" s="767" t="s">
        <v>387</v>
      </c>
      <c r="E604" s="767"/>
      <c r="F604" s="800"/>
      <c r="G604" s="812">
        <v>0</v>
      </c>
      <c r="H604" s="812">
        <f>H605</f>
        <v>0</v>
      </c>
      <c r="I604" s="805">
        <f t="shared" si="110"/>
        <v>0</v>
      </c>
    </row>
    <row r="605" spans="1:9" ht="31.5" hidden="1" x14ac:dyDescent="0.25">
      <c r="A605" s="826" t="str">
        <f>IF(B605&gt;0,VLOOKUP(B605,КВСР!A144:B1309,2),IF(C605&gt;0,VLOOKUP(C605,КФСР!A144:B1656,2),IF(D605&gt;0,VLOOKUP(D605,Программа!A$1:B$5124,2),IF(F605&gt;0,VLOOKUP(F605,КВР!A$1:B$5001,2),IF(E605&gt;0,VLOOKUP(E605,Направление!A$1:B$4816,2))))))</f>
        <v>Обеспечение деятельности учреждений дополнительного образования</v>
      </c>
      <c r="B605" s="767"/>
      <c r="C605" s="820"/>
      <c r="D605" s="767"/>
      <c r="E605" s="767">
        <v>13210</v>
      </c>
      <c r="F605" s="800"/>
      <c r="G605" s="812">
        <v>0</v>
      </c>
      <c r="H605" s="812">
        <f>H606</f>
        <v>0</v>
      </c>
      <c r="I605" s="805">
        <f t="shared" si="110"/>
        <v>0</v>
      </c>
    </row>
    <row r="606" spans="1:9" ht="47.25" hidden="1" x14ac:dyDescent="0.25">
      <c r="A606" s="826" t="str">
        <f>IF(B606&gt;0,VLOOKUP(B606,КВСР!A145:B1310,2),IF(C606&gt;0,VLOOKUP(C606,КФСР!A145:B1657,2),IF(D606&gt;0,VLOOKUP(D606,Программа!A$1:B$5124,2),IF(F606&gt;0,VLOOKUP(F606,КВР!A$1:B$5001,2),IF(E606&gt;0,VLOOKUP(E606,Направление!A$1:B$4816,2))))))</f>
        <v>Предоставление субсидий бюджетным, автономным учреждениям и иным некоммерческим организациям</v>
      </c>
      <c r="B606" s="767"/>
      <c r="C606" s="820"/>
      <c r="D606" s="767"/>
      <c r="E606" s="767"/>
      <c r="F606" s="800">
        <v>600</v>
      </c>
      <c r="G606" s="812">
        <v>0</v>
      </c>
      <c r="H606" s="812"/>
      <c r="I606" s="805">
        <f t="shared" si="110"/>
        <v>0</v>
      </c>
    </row>
    <row r="607" spans="1:9" ht="47.25" hidden="1" x14ac:dyDescent="0.25">
      <c r="A607" s="826" t="str">
        <f>IF(B607&gt;0,VLOOKUP(B607,КВСР!A148:B1313,2),IF(C607&gt;0,VLOOKUP(C607,КФСР!A148:B1660,2),IF(D607&gt;0,VLOOKUP(D607,Программа!A$1:B$5124,2),IF(F607&gt;0,VLOOKUP(F607,КВР!A$1:B$5001,2),IF(E607&gt;0,VLOOKUP(E607,Направление!A$1:B$4816,2))))))</f>
        <v>Муниципальная программа "Социальная поддержка населения Тутаевского муниципального района"</v>
      </c>
      <c r="B607" s="767"/>
      <c r="C607" s="820"/>
      <c r="D607" s="767" t="s">
        <v>376</v>
      </c>
      <c r="E607" s="767"/>
      <c r="F607" s="800"/>
      <c r="G607" s="812">
        <v>0</v>
      </c>
      <c r="H607" s="812">
        <f>H608</f>
        <v>0</v>
      </c>
      <c r="I607" s="805">
        <f t="shared" si="110"/>
        <v>0</v>
      </c>
    </row>
    <row r="608" spans="1:9" ht="47.25" hidden="1" x14ac:dyDescent="0.25">
      <c r="A608" s="826" t="str">
        <f>IF(B608&gt;0,VLOOKUP(B608,КВСР!A149:B1314,2),IF(C608&gt;0,VLOOKUP(C608,КФСР!A149:B1661,2),IF(D608&gt;0,VLOOKUP(D608,Программа!A$1:B$5124,2),IF(F608&gt;0,VLOOKUP(F608,КВР!A$1:B$5001,2),IF(E608&gt;0,VLOOKUP(E608,Направление!A$1:B$4816,2))))))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08" s="767"/>
      <c r="C608" s="820"/>
      <c r="D608" s="767" t="s">
        <v>378</v>
      </c>
      <c r="E608" s="767"/>
      <c r="F608" s="800"/>
      <c r="G608" s="812">
        <v>0</v>
      </c>
      <c r="H608" s="812">
        <f>H609+H612</f>
        <v>0</v>
      </c>
      <c r="I608" s="805">
        <f t="shared" si="110"/>
        <v>0</v>
      </c>
    </row>
    <row r="609" spans="1:9" ht="63" hidden="1" x14ac:dyDescent="0.25">
      <c r="A609" s="826" t="str">
        <f>IF(B609&gt;0,VLOOKUP(B609,КВСР!A150:B1315,2),IF(C609&gt;0,VLOOKUP(C609,КФСР!A150:B1662,2),IF(D609&gt;0,VLOOKUP(D609,Программа!A$1:B$5124,2),IF(F609&gt;0,VLOOKUP(F609,КВР!A$1:B$5001,2),IF(E609&gt;0,VLOOKUP(E609,Направление!A$1:B$4816,2))))))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9" s="767"/>
      <c r="C609" s="820"/>
      <c r="D609" s="767" t="s">
        <v>379</v>
      </c>
      <c r="E609" s="767"/>
      <c r="F609" s="800"/>
      <c r="G609" s="812">
        <v>0</v>
      </c>
      <c r="H609" s="812">
        <f>H610</f>
        <v>0</v>
      </c>
      <c r="I609" s="805">
        <f t="shared" si="110"/>
        <v>0</v>
      </c>
    </row>
    <row r="610" spans="1:9" ht="31.5" hidden="1" x14ac:dyDescent="0.25">
      <c r="A610" s="826" t="str">
        <f>IF(B610&gt;0,VLOOKUP(B610,КВСР!A151:B1316,2),IF(C610&gt;0,VLOOKUP(C610,КФСР!A151:B1663,2),IF(D610&gt;0,VLOOKUP(D610,Программа!A$1:B$5124,2),IF(F610&gt;0,VLOOKUP(F610,КВР!A$1:B$5001,2),IF(E610&gt;0,VLOOKUP(E610,Направление!A$1:B$4816,2))))))</f>
        <v>Расходы на реализацию мероприятий по улучшению условий и охраны труда</v>
      </c>
      <c r="B610" s="767"/>
      <c r="C610" s="820"/>
      <c r="D610" s="767"/>
      <c r="E610" s="767">
        <v>16150</v>
      </c>
      <c r="F610" s="800"/>
      <c r="G610" s="812">
        <v>0</v>
      </c>
      <c r="H610" s="812">
        <f>H611</f>
        <v>0</v>
      </c>
      <c r="I610" s="805">
        <f t="shared" si="110"/>
        <v>0</v>
      </c>
    </row>
    <row r="611" spans="1:9" ht="47.25" hidden="1" x14ac:dyDescent="0.25">
      <c r="A611" s="826" t="str">
        <f>IF(B611&gt;0,VLOOKUP(B611,КВСР!A150:B1315,2),IF(C611&gt;0,VLOOKUP(C611,КФСР!A150:B1662,2),IF(D611&gt;0,VLOOKUP(D611,Программа!A$1:B$5124,2),IF(F611&gt;0,VLOOKUP(F611,КВР!A$1:B$5001,2),IF(E611&gt;0,VLOOKUP(E611,Направление!A$1:B$4816,2))))))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767"/>
      <c r="C611" s="820"/>
      <c r="D611" s="767"/>
      <c r="E611" s="767"/>
      <c r="F611" s="800">
        <v>600</v>
      </c>
      <c r="G611" s="812">
        <v>0</v>
      </c>
      <c r="H611" s="812"/>
      <c r="I611" s="805">
        <f t="shared" si="110"/>
        <v>0</v>
      </c>
    </row>
    <row r="612" spans="1:9" ht="47.25" hidden="1" x14ac:dyDescent="0.25">
      <c r="A612" s="826" t="str">
        <f>IF(B612&gt;0,VLOOKUP(B612,КВСР!A148:B1313,2),IF(C612&gt;0,VLOOKUP(C612,КФСР!A148:B1660,2),IF(D612&gt;0,VLOOKUP(D612,Программа!A$1:B$5124,2),IF(F612&gt;0,VLOOKUP(F612,КВР!A$1:B$5001,2),IF(E612&gt;0,VLOOKUP(E612,Направление!A$1:B$4816,2))))))</f>
        <v>Обучение по охране труда работников организаций Тутаевского муниципального района</v>
      </c>
      <c r="B612" s="767"/>
      <c r="C612" s="820"/>
      <c r="D612" s="767" t="s">
        <v>1036</v>
      </c>
      <c r="E612" s="767"/>
      <c r="F612" s="800"/>
      <c r="G612" s="812">
        <v>0</v>
      </c>
      <c r="H612" s="812">
        <f>H613</f>
        <v>0</v>
      </c>
      <c r="I612" s="805">
        <f t="shared" si="110"/>
        <v>0</v>
      </c>
    </row>
    <row r="613" spans="1:9" ht="31.5" hidden="1" x14ac:dyDescent="0.25">
      <c r="A613" s="826" t="str">
        <f>IF(B613&gt;0,VLOOKUP(B613,КВСР!A149:B1314,2),IF(C613&gt;0,VLOOKUP(C613,КФСР!A149:B1661,2),IF(D613&gt;0,VLOOKUP(D613,Программа!A$1:B$5124,2),IF(F613&gt;0,VLOOKUP(F613,КВР!A$1:B$5001,2),IF(E613&gt;0,VLOOKUP(E613,Направление!A$1:B$4816,2))))))</f>
        <v>Расходы на реализацию мероприятий по улучшению условий и охраны труда</v>
      </c>
      <c r="B613" s="767"/>
      <c r="C613" s="820"/>
      <c r="D613" s="767"/>
      <c r="E613" s="767">
        <v>16150</v>
      </c>
      <c r="F613" s="800"/>
      <c r="G613" s="812">
        <v>0</v>
      </c>
      <c r="H613" s="812">
        <f>H614</f>
        <v>0</v>
      </c>
      <c r="I613" s="805">
        <f t="shared" si="110"/>
        <v>0</v>
      </c>
    </row>
    <row r="614" spans="1:9" ht="47.25" hidden="1" x14ac:dyDescent="0.25">
      <c r="A614" s="826" t="str">
        <f>IF(B614&gt;0,VLOOKUP(B614,КВСР!A150:B1315,2),IF(C614&gt;0,VLOOKUP(C614,КФСР!A150:B1662,2),IF(D614&gt;0,VLOOKUP(D614,Программа!A$1:B$5124,2),IF(F614&gt;0,VLOOKUP(F614,КВР!A$1:B$5001,2),IF(E614&gt;0,VLOOKUP(E614,Направление!A$1:B$4816,2))))))</f>
        <v>Предоставление субсидий бюджетным, автономным учреждениям и иным некоммерческим организациям</v>
      </c>
      <c r="B614" s="767"/>
      <c r="C614" s="820"/>
      <c r="D614" s="767"/>
      <c r="E614" s="767"/>
      <c r="F614" s="800">
        <v>600</v>
      </c>
      <c r="G614" s="812">
        <v>0</v>
      </c>
      <c r="H614" s="812"/>
      <c r="I614" s="805">
        <f t="shared" si="110"/>
        <v>0</v>
      </c>
    </row>
    <row r="615" spans="1:9" x14ac:dyDescent="0.25">
      <c r="A615" s="826" t="str">
        <f>IF(B615&gt;0,VLOOKUP(B615,КВСР!A151:B1316,2),IF(C615&gt;0,VLOOKUP(C615,КФСР!A151:B1663,2),IF(D615&gt;0,VLOOKUP(D615,Программа!A$1:B$5124,2),IF(F615&gt;0,VLOOKUP(F615,КВР!A$1:B$5001,2),IF(E615&gt;0,VLOOKUP(E615,Направление!A$1:B$4816,2))))))</f>
        <v>Дополнительное образование детей</v>
      </c>
      <c r="B615" s="767"/>
      <c r="C615" s="827">
        <v>703</v>
      </c>
      <c r="D615" s="767"/>
      <c r="E615" s="767"/>
      <c r="F615" s="800"/>
      <c r="G615" s="812">
        <v>67293510.879999995</v>
      </c>
      <c r="H615" s="812">
        <f>H617</f>
        <v>671383.35</v>
      </c>
      <c r="I615" s="805">
        <f>I617</f>
        <v>67964894.229999989</v>
      </c>
    </row>
    <row r="616" spans="1:9" ht="63" x14ac:dyDescent="0.25">
      <c r="A616" s="826" t="str">
        <f>IF(B616&gt;0,VLOOKUP(B616,КВСР!A152:B1317,2),IF(C616&gt;0,VLOOKUP(C616,КФСР!A152:B1664,2),IF(D616&gt;0,VLOOKUP(D616,Программа!A$1:B$5124,2),IF(F616&gt;0,VLOOKUP(F616,КВР!A$1:B$5001,2),IF(E616&gt;0,VLOOKUP(E616,Направление!A$1:B$4816,2))))))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16" s="767"/>
      <c r="C616" s="820"/>
      <c r="D616" s="760" t="s">
        <v>367</v>
      </c>
      <c r="E616" s="767"/>
      <c r="F616" s="800"/>
      <c r="G616" s="812">
        <v>67293510.879999995</v>
      </c>
      <c r="H616" s="812">
        <f>H617</f>
        <v>671383.35</v>
      </c>
      <c r="I616" s="805">
        <f>I617</f>
        <v>67964894.229999989</v>
      </c>
    </row>
    <row r="617" spans="1:9" ht="63" x14ac:dyDescent="0.25">
      <c r="A617" s="826" t="str">
        <f>IF(B617&gt;0,VLOOKUP(B617,КВСР!A152:B1317,2),IF(C617&gt;0,VLOOKUP(C617,КФСР!A152:B1664,2),IF(D617&gt;0,VLOOKUP(D617,Программа!A$1:B$5124,2),IF(F617&gt;0,VLOOKUP(F617,КВР!A$1:B$5001,2),IF(E617&gt;0,VLOOKUP(E617,Направление!A$1:B$4816,2))))))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17" s="767"/>
      <c r="C617" s="820"/>
      <c r="D617" s="760" t="s">
        <v>369</v>
      </c>
      <c r="E617" s="767"/>
      <c r="F617" s="800"/>
      <c r="G617" s="812">
        <v>67293510.879999995</v>
      </c>
      <c r="H617" s="812">
        <f t="shared" ref="H617:I624" si="137">H618</f>
        <v>671383.35</v>
      </c>
      <c r="I617" s="805">
        <f t="shared" si="137"/>
        <v>67964894.229999989</v>
      </c>
    </row>
    <row r="618" spans="1:9" ht="47.25" x14ac:dyDescent="0.25">
      <c r="A618" s="826" t="str">
        <f>IF(B618&gt;0,VLOOKUP(B618,КВСР!A153:B1318,2),IF(C618&gt;0,VLOOKUP(C618,КФСР!A153:B1665,2),IF(D618&gt;0,VLOOKUP(D618,Программа!A$1:B$5124,2),IF(F618&gt;0,VLOOKUP(F618,КВР!A$1:B$5001,2),IF(E618&gt;0,VLOOKUP(E618,Направление!A$1:B$4816,2))))))</f>
        <v>Обеспечение качества и доступности образовательных услуг в сфере дополнительного образования</v>
      </c>
      <c r="B618" s="767"/>
      <c r="C618" s="820"/>
      <c r="D618" s="767" t="s">
        <v>431</v>
      </c>
      <c r="E618" s="767"/>
      <c r="F618" s="800"/>
      <c r="G618" s="812">
        <v>67293510.879999995</v>
      </c>
      <c r="H618" s="812">
        <f>H624+H626+H628+H632+H619+H630+H622</f>
        <v>671383.35</v>
      </c>
      <c r="I618" s="805">
        <f>I624+I626+I628+I632+I619+I630+I622</f>
        <v>67964894.229999989</v>
      </c>
    </row>
    <row r="619" spans="1:9" ht="31.5" x14ac:dyDescent="0.25">
      <c r="A619" s="826" t="str">
        <f>IF(B619&gt;0,VLOOKUP(B619,КВСР!A154:B1319,2),IF(C619&gt;0,VLOOKUP(C619,КФСР!A154:B1666,2),IF(D619&gt;0,VLOOKUP(D619,Программа!A$1:B$5124,2),IF(F619&gt;0,VLOOKUP(F619,КВР!A$1:B$5001,2),IF(E619&gt;0,VLOOKUP(E619,Направление!A$1:B$4816,2))))))</f>
        <v>Обеспечение деятельности дошкольных учреждений</v>
      </c>
      <c r="B619" s="767"/>
      <c r="C619" s="820"/>
      <c r="D619" s="767"/>
      <c r="E619" s="767">
        <v>13010</v>
      </c>
      <c r="F619" s="800"/>
      <c r="G619" s="812">
        <v>3262620</v>
      </c>
      <c r="H619" s="812">
        <f>H621+H620</f>
        <v>0</v>
      </c>
      <c r="I619" s="805">
        <f>I621+I620</f>
        <v>3262620</v>
      </c>
    </row>
    <row r="620" spans="1:9" ht="110.25" x14ac:dyDescent="0.25">
      <c r="A620" s="826" t="str">
        <f>IF(B620&gt;0,VLOOKUP(B620,КВСР!A155:B1320,2),IF(C620&gt;0,VLOOKUP(C620,КФСР!A155:B1667,2),IF(D620&gt;0,VLOOKUP(D620,Программа!A$1:B$5124,2),IF(F620&gt;0,VLOOKUP(F620,КВР!A$1:B$5001,2),IF(E620&gt;0,VLOOKUP(E620,Направление!A$1:B$4816,2))))))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767"/>
      <c r="C620" s="820"/>
      <c r="D620" s="767"/>
      <c r="E620" s="767"/>
      <c r="F620" s="800">
        <v>100</v>
      </c>
      <c r="G620" s="812">
        <v>94760</v>
      </c>
      <c r="H620" s="812"/>
      <c r="I620" s="805">
        <f>G620+H620</f>
        <v>94760</v>
      </c>
    </row>
    <row r="621" spans="1:9" ht="63" x14ac:dyDescent="0.25">
      <c r="A621" s="826" t="str">
        <f>IF(B621&gt;0,VLOOKUP(B621,КВСР!A155:B1320,2),IF(C621&gt;0,VLOOKUP(C621,КФСР!A155:B1667,2),IF(D621&gt;0,VLOOKUP(D621,Программа!A$1:B$5124,2),IF(F621&gt;0,VLOOKUP(F621,КВР!A$1:B$5001,2),IF(E621&gt;0,VLOOKUP(E621,Направление!A$1:B$4816,2))))))</f>
        <v xml:space="preserve">Закупка товаров, работ и услуг для обеспечения государственных (муниципальных) нужд
</v>
      </c>
      <c r="B621" s="767"/>
      <c r="C621" s="820"/>
      <c r="D621" s="767"/>
      <c r="E621" s="767"/>
      <c r="F621" s="800">
        <v>200</v>
      </c>
      <c r="G621" s="812">
        <v>3167860</v>
      </c>
      <c r="H621" s="812"/>
      <c r="I621" s="805">
        <f>G621+H621</f>
        <v>3167860</v>
      </c>
    </row>
    <row r="622" spans="1:9" ht="31.5" x14ac:dyDescent="0.25">
      <c r="A622" s="826" t="str">
        <f>IF(B622&gt;0,VLOOKUP(B622,КВСР!A156:B1321,2),IF(C622&gt;0,VLOOKUP(C622,КФСР!A156:B1668,2),IF(D622&gt;0,VLOOKUP(D622,Программа!A$1:B$5124,2),IF(F622&gt;0,VLOOKUP(F622,КВР!A$1:B$5001,2),IF(E622&gt;0,VLOOKUP(E622,Направление!A$1:B$4816,2))))))</f>
        <v>Обеспечение деятельности общеобразовательных учреждений</v>
      </c>
      <c r="B622" s="767"/>
      <c r="C622" s="820"/>
      <c r="D622" s="767"/>
      <c r="E622" s="767">
        <v>13110</v>
      </c>
      <c r="F622" s="800"/>
      <c r="G622" s="812">
        <v>567819.88</v>
      </c>
      <c r="H622" s="812">
        <f t="shared" ref="H622:I622" si="138">H623</f>
        <v>0</v>
      </c>
      <c r="I622" s="805">
        <f t="shared" si="138"/>
        <v>567819.88</v>
      </c>
    </row>
    <row r="623" spans="1:9" ht="47.25" x14ac:dyDescent="0.25">
      <c r="A623" s="826" t="str">
        <f>IF(B623&gt;0,VLOOKUP(B623,КВСР!A157:B1322,2),IF(C623&gt;0,VLOOKUP(C623,КФСР!A157:B1669,2),IF(D623&gt;0,VLOOKUP(D623,Программа!A$1:B$5124,2),IF(F623&gt;0,VLOOKUP(F623,КВР!A$1:B$5001,2),IF(E623&gt;0,VLOOKUP(E623,Направление!A$1:B$4816,2))))))</f>
        <v>Предоставление субсидий бюджетным, автономным учреждениям и иным некоммерческим организациям</v>
      </c>
      <c r="B623" s="767"/>
      <c r="C623" s="820"/>
      <c r="D623" s="767"/>
      <c r="E623" s="767"/>
      <c r="F623" s="800">
        <v>600</v>
      </c>
      <c r="G623" s="812">
        <v>567819.88</v>
      </c>
      <c r="H623" s="812"/>
      <c r="I623" s="805">
        <f t="shared" ref="I623" si="139">G623+H623</f>
        <v>567819.88</v>
      </c>
    </row>
    <row r="624" spans="1:9" ht="31.5" x14ac:dyDescent="0.25">
      <c r="A624" s="826" t="str">
        <f>IF(B624&gt;0,VLOOKUP(B624,КВСР!A154:B1319,2),IF(C624&gt;0,VLOOKUP(C624,КФСР!A154:B1666,2),IF(D624&gt;0,VLOOKUP(D624,Программа!A$1:B$5124,2),IF(F624&gt;0,VLOOKUP(F624,КВР!A$1:B$5001,2),IF(E624&gt;0,VLOOKUP(E624,Направление!A$1:B$4816,2))))))</f>
        <v>Обеспечение деятельности учреждений дополнительного образования</v>
      </c>
      <c r="B624" s="767"/>
      <c r="C624" s="820"/>
      <c r="D624" s="767"/>
      <c r="E624" s="767">
        <v>13210</v>
      </c>
      <c r="F624" s="800"/>
      <c r="G624" s="812">
        <v>34170530</v>
      </c>
      <c r="H624" s="812">
        <f t="shared" si="137"/>
        <v>1388827.33</v>
      </c>
      <c r="I624" s="805">
        <f t="shared" si="137"/>
        <v>35559357.329999998</v>
      </c>
    </row>
    <row r="625" spans="1:9" ht="47.25" x14ac:dyDescent="0.25">
      <c r="A625" s="826" t="str">
        <f>IF(B625&gt;0,VLOOKUP(B625,КВСР!A155:B1320,2),IF(C625&gt;0,VLOOKUP(C625,КФСР!A155:B1667,2),IF(D625&gt;0,VLOOKUP(D625,Программа!A$1:B$5124,2),IF(F625&gt;0,VLOOKUP(F625,КВР!A$1:B$5001,2),IF(E625&gt;0,VLOOKUP(E625,Направление!A$1:B$4816,2))))))</f>
        <v>Предоставление субсидий бюджетным, автономным учреждениям и иным некоммерческим организациям</v>
      </c>
      <c r="B625" s="767"/>
      <c r="C625" s="820"/>
      <c r="D625" s="767"/>
      <c r="E625" s="767"/>
      <c r="F625" s="800">
        <v>600</v>
      </c>
      <c r="G625" s="812">
        <v>34170530</v>
      </c>
      <c r="H625" s="812">
        <f>223617+1165210.33</f>
        <v>1388827.33</v>
      </c>
      <c r="I625" s="805">
        <f t="shared" ref="I625:I723" si="140">SUM(G625:H625)</f>
        <v>35559357.329999998</v>
      </c>
    </row>
    <row r="626" spans="1:9" ht="31.5" x14ac:dyDescent="0.25">
      <c r="A626" s="826" t="str">
        <f>IF(B626&gt;0,VLOOKUP(B626,КВСР!A156:B1321,2),IF(C626&gt;0,VLOOKUP(C626,КФСР!A156:B1668,2),IF(D626&gt;0,VLOOKUP(D626,Программа!A$1:B$5124,2),IF(F626&gt;0,VLOOKUP(F626,КВР!A$1:B$5001,2),IF(E626&gt;0,VLOOKUP(E626,Направление!A$1:B$4816,2))))))</f>
        <v>Обеспечение деятельности прочих учреждений в сфере образования</v>
      </c>
      <c r="B626" s="767"/>
      <c r="C626" s="820"/>
      <c r="D626" s="767"/>
      <c r="E626" s="767">
        <v>13310</v>
      </c>
      <c r="F626" s="800"/>
      <c r="G626" s="812">
        <v>6100003</v>
      </c>
      <c r="H626" s="812">
        <f>H627</f>
        <v>-1165210.33</v>
      </c>
      <c r="I626" s="805">
        <f t="shared" ref="I626" si="141">I627</f>
        <v>4934792.67</v>
      </c>
    </row>
    <row r="627" spans="1:9" ht="47.25" x14ac:dyDescent="0.25">
      <c r="A627" s="826" t="str">
        <f>IF(B627&gt;0,VLOOKUP(B627,КВСР!A157:B1322,2),IF(C627&gt;0,VLOOKUP(C627,КФСР!A157:B1669,2),IF(D627&gt;0,VLOOKUP(D627,Программа!A$1:B$5124,2),IF(F627&gt;0,VLOOKUP(F627,КВР!A$1:B$5001,2),IF(E627&gt;0,VLOOKUP(E627,Направление!A$1:B$4816,2))))))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767"/>
      <c r="C627" s="820"/>
      <c r="D627" s="767"/>
      <c r="E627" s="767"/>
      <c r="F627" s="800">
        <v>600</v>
      </c>
      <c r="G627" s="812">
        <v>6100003</v>
      </c>
      <c r="H627" s="812">
        <v>-1165210.33</v>
      </c>
      <c r="I627" s="805">
        <f>G627+H627</f>
        <v>4934792.67</v>
      </c>
    </row>
    <row r="628" spans="1:9" ht="63" x14ac:dyDescent="0.25">
      <c r="A628" s="826" t="str">
        <f>IF(B628&gt;0,VLOOKUP(B628,КВСР!A158:B1323,2),IF(C628&gt;0,VLOOKUP(C628,КФСР!A158:B1670,2),IF(D628&gt;0,VLOOKUP(D628,Программа!A$1:B$5124,2),IF(F628&gt;0,VLOOKUP(F628,КВР!A$1:B$5001,2),IF(E628&gt;0,VLOOKUP(E628,Направление!A$1:B$4816,2))))))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8" s="767"/>
      <c r="C628" s="820"/>
      <c r="D628" s="767"/>
      <c r="E628" s="767">
        <v>15890</v>
      </c>
      <c r="F628" s="800"/>
      <c r="G628" s="812">
        <v>15901063</v>
      </c>
      <c r="H628" s="812">
        <f t="shared" ref="H628" si="142">H629</f>
        <v>299784.34999999998</v>
      </c>
      <c r="I628" s="805">
        <f t="shared" ref="I628:I629" si="143">G628+H628</f>
        <v>16200847.35</v>
      </c>
    </row>
    <row r="629" spans="1:9" ht="47.25" x14ac:dyDescent="0.25">
      <c r="A629" s="826" t="str">
        <f>IF(B629&gt;0,VLOOKUP(B629,КВСР!A159:B1324,2),IF(C629&gt;0,VLOOKUP(C629,КФСР!A159:B1671,2),IF(D629&gt;0,VLOOKUP(D629,Программа!A$1:B$5124,2),IF(F629&gt;0,VLOOKUP(F629,КВР!A$1:B$5001,2),IF(E629&gt;0,VLOOKUP(E629,Направление!A$1:B$4816,2))))))</f>
        <v>Предоставление субсидий бюджетным, автономным учреждениям и иным некоммерческим организациям</v>
      </c>
      <c r="B629" s="767"/>
      <c r="C629" s="820"/>
      <c r="D629" s="767"/>
      <c r="E629" s="767"/>
      <c r="F629" s="800">
        <v>600</v>
      </c>
      <c r="G629" s="812">
        <v>15901063</v>
      </c>
      <c r="H629" s="812">
        <v>299784.34999999998</v>
      </c>
      <c r="I629" s="805">
        <f t="shared" si="143"/>
        <v>16200847.35</v>
      </c>
    </row>
    <row r="630" spans="1:9" hidden="1" x14ac:dyDescent="0.25">
      <c r="A630" s="826" t="str">
        <f>IF(B630&gt;0,VLOOKUP(B630,КВСР!A160:B1325,2),IF(C630&gt;0,VLOOKUP(C630,КФСР!A160:B1672,2),IF(D630&gt;0,VLOOKUP(D630,Программа!A$1:B$5124,2),IF(F630&gt;0,VLOOKUP(F630,КВР!A$1:B$5001,2),IF(E630&gt;0,VLOOKUP(E630,Направление!A$1:B$4816,2))))))</f>
        <v xml:space="preserve">Иная дотация </v>
      </c>
      <c r="B630" s="767"/>
      <c r="C630" s="820"/>
      <c r="D630" s="767"/>
      <c r="E630" s="767">
        <v>73260</v>
      </c>
      <c r="F630" s="800"/>
      <c r="G630" s="812">
        <v>0</v>
      </c>
      <c r="H630" s="812">
        <f t="shared" ref="H630:I630" si="144">H631</f>
        <v>0</v>
      </c>
      <c r="I630" s="805">
        <f t="shared" si="144"/>
        <v>0</v>
      </c>
    </row>
    <row r="631" spans="1:9" ht="47.25" hidden="1" x14ac:dyDescent="0.25">
      <c r="A631" s="826" t="str">
        <f>IF(B631&gt;0,VLOOKUP(B631,КВСР!A161:B1326,2),IF(C631&gt;0,VLOOKUP(C631,КФСР!A161:B1673,2),IF(D631&gt;0,VLOOKUP(D631,Программа!A$1:B$5124,2),IF(F631&gt;0,VLOOKUP(F631,КВР!A$1:B$5001,2),IF(E631&gt;0,VLOOKUP(E631,Направление!A$1:B$4816,2))))))</f>
        <v>Предоставление субсидий бюджетным, автономным учреждениям и иным некоммерческим организациям</v>
      </c>
      <c r="B631" s="767"/>
      <c r="C631" s="820"/>
      <c r="D631" s="767"/>
      <c r="E631" s="767"/>
      <c r="F631" s="800">
        <v>600</v>
      </c>
      <c r="G631" s="812">
        <v>0</v>
      </c>
      <c r="H631" s="812"/>
      <c r="I631" s="805">
        <f>G631+H631</f>
        <v>0</v>
      </c>
    </row>
    <row r="632" spans="1:9" ht="63" x14ac:dyDescent="0.25">
      <c r="A632" s="826" t="str">
        <f>IF(B632&gt;0,VLOOKUP(B632,КВСР!A160:B1325,2),IF(C632&gt;0,VLOOKUP(C632,КФСР!A160:B1672,2),IF(D632&gt;0,VLOOKUP(D632,Программа!A$1:B$5124,2),IF(F632&gt;0,VLOOKUP(F632,КВР!A$1:B$5001,2),IF(E632&gt;0,VLOOKUP(E632,Направление!A$1:B$4816,2))))))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32" s="767"/>
      <c r="C632" s="820"/>
      <c r="D632" s="767"/>
      <c r="E632" s="767">
        <v>75890</v>
      </c>
      <c r="F632" s="800"/>
      <c r="G632" s="812">
        <v>7291475</v>
      </c>
      <c r="H632" s="812">
        <f>H633</f>
        <v>147982</v>
      </c>
      <c r="I632" s="805">
        <f>I633</f>
        <v>7439457</v>
      </c>
    </row>
    <row r="633" spans="1:9" ht="47.25" x14ac:dyDescent="0.25">
      <c r="A633" s="826" t="str">
        <f>IF(B633&gt;0,VLOOKUP(B633,КВСР!A161:B1326,2),IF(C633&gt;0,VLOOKUP(C633,КФСР!A161:B1673,2),IF(D633&gt;0,VLOOKUP(D633,Программа!A$1:B$5124,2),IF(F633&gt;0,VLOOKUP(F633,КВР!A$1:B$5001,2),IF(E633&gt;0,VLOOKUP(E633,Направление!A$1:B$4816,2))))))</f>
        <v>Предоставление субсидий бюджетным, автономным учреждениям и иным некоммерческим организациям</v>
      </c>
      <c r="B633" s="767"/>
      <c r="C633" s="820"/>
      <c r="D633" s="767"/>
      <c r="E633" s="767"/>
      <c r="F633" s="800">
        <v>600</v>
      </c>
      <c r="G633" s="812">
        <v>7291475</v>
      </c>
      <c r="H633" s="812">
        <v>147982</v>
      </c>
      <c r="I633" s="805">
        <f>G633+H633</f>
        <v>7439457</v>
      </c>
    </row>
    <row r="634" spans="1:9" ht="47.25" hidden="1" x14ac:dyDescent="0.25">
      <c r="A634" s="826" t="str">
        <f>IF(B634&gt;0,VLOOKUP(B634,КВСР!A156:B1321,2),IF(C634&gt;0,VLOOKUP(C634,КФСР!A156:B1668,2),IF(D634&gt;0,VLOOKUP(D634,Программа!A$1:B$5124,2),IF(F634&gt;0,VLOOKUP(F634,КВР!A$1:B$5001,2),IF(E634&gt;0,VLOOKUP(E634,Направление!A$1:B$4816,2))))))</f>
        <v>Муниципальная программа "Социальная поддержка населения Тутаевского муниципального района"</v>
      </c>
      <c r="B634" s="767"/>
      <c r="C634" s="820"/>
      <c r="D634" s="767" t="s">
        <v>376</v>
      </c>
      <c r="E634" s="767"/>
      <c r="F634" s="800"/>
      <c r="G634" s="813">
        <v>0</v>
      </c>
      <c r="H634" s="812">
        <f>H635</f>
        <v>0</v>
      </c>
      <c r="I634" s="806">
        <f>I635</f>
        <v>0</v>
      </c>
    </row>
    <row r="635" spans="1:9" ht="47.25" hidden="1" x14ac:dyDescent="0.25">
      <c r="A635" s="826" t="str">
        <f>IF(B635&gt;0,VLOOKUP(B635,КВСР!A157:B1322,2),IF(C635&gt;0,VLOOKUP(C635,КФСР!A157:B1669,2),IF(D635&gt;0,VLOOKUP(D635,Программа!A$1:B$5124,2),IF(F635&gt;0,VLOOKUP(F635,КВР!A$1:B$5001,2),IF(E635&gt;0,VLOOKUP(E635,Направление!A$1:B$4816,2))))))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35" s="767"/>
      <c r="C635" s="820"/>
      <c r="D635" s="767" t="s">
        <v>378</v>
      </c>
      <c r="E635" s="767"/>
      <c r="F635" s="800"/>
      <c r="G635" s="813">
        <v>0</v>
      </c>
      <c r="H635" s="812">
        <f t="shared" ref="H635:I637" si="145">H636</f>
        <v>0</v>
      </c>
      <c r="I635" s="806">
        <f t="shared" si="145"/>
        <v>0</v>
      </c>
    </row>
    <row r="636" spans="1:9" ht="63" hidden="1" x14ac:dyDescent="0.25">
      <c r="A636" s="826" t="str">
        <f>IF(B636&gt;0,VLOOKUP(B636,КВСР!A158:B1323,2),IF(C636&gt;0,VLOOKUP(C636,КФСР!A158:B1670,2),IF(D636&gt;0,VLOOKUP(D636,Программа!A$1:B$5124,2),IF(F636&gt;0,VLOOKUP(F636,КВР!A$1:B$5001,2),IF(E636&gt;0,VLOOKUP(E636,Направление!A$1:B$4816,2))))))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6" s="767"/>
      <c r="C636" s="820"/>
      <c r="D636" s="767" t="s">
        <v>379</v>
      </c>
      <c r="E636" s="767"/>
      <c r="F636" s="800"/>
      <c r="G636" s="813">
        <v>0</v>
      </c>
      <c r="H636" s="812">
        <f t="shared" si="145"/>
        <v>0</v>
      </c>
      <c r="I636" s="806">
        <f t="shared" si="145"/>
        <v>0</v>
      </c>
    </row>
    <row r="637" spans="1:9" ht="31.5" hidden="1" x14ac:dyDescent="0.25">
      <c r="A637" s="826" t="str">
        <f>IF(B637&gt;0,VLOOKUP(B637,КВСР!A159:B1324,2),IF(C637&gt;0,VLOOKUP(C637,КФСР!A159:B1671,2),IF(D637&gt;0,VLOOKUP(D637,Программа!A$1:B$5124,2),IF(F637&gt;0,VLOOKUP(F637,КВР!A$1:B$5001,2),IF(E637&gt;0,VLOOKUP(E637,Направление!A$1:B$4816,2))))))</f>
        <v>Расходы на реализацию мероприятий по улучшению условий и охраны труда</v>
      </c>
      <c r="B637" s="767"/>
      <c r="C637" s="820"/>
      <c r="D637" s="767"/>
      <c r="E637" s="767">
        <v>16150</v>
      </c>
      <c r="F637" s="800"/>
      <c r="G637" s="813">
        <v>0</v>
      </c>
      <c r="H637" s="812">
        <f t="shared" si="145"/>
        <v>0</v>
      </c>
      <c r="I637" s="806">
        <f t="shared" si="145"/>
        <v>0</v>
      </c>
    </row>
    <row r="638" spans="1:9" ht="47.25" hidden="1" x14ac:dyDescent="0.25">
      <c r="A638" s="826" t="str">
        <f>IF(B638&gt;0,VLOOKUP(B638,КВСР!A160:B1325,2),IF(C638&gt;0,VLOOKUP(C638,КФСР!A160:B1672,2),IF(D638&gt;0,VLOOKUP(D638,Программа!A$1:B$5124,2),IF(F638&gt;0,VLOOKUP(F638,КВР!A$1:B$5001,2),IF(E638&gt;0,VLOOKUP(E638,Направление!A$1:B$4816,2))))))</f>
        <v>Предоставление субсидий бюджетным, автономным учреждениям и иным некоммерческим организациям</v>
      </c>
      <c r="B638" s="767"/>
      <c r="C638" s="820"/>
      <c r="D638" s="767"/>
      <c r="E638" s="767"/>
      <c r="F638" s="800">
        <v>600</v>
      </c>
      <c r="G638" s="812">
        <v>0</v>
      </c>
      <c r="H638" s="812"/>
      <c r="I638" s="805">
        <f>G638+H638</f>
        <v>0</v>
      </c>
    </row>
    <row r="639" spans="1:9" ht="47.25" x14ac:dyDescent="0.25">
      <c r="A639" s="826" t="str">
        <f>IF(B639&gt;0,VLOOKUP(B639,КВСР!A161:B1326,2),IF(C639&gt;0,VLOOKUP(C639,КФСР!A161:B1673,2),IF(D639&gt;0,VLOOKUP(D639,Программа!A$1:B$5124,2),IF(F639&gt;0,VLOOKUP(F639,КВР!A$1:B$5001,2),IF(E639&gt;0,VLOOKUP(E639,Направление!A$1:B$4816,2))))))</f>
        <v>Профессиональная подготовка, переподготовка и повышение квалификации</v>
      </c>
      <c r="B639" s="767"/>
      <c r="C639" s="827">
        <v>705</v>
      </c>
      <c r="D639" s="767"/>
      <c r="E639" s="767"/>
      <c r="F639" s="800"/>
      <c r="G639" s="813">
        <v>1247000</v>
      </c>
      <c r="H639" s="812">
        <f t="shared" ref="H639:I643" si="146">H640</f>
        <v>0</v>
      </c>
      <c r="I639" s="806">
        <f t="shared" si="146"/>
        <v>1247000</v>
      </c>
    </row>
    <row r="640" spans="1:9" ht="63" x14ac:dyDescent="0.25">
      <c r="A640" s="826" t="str">
        <f>IF(B640&gt;0,VLOOKUP(B640,КВСР!A162:B1327,2),IF(C640&gt;0,VLOOKUP(C640,КФСР!A162:B1674,2),IF(D640&gt;0,VLOOKUP(D640,Программа!A$1:B$5124,2),IF(F640&gt;0,VLOOKUP(F640,КВР!A$1:B$5001,2),IF(E640&gt;0,VLOOKUP(E640,Направление!A$1:B$4816,2))))))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40" s="767"/>
      <c r="C640" s="820"/>
      <c r="D640" s="767" t="s">
        <v>367</v>
      </c>
      <c r="E640" s="767"/>
      <c r="F640" s="800"/>
      <c r="G640" s="813">
        <v>1247000</v>
      </c>
      <c r="H640" s="812">
        <f t="shared" si="146"/>
        <v>0</v>
      </c>
      <c r="I640" s="806">
        <f t="shared" si="146"/>
        <v>1247000</v>
      </c>
    </row>
    <row r="641" spans="1:9" ht="63" x14ac:dyDescent="0.25">
      <c r="A641" s="826" t="str">
        <f>IF(B641&gt;0,VLOOKUP(B641,КВСР!A163:B1328,2),IF(C641&gt;0,VLOOKUP(C641,КФСР!A163:B1675,2),IF(D641&gt;0,VLOOKUP(D641,Программа!A$1:B$5124,2),IF(F641&gt;0,VLOOKUP(F641,КВР!A$1:B$5001,2),IF(E641&gt;0,VLOOKUP(E641,Направление!A$1:B$4816,2))))))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41" s="767"/>
      <c r="C641" s="820"/>
      <c r="D641" s="767" t="s">
        <v>369</v>
      </c>
      <c r="E641" s="767"/>
      <c r="F641" s="800"/>
      <c r="G641" s="813">
        <v>1247000</v>
      </c>
      <c r="H641" s="812">
        <f t="shared" si="146"/>
        <v>0</v>
      </c>
      <c r="I641" s="806">
        <f t="shared" si="146"/>
        <v>1247000</v>
      </c>
    </row>
    <row r="642" spans="1:9" ht="78.75" x14ac:dyDescent="0.25">
      <c r="A642" s="826" t="str">
        <f>IF(B642&gt;0,VLOOKUP(B642,КВСР!A164:B1329,2),IF(C642&gt;0,VLOOKUP(C642,КФСР!A164:B1676,2),IF(D642&gt;0,VLOOKUP(D642,Программа!A$1:B$5124,2),IF(F642&gt;0,VLOOKUP(F642,КВР!A$1:B$5001,2),IF(E642&gt;0,VLOOKUP(E642,Направление!A$1:B$4816,2))))))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2" s="767"/>
      <c r="C642" s="820"/>
      <c r="D642" s="767" t="s">
        <v>388</v>
      </c>
      <c r="E642" s="767"/>
      <c r="F642" s="800"/>
      <c r="G642" s="813">
        <v>1247000</v>
      </c>
      <c r="H642" s="812">
        <f t="shared" si="146"/>
        <v>0</v>
      </c>
      <c r="I642" s="806">
        <f t="shared" si="146"/>
        <v>1247000</v>
      </c>
    </row>
    <row r="643" spans="1:9" ht="31.5" x14ac:dyDescent="0.25">
      <c r="A643" s="826" t="str">
        <f>IF(B643&gt;0,VLOOKUP(B643,КВСР!A165:B1330,2),IF(C643&gt;0,VLOOKUP(C643,КФСР!A165:B1677,2),IF(D643&gt;0,VLOOKUP(D643,Программа!A$1:B$5124,2),IF(F643&gt;0,VLOOKUP(F643,КВР!A$1:B$5001,2),IF(E643&gt;0,VLOOKUP(E643,Направление!A$1:B$4816,2))))))</f>
        <v>Обеспечение деятельности прочих учреждений в сфере образования</v>
      </c>
      <c r="B643" s="767"/>
      <c r="C643" s="820"/>
      <c r="D643" s="767"/>
      <c r="E643" s="767">
        <v>13310</v>
      </c>
      <c r="F643" s="800"/>
      <c r="G643" s="813">
        <v>1247000</v>
      </c>
      <c r="H643" s="812">
        <f t="shared" si="146"/>
        <v>0</v>
      </c>
      <c r="I643" s="806">
        <f t="shared" si="146"/>
        <v>1247000</v>
      </c>
    </row>
    <row r="644" spans="1:9" ht="47.25" x14ac:dyDescent="0.25">
      <c r="A644" s="826" t="str">
        <f>IF(B644&gt;0,VLOOKUP(B644,КВСР!A166:B1331,2),IF(C644&gt;0,VLOOKUP(C644,КФСР!A166:B1678,2),IF(D644&gt;0,VLOOKUP(D644,Программа!A$1:B$5124,2),IF(F644&gt;0,VLOOKUP(F644,КВР!A$1:B$5001,2),IF(E644&gt;0,VLOOKUP(E644,Направление!A$1:B$4816,2))))))</f>
        <v>Предоставление субсидий бюджетным, автономным учреждениям и иным некоммерческим организациям</v>
      </c>
      <c r="B644" s="767"/>
      <c r="C644" s="820"/>
      <c r="D644" s="767"/>
      <c r="E644" s="767"/>
      <c r="F644" s="800">
        <v>600</v>
      </c>
      <c r="G644" s="812">
        <v>1247000</v>
      </c>
      <c r="H644" s="812"/>
      <c r="I644" s="805">
        <f>G644+H644</f>
        <v>1247000</v>
      </c>
    </row>
    <row r="645" spans="1:9" x14ac:dyDescent="0.25">
      <c r="A645" s="826" t="str">
        <f>IF(B645&gt;0,VLOOKUP(B645,КВСР!A146:B1311,2),IF(C645&gt;0,VLOOKUP(C645,КФСР!A146:B1658,2),IF(D645&gt;0,VLOOKUP(D645,Программа!A$1:B$5124,2),IF(F645&gt;0,VLOOKUP(F645,КВР!A$1:B$5001,2),IF(E645&gt;0,VLOOKUP(E645,Направление!A$1:B$4816,2))))))</f>
        <v>Молодежная политика</v>
      </c>
      <c r="B645" s="767"/>
      <c r="C645" s="827">
        <v>707</v>
      </c>
      <c r="D645" s="767"/>
      <c r="E645" s="767"/>
      <c r="F645" s="800"/>
      <c r="G645" s="812">
        <v>6635862</v>
      </c>
      <c r="H645" s="812">
        <f t="shared" ref="H645:I645" si="147">H651+H646</f>
        <v>-289</v>
      </c>
      <c r="I645" s="805">
        <f t="shared" si="147"/>
        <v>6635573</v>
      </c>
    </row>
    <row r="646" spans="1:9" ht="63" hidden="1" x14ac:dyDescent="0.25">
      <c r="A646" s="826" t="str">
        <f>IF(B646&gt;0,VLOOKUP(B646,КВСР!A147:B1312,2),IF(C646&gt;0,VLOOKUP(C646,КФСР!A147:B1659,2),IF(D646&gt;0,VLOOKUP(D646,Программа!A$1:B$5124,2),IF(F646&gt;0,VLOOKUP(F646,КВР!A$1:B$5001,2),IF(E646&gt;0,VLOOKUP(E646,Направление!A$1:B$4816,2))))))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46" s="767"/>
      <c r="C646" s="820"/>
      <c r="D646" s="767" t="s">
        <v>396</v>
      </c>
      <c r="E646" s="767"/>
      <c r="F646" s="800"/>
      <c r="G646" s="812">
        <v>0</v>
      </c>
      <c r="H646" s="812">
        <f t="shared" ref="H646:I649" si="148">H647</f>
        <v>0</v>
      </c>
      <c r="I646" s="805">
        <f t="shared" si="148"/>
        <v>0</v>
      </c>
    </row>
    <row r="647" spans="1:9" ht="31.5" hidden="1" x14ac:dyDescent="0.25">
      <c r="A647" s="826" t="str">
        <f>IF(B647&gt;0,VLOOKUP(B647,КВСР!A148:B1313,2),IF(C647&gt;0,VLOOKUP(C647,КФСР!A148:B1660,2),IF(D647&gt;0,VLOOKUP(D647,Программа!A$1:B$5124,2),IF(F647&gt;0,VLOOKUP(F647,КВР!A$1:B$5001,2),IF(E647&gt;0,VLOOKUP(E647,Направление!A$1:B$4816,2))))))</f>
        <v>Ведомственная целевая программа «Молодежь»</v>
      </c>
      <c r="B647" s="767"/>
      <c r="C647" s="820"/>
      <c r="D647" s="767" t="s">
        <v>499</v>
      </c>
      <c r="E647" s="767"/>
      <c r="F647" s="800"/>
      <c r="G647" s="812">
        <v>0</v>
      </c>
      <c r="H647" s="812">
        <f t="shared" si="148"/>
        <v>0</v>
      </c>
      <c r="I647" s="805">
        <f t="shared" si="148"/>
        <v>0</v>
      </c>
    </row>
    <row r="648" spans="1:9" ht="63" hidden="1" x14ac:dyDescent="0.25">
      <c r="A648" s="826" t="str">
        <f>IF(B648&gt;0,VLOOKUP(B648,КВСР!A149:B1314,2),IF(C648&gt;0,VLOOKUP(C648,КФСР!A149:B1661,2),IF(D648&gt;0,VLOOKUP(D648,Программа!A$1:B$5124,2),IF(F648&gt;0,VLOOKUP(F648,КВР!A$1:B$5001,2),IF(E648&gt;0,VLOOKUP(E648,Направление!A$1:B$4816,2))))))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8" s="767"/>
      <c r="C648" s="820"/>
      <c r="D648" s="767" t="s">
        <v>501</v>
      </c>
      <c r="E648" s="767"/>
      <c r="F648" s="800"/>
      <c r="G648" s="812">
        <v>0</v>
      </c>
      <c r="H648" s="812">
        <f t="shared" si="148"/>
        <v>0</v>
      </c>
      <c r="I648" s="805">
        <f t="shared" si="148"/>
        <v>0</v>
      </c>
    </row>
    <row r="649" spans="1:9" ht="47.25" hidden="1" x14ac:dyDescent="0.25">
      <c r="A649" s="826" t="str">
        <f>IF(B649&gt;0,VLOOKUP(B649,КВСР!A150:B1315,2),IF(C649&gt;0,VLOOKUP(C649,КФСР!A150:B1662,2),IF(D649&gt;0,VLOOKUP(D649,Программа!A$1:B$5124,2),IF(F649&gt;0,VLOOKUP(F649,КВР!A$1:B$5001,2),IF(E649&gt;0,VLOOKUP(E649,Направление!A$1:B$4816,2))))))</f>
        <v>Расходы на обеспечение трудоустройства несовершеннолетних граждан на временные рабочие места</v>
      </c>
      <c r="B649" s="767"/>
      <c r="C649" s="820"/>
      <c r="D649" s="767"/>
      <c r="E649" s="767">
        <v>76150</v>
      </c>
      <c r="F649" s="800"/>
      <c r="G649" s="812">
        <v>0</v>
      </c>
      <c r="H649" s="812">
        <f t="shared" si="148"/>
        <v>0</v>
      </c>
      <c r="I649" s="805">
        <f t="shared" si="148"/>
        <v>0</v>
      </c>
    </row>
    <row r="650" spans="1:9" ht="47.25" hidden="1" x14ac:dyDescent="0.25">
      <c r="A650" s="826" t="str">
        <f>IF(B650&gt;0,VLOOKUP(B650,КВСР!A151:B1316,2),IF(C650&gt;0,VLOOKUP(C650,КФСР!A151:B1663,2),IF(D650&gt;0,VLOOKUP(D650,Программа!A$1:B$5124,2),IF(F650&gt;0,VLOOKUP(F650,КВР!A$1:B$5001,2),IF(E650&gt;0,VLOOKUP(E650,Направление!A$1:B$4816,2))))))</f>
        <v>Предоставление субсидий бюджетным, автономным учреждениям и иным некоммерческим организациям</v>
      </c>
      <c r="B650" s="767"/>
      <c r="C650" s="820"/>
      <c r="D650" s="767"/>
      <c r="E650" s="767"/>
      <c r="F650" s="800">
        <v>600</v>
      </c>
      <c r="G650" s="812">
        <v>0</v>
      </c>
      <c r="H650" s="812"/>
      <c r="I650" s="805">
        <f>G650+H650</f>
        <v>0</v>
      </c>
    </row>
    <row r="651" spans="1:9" ht="63" x14ac:dyDescent="0.25">
      <c r="A651" s="826" t="str">
        <f>IF(B651&gt;0,VLOOKUP(B651,КВСР!A147:B1312,2),IF(C651&gt;0,VLOOKUP(C651,КФСР!A147:B1659,2),IF(D651&gt;0,VLOOKUP(D651,Программа!A$1:B$5124,2),IF(F651&gt;0,VLOOKUP(F651,КВР!A$1:B$5001,2),IF(E651&gt;0,VLOOKUP(E651,Направление!A$1:B$4816,2))))))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51" s="767"/>
      <c r="C651" s="820"/>
      <c r="D651" s="767" t="s">
        <v>367</v>
      </c>
      <c r="E651" s="767"/>
      <c r="F651" s="800"/>
      <c r="G651" s="812">
        <v>6635862</v>
      </c>
      <c r="H651" s="812">
        <f>H652</f>
        <v>-289</v>
      </c>
      <c r="I651" s="805">
        <f>I652</f>
        <v>6635573</v>
      </c>
    </row>
    <row r="652" spans="1:9" ht="63" x14ac:dyDescent="0.25">
      <c r="A652" s="826" t="str">
        <f>IF(B652&gt;0,VLOOKUP(B652,КВСР!A148:B1313,2),IF(C652&gt;0,VLOOKUP(C652,КФСР!A148:B1660,2),IF(D652&gt;0,VLOOKUP(D652,Программа!A$1:B$5124,2),IF(F652&gt;0,VLOOKUP(F652,КВР!A$1:B$5001,2),IF(E652&gt;0,VLOOKUP(E652,Направление!A$1:B$4816,2))))))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52" s="767"/>
      <c r="C652" s="820"/>
      <c r="D652" s="767" t="s">
        <v>369</v>
      </c>
      <c r="E652" s="767"/>
      <c r="F652" s="800"/>
      <c r="G652" s="812">
        <v>6635862</v>
      </c>
      <c r="H652" s="812">
        <f>H653+H668</f>
        <v>-289</v>
      </c>
      <c r="I652" s="805">
        <f>I653+I668</f>
        <v>6635573</v>
      </c>
    </row>
    <row r="653" spans="1:9" ht="31.5" x14ac:dyDescent="0.25">
      <c r="A653" s="826" t="str">
        <f>IF(B653&gt;0,VLOOKUP(B653,КВСР!A149:B1314,2),IF(C653&gt;0,VLOOKUP(C653,КФСР!A149:B1661,2),IF(D653&gt;0,VLOOKUP(D653,Программа!A$1:B$5124,2),IF(F653&gt;0,VLOOKUP(F653,КВР!A$1:B$5001,2),IF(E653&gt;0,VLOOKUP(E653,Направление!A$1:B$4816,2))))))</f>
        <v>Обеспечение детей организованными формами отдыха и оздоровления</v>
      </c>
      <c r="B653" s="767"/>
      <c r="C653" s="820"/>
      <c r="D653" s="767" t="s">
        <v>1055</v>
      </c>
      <c r="E653" s="767"/>
      <c r="F653" s="800"/>
      <c r="G653" s="812">
        <v>6635862</v>
      </c>
      <c r="H653" s="812">
        <f t="shared" ref="H653" si="149">H654+H656+H661+H663+H666+H658</f>
        <v>-289</v>
      </c>
      <c r="I653" s="805">
        <f t="shared" ref="I653" si="150">I654+I656+I661+I663+I666+I658</f>
        <v>6635573</v>
      </c>
    </row>
    <row r="654" spans="1:9" ht="47.25" x14ac:dyDescent="0.25">
      <c r="A654" s="826" t="str">
        <f>IF(B654&gt;0,VLOOKUP(B654,КВСР!A150:B1315,2),IF(C654&gt;0,VLOOKUP(C654,КФСР!A150:B1662,2),IF(D654&gt;0,VLOOKUP(D654,Программа!A$1:B$5124,2),IF(F654&gt;0,VLOOKUP(F654,КВР!A$1:B$5001,2),IF(E654&gt;0,VLOOKUP(E654,Направление!A$1:B$4816,2))))))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654" s="767"/>
      <c r="C654" s="820"/>
      <c r="D654" s="767"/>
      <c r="E654" s="767">
        <v>11000</v>
      </c>
      <c r="F654" s="800"/>
      <c r="G654" s="812">
        <v>103437</v>
      </c>
      <c r="H654" s="812">
        <f>H655</f>
        <v>-289</v>
      </c>
      <c r="I654" s="805">
        <f>I655</f>
        <v>103148</v>
      </c>
    </row>
    <row r="655" spans="1:9" ht="47.25" x14ac:dyDescent="0.25">
      <c r="A655" s="826" t="str">
        <f>IF(B655&gt;0,VLOOKUP(B655,КВСР!A155:B1320,2),IF(C655&gt;0,VLOOKUP(C655,КФСР!A155:B1667,2),IF(D655&gt;0,VLOOKUP(D655,Программа!A$1:B$5124,2),IF(F655&gt;0,VLOOKUP(F655,КВР!A$1:B$5001,2),IF(E655&gt;0,VLOOKUP(E655,Направление!A$1:B$4816,2))))))</f>
        <v>Предоставление субсидий бюджетным, автономным учреждениям и иным некоммерческим организациям</v>
      </c>
      <c r="B655" s="767"/>
      <c r="C655" s="820"/>
      <c r="D655" s="767"/>
      <c r="E655" s="767"/>
      <c r="F655" s="800">
        <v>600</v>
      </c>
      <c r="G655" s="812">
        <v>103437</v>
      </c>
      <c r="H655" s="812">
        <v>-289</v>
      </c>
      <c r="I655" s="805">
        <f t="shared" si="140"/>
        <v>103148</v>
      </c>
    </row>
    <row r="656" spans="1:9" ht="110.25" hidden="1" x14ac:dyDescent="0.25">
      <c r="A656" s="826" t="str">
        <f>IF(B656&gt;0,VLOOKUP(B656,КВСР!A156:B1321,2),IF(C656&gt;0,VLOOKUP(C656,КФСР!A156:B1668,2),IF(D656&gt;0,VLOOKUP(D656,Программа!A$1:B$5124,2),IF(F656&gt;0,VLOOKUP(F656,КВР!A$1:B$5001,2),IF(E656&gt;0,VLOOKUP(E656,Направление!A$1:B$4816,2))))))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56" s="767"/>
      <c r="C656" s="820"/>
      <c r="D656" s="767"/>
      <c r="E656" s="767">
        <v>50650</v>
      </c>
      <c r="F656" s="800"/>
      <c r="G656" s="812">
        <v>0</v>
      </c>
      <c r="H656" s="812">
        <f>H657</f>
        <v>0</v>
      </c>
      <c r="I656" s="805">
        <f t="shared" si="140"/>
        <v>0</v>
      </c>
    </row>
    <row r="657" spans="1:9" ht="31.5" hidden="1" x14ac:dyDescent="0.25">
      <c r="A657" s="826" t="str">
        <f>IF(B657&gt;0,VLOOKUP(B657,КВСР!A157:B1322,2),IF(C657&gt;0,VLOOKUP(C657,КФСР!A157:B1669,2),IF(D657&gt;0,VLOOKUP(D657,Программа!A$1:B$5124,2),IF(F657&gt;0,VLOOKUP(F657,КВР!A$1:B$5001,2),IF(E657&gt;0,VLOOKUP(E657,Направление!A$1:B$4816,2))))))</f>
        <v>Социальное обеспечение и иные выплаты населению</v>
      </c>
      <c r="B657" s="767"/>
      <c r="C657" s="820"/>
      <c r="D657" s="767"/>
      <c r="E657" s="767"/>
      <c r="F657" s="800">
        <v>300</v>
      </c>
      <c r="G657" s="812">
        <v>0</v>
      </c>
      <c r="H657" s="812"/>
      <c r="I657" s="805">
        <f t="shared" si="140"/>
        <v>0</v>
      </c>
    </row>
    <row r="658" spans="1:9" ht="31.5" x14ac:dyDescent="0.25">
      <c r="A658" s="826" t="str">
        <f>IF(B658&gt;0,VLOOKUP(B658,КВСР!A158:B1323,2),IF(C658&gt;0,VLOOKUP(C658,КФСР!A158:B1670,2),IF(D658&gt;0,VLOOKUP(D658,Программа!A$1:B$5124,2),IF(F658&gt;0,VLOOKUP(F658,КВР!A$1:B$5001,2),IF(E658&gt;0,VLOOKUP(E658,Направление!A$1:B$4816,2))))))</f>
        <v>Расходы на обеспечение оздоровления и отдыха детей</v>
      </c>
      <c r="B658" s="767"/>
      <c r="C658" s="820"/>
      <c r="D658" s="767"/>
      <c r="E658" s="767">
        <v>13330</v>
      </c>
      <c r="F658" s="800"/>
      <c r="G658" s="812">
        <v>67950</v>
      </c>
      <c r="H658" s="812">
        <f>H659+H660</f>
        <v>0</v>
      </c>
      <c r="I658" s="805">
        <f>I659+I660</f>
        <v>67950</v>
      </c>
    </row>
    <row r="659" spans="1:9" ht="63" hidden="1" x14ac:dyDescent="0.25">
      <c r="A659" s="826" t="str">
        <f>IF(B659&gt;0,VLOOKUP(B659,КВСР!A159:B1324,2),IF(C659&gt;0,VLOOKUP(C659,КФСР!A159:B1671,2),IF(D659&gt;0,VLOOKUP(D659,Программа!A$1:B$5124,2),IF(F659&gt;0,VLOOKUP(F659,КВР!A$1:B$5001,2),IF(E659&gt;0,VLOOKUP(E659,Направление!A$1:B$4816,2))))))</f>
        <v xml:space="preserve">Закупка товаров, работ и услуг для обеспечения государственных (муниципальных) нужд
</v>
      </c>
      <c r="B659" s="767"/>
      <c r="C659" s="820"/>
      <c r="D659" s="767"/>
      <c r="E659" s="767"/>
      <c r="F659" s="800">
        <v>200</v>
      </c>
      <c r="G659" s="812">
        <v>0</v>
      </c>
      <c r="H659" s="812"/>
      <c r="I659" s="805">
        <f>G659+H659</f>
        <v>0</v>
      </c>
    </row>
    <row r="660" spans="1:9" ht="47.25" x14ac:dyDescent="0.25">
      <c r="A660" s="826" t="str">
        <f>IF(B660&gt;0,VLOOKUP(B660,КВСР!A159:B1324,2),IF(C660&gt;0,VLOOKUP(C660,КФСР!A159:B1671,2),IF(D660&gt;0,VLOOKUP(D660,Программа!A$1:B$5124,2),IF(F660&gt;0,VLOOKUP(F660,КВР!A$1:B$5001,2),IF(E660&gt;0,VLOOKUP(E660,Направление!A$1:B$4816,2))))))</f>
        <v>Предоставление субсидий бюджетным, автономным учреждениям и иным некоммерческим организациям</v>
      </c>
      <c r="B660" s="767"/>
      <c r="C660" s="820"/>
      <c r="D660" s="767"/>
      <c r="E660" s="767"/>
      <c r="F660" s="800">
        <v>600</v>
      </c>
      <c r="G660" s="812">
        <v>67950</v>
      </c>
      <c r="H660" s="812"/>
      <c r="I660" s="805">
        <f>G660+H660</f>
        <v>67950</v>
      </c>
    </row>
    <row r="661" spans="1:9" ht="94.5" x14ac:dyDescent="0.25">
      <c r="A661" s="826" t="str">
        <f>IF(B661&gt;0,VLOOKUP(B661,КВСР!A159:B1324,2),IF(C661&gt;0,VLOOKUP(C661,КФСР!A159:B1671,2),IF(D661&gt;0,VLOOKUP(D661,Программа!A$1:B$5124,2),IF(F661&gt;0,VLOOKUP(F661,КВР!A$1:B$5001,2),IF(E661&gt;0,VLOOKUP(E661,Направление!A$1:B$4816,2))))))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61" s="767"/>
      <c r="C661" s="820"/>
      <c r="D661" s="767"/>
      <c r="E661" s="767">
        <v>71000</v>
      </c>
      <c r="F661" s="800"/>
      <c r="G661" s="812">
        <v>928333</v>
      </c>
      <c r="H661" s="812">
        <f>H662</f>
        <v>0</v>
      </c>
      <c r="I661" s="805">
        <f>I662</f>
        <v>928333</v>
      </c>
    </row>
    <row r="662" spans="1:9" ht="47.25" x14ac:dyDescent="0.25">
      <c r="A662" s="826" t="str">
        <f>IF(B662&gt;0,VLOOKUP(B662,КВСР!A160:B1325,2),IF(C662&gt;0,VLOOKUP(C662,КФСР!A160:B1672,2),IF(D662&gt;0,VLOOKUP(D662,Программа!A$1:B$5124,2),IF(F662&gt;0,VLOOKUP(F662,КВР!A$1:B$5001,2),IF(E662&gt;0,VLOOKUP(E662,Направление!A$1:B$4816,2))))))</f>
        <v>Предоставление субсидий бюджетным, автономным учреждениям и иным некоммерческим организациям</v>
      </c>
      <c r="B662" s="767"/>
      <c r="C662" s="820"/>
      <c r="D662" s="767"/>
      <c r="E662" s="767"/>
      <c r="F662" s="800">
        <v>600</v>
      </c>
      <c r="G662" s="812">
        <v>928333</v>
      </c>
      <c r="H662" s="812"/>
      <c r="I662" s="805">
        <f t="shared" si="140"/>
        <v>928333</v>
      </c>
    </row>
    <row r="663" spans="1:9" ht="110.25" x14ac:dyDescent="0.25">
      <c r="A663" s="826" t="str">
        <f>IF(B663&gt;0,VLOOKUP(B663,КВСР!A161:B1326,2),IF(C663&gt;0,VLOOKUP(C663,КФСР!A161:B1673,2),IF(D663&gt;0,VLOOKUP(D663,Программа!A$1:B$5124,2),IF(F663&gt;0,VLOOKUP(F663,КВР!A$1:B$5001,2),IF(E663&gt;0,VLOOKUP(E663,Направление!A$1:B$4816,2))))))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63" s="767"/>
      <c r="C663" s="820"/>
      <c r="D663" s="767"/>
      <c r="E663" s="767">
        <v>71060</v>
      </c>
      <c r="F663" s="800"/>
      <c r="G663" s="812">
        <v>5536142</v>
      </c>
      <c r="H663" s="812">
        <f>H664+H665</f>
        <v>0</v>
      </c>
      <c r="I663" s="805">
        <f>I664+I665</f>
        <v>5536142</v>
      </c>
    </row>
    <row r="664" spans="1:9" ht="31.5" x14ac:dyDescent="0.25">
      <c r="A664" s="826" t="str">
        <f>IF(B664&gt;0,VLOOKUP(B664,КВСР!A162:B1327,2),IF(C664&gt;0,VLOOKUP(C664,КФСР!A162:B1674,2),IF(D664&gt;0,VLOOKUP(D664,Программа!A$1:B$5124,2),IF(F664&gt;0,VLOOKUP(F664,КВР!A$1:B$5001,2),IF(E664&gt;0,VLOOKUP(E664,Направление!A$1:B$4816,2))))))</f>
        <v>Социальное обеспечение и иные выплаты населению</v>
      </c>
      <c r="B664" s="767"/>
      <c r="C664" s="820"/>
      <c r="D664" s="767"/>
      <c r="E664" s="767"/>
      <c r="F664" s="800">
        <v>300</v>
      </c>
      <c r="G664" s="812">
        <v>4139200</v>
      </c>
      <c r="H664" s="812"/>
      <c r="I664" s="805">
        <f t="shared" si="140"/>
        <v>4139200</v>
      </c>
    </row>
    <row r="665" spans="1:9" ht="47.25" x14ac:dyDescent="0.25">
      <c r="A665" s="826" t="str">
        <f>IF(B665&gt;0,VLOOKUP(B665,КВСР!A163:B1328,2),IF(C665&gt;0,VLOOKUP(C665,КФСР!A163:B1675,2),IF(D665&gt;0,VLOOKUP(D665,Программа!A$1:B$5124,2),IF(F665&gt;0,VLOOKUP(F665,КВР!A$1:B$5001,2),IF(E665&gt;0,VLOOKUP(E665,Направление!A$1:B$4816,2))))))</f>
        <v>Предоставление субсидий бюджетным, автономным учреждениям и иным некоммерческим организациям</v>
      </c>
      <c r="B665" s="767"/>
      <c r="C665" s="820"/>
      <c r="D665" s="767"/>
      <c r="E665" s="767"/>
      <c r="F665" s="800">
        <v>600</v>
      </c>
      <c r="G665" s="812">
        <v>1396942</v>
      </c>
      <c r="H665" s="812"/>
      <c r="I665" s="805">
        <f t="shared" si="140"/>
        <v>1396942</v>
      </c>
    </row>
    <row r="666" spans="1:9" ht="47.25" hidden="1" x14ac:dyDescent="0.25">
      <c r="A666" s="826" t="str">
        <f>IF(B666&gt;0,VLOOKUP(B666,КВСР!A164:B1329,2),IF(C666&gt;0,VLOOKUP(C666,КФСР!A164:B1676,2),IF(D666&gt;0,VLOOKUP(D666,Программа!A$1:B$5124,2),IF(F666&gt;0,VLOOKUP(F666,КВР!A$1:B$5001,2),IF(E666&gt;0,VLOOKUP(E666,Направление!A$1:B$4816,2))))))</f>
        <v>Расходы на частичную оплату стоимости путевки в организации отдыха детей и их оздоровления</v>
      </c>
      <c r="B666" s="767"/>
      <c r="C666" s="820"/>
      <c r="D666" s="767"/>
      <c r="E666" s="767">
        <v>75160</v>
      </c>
      <c r="F666" s="800"/>
      <c r="G666" s="812">
        <v>0</v>
      </c>
      <c r="H666" s="812">
        <f>H667</f>
        <v>0</v>
      </c>
      <c r="I666" s="805">
        <f>I667</f>
        <v>0</v>
      </c>
    </row>
    <row r="667" spans="1:9" ht="31.5" hidden="1" x14ac:dyDescent="0.25">
      <c r="A667" s="826" t="str">
        <f>IF(B667&gt;0,VLOOKUP(B667,КВСР!A165:B1330,2),IF(C667&gt;0,VLOOKUP(C667,КФСР!A165:B1677,2),IF(D667&gt;0,VLOOKUP(D667,Программа!A$1:B$5124,2),IF(F667&gt;0,VLOOKUP(F667,КВР!A$1:B$5001,2),IF(E667&gt;0,VLOOKUP(E667,Направление!A$1:B$4816,2))))))</f>
        <v>Социальное обеспечение и иные выплаты населению</v>
      </c>
      <c r="B667" s="767"/>
      <c r="C667" s="820"/>
      <c r="D667" s="767"/>
      <c r="E667" s="767"/>
      <c r="F667" s="800">
        <v>300</v>
      </c>
      <c r="G667" s="812">
        <v>0</v>
      </c>
      <c r="H667" s="812"/>
      <c r="I667" s="805">
        <f t="shared" si="140"/>
        <v>0</v>
      </c>
    </row>
    <row r="668" spans="1:9" hidden="1" x14ac:dyDescent="0.25">
      <c r="A668" s="826" t="str">
        <f>IF(B668&gt;0,VLOOKUP(B668,КВСР!A167:B1332,2),IF(C668&gt;0,VLOOKUP(C668,КФСР!A167:B1679,2),IF(D668&gt;0,VLOOKUP(D668,Программа!A$1:B$5124,2),IF(F668&gt;0,VLOOKUP(F668,КВР!A$1:B$5001,2),IF(E668&gt;0,VLOOKUP(E668,Направление!A$1:B$4816,2))))))</f>
        <v>Обеспечение компенсационных выплат</v>
      </c>
      <c r="B668" s="767"/>
      <c r="C668" s="820"/>
      <c r="D668" s="767" t="s">
        <v>1060</v>
      </c>
      <c r="E668" s="767"/>
      <c r="F668" s="800"/>
      <c r="G668" s="812">
        <v>0</v>
      </c>
      <c r="H668" s="812">
        <f>H669</f>
        <v>0</v>
      </c>
      <c r="I668" s="805">
        <f t="shared" si="140"/>
        <v>0</v>
      </c>
    </row>
    <row r="669" spans="1:9" ht="47.25" hidden="1" x14ac:dyDescent="0.25">
      <c r="A669" s="826" t="str">
        <f>IF(B669&gt;0,VLOOKUP(B669,КВСР!A164:B1329,2),IF(C669&gt;0,VLOOKUP(C669,КФСР!A164:B1676,2),IF(D669&gt;0,VLOOKUP(D669,Программа!A$1:B$5124,2),IF(F669&gt;0,VLOOKUP(F669,КВР!A$1:B$5001,2),IF(E669&gt;0,VLOOKUP(E669,Направление!A$1:B$4816,2))))))</f>
        <v>Компенсация части расходов на приобретение путевки в организации отдыха детей и их оздоровления</v>
      </c>
      <c r="B669" s="767"/>
      <c r="C669" s="820"/>
      <c r="D669" s="767"/>
      <c r="E669" s="767">
        <v>74390</v>
      </c>
      <c r="F669" s="800"/>
      <c r="G669" s="812">
        <v>0</v>
      </c>
      <c r="H669" s="812">
        <f>H670</f>
        <v>0</v>
      </c>
      <c r="I669" s="805">
        <f t="shared" si="140"/>
        <v>0</v>
      </c>
    </row>
    <row r="670" spans="1:9" ht="31.5" hidden="1" x14ac:dyDescent="0.25">
      <c r="A670" s="826" t="str">
        <f>IF(B670&gt;0,VLOOKUP(B670,КВСР!A165:B1330,2),IF(C670&gt;0,VLOOKUP(C670,КФСР!A165:B1677,2),IF(D670&gt;0,VLOOKUP(D670,Программа!A$1:B$5124,2),IF(F670&gt;0,VLOOKUP(F670,КВР!A$1:B$5001,2),IF(E670&gt;0,VLOOKUP(E670,Направление!A$1:B$4816,2))))))</f>
        <v>Социальное обеспечение и иные выплаты населению</v>
      </c>
      <c r="B670" s="767"/>
      <c r="C670" s="820"/>
      <c r="D670" s="767"/>
      <c r="E670" s="767"/>
      <c r="F670" s="800">
        <v>300</v>
      </c>
      <c r="G670" s="812">
        <v>0</v>
      </c>
      <c r="H670" s="812"/>
      <c r="I670" s="805">
        <f t="shared" si="140"/>
        <v>0</v>
      </c>
    </row>
    <row r="671" spans="1:9" x14ac:dyDescent="0.25">
      <c r="A671" s="826" t="str">
        <f>IF(B671&gt;0,VLOOKUP(B671,КВСР!A160:B1325,2),IF(C671&gt;0,VLOOKUP(C671,КФСР!A160:B1672,2),IF(D671&gt;0,VLOOKUP(D671,Программа!A$1:B$5124,2),IF(F671&gt;0,VLOOKUP(F671,КВР!A$1:B$5001,2),IF(E671&gt;0,VLOOKUP(E671,Направление!A$1:B$4816,2))))))</f>
        <v>Другие вопросы в области образования</v>
      </c>
      <c r="B671" s="767"/>
      <c r="C671" s="827">
        <v>709</v>
      </c>
      <c r="D671" s="767"/>
      <c r="E671" s="767"/>
      <c r="F671" s="800"/>
      <c r="G671" s="812">
        <v>47480369</v>
      </c>
      <c r="H671" s="812">
        <f>H672+H685+H751+H755+H746+H738</f>
        <v>1964837.01</v>
      </c>
      <c r="I671" s="805">
        <f t="shared" ref="I671" si="151">I672+I685+I751+I755+I746+I738</f>
        <v>49445206.010000005</v>
      </c>
    </row>
    <row r="672" spans="1:9" ht="63" hidden="1" x14ac:dyDescent="0.25">
      <c r="A672" s="826" t="str">
        <f>IF(B672&gt;0,VLOOKUP(B672,КВСР!A161:B1326,2),IF(C672&gt;0,VLOOKUP(C672,КФСР!A161:B1673,2),IF(D672&gt;0,VLOOKUP(D672,Программа!A$1:B$5124,2),IF(F672&gt;0,VLOOKUP(F672,КВР!A$1:B$5001,2),IF(E672&gt;0,VLOOKUP(E672,Направление!A$1:B$4816,2))))))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72" s="767"/>
      <c r="C672" s="820"/>
      <c r="D672" s="767" t="s">
        <v>396</v>
      </c>
      <c r="E672" s="767"/>
      <c r="F672" s="800"/>
      <c r="G672" s="812">
        <v>0</v>
      </c>
      <c r="H672" s="812">
        <f>H673+H679</f>
        <v>0</v>
      </c>
      <c r="I672" s="805">
        <f t="shared" si="140"/>
        <v>0</v>
      </c>
    </row>
    <row r="673" spans="1:9" ht="94.5" hidden="1" x14ac:dyDescent="0.25">
      <c r="A673" s="826" t="str">
        <f>IF(B673&gt;0,VLOOKUP(B673,КВСР!A162:B1327,2),IF(C673&gt;0,VLOOKUP(C673,КФСР!A162:B1674,2),IF(D673&gt;0,VLOOKUP(D673,Программа!A$1:B$5124,2),IF(F673&gt;0,VLOOKUP(F673,КВР!A$1:B$5001,2),IF(E673&gt;0,VLOOKUP(E673,Направление!A$1:B$4816,2))))))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73" s="767"/>
      <c r="C673" s="820"/>
      <c r="D673" s="767" t="s">
        <v>398</v>
      </c>
      <c r="E673" s="767"/>
      <c r="F673" s="800"/>
      <c r="G673" s="812">
        <v>0</v>
      </c>
      <c r="H673" s="812">
        <f t="shared" ref="H673:H675" si="152">H674</f>
        <v>0</v>
      </c>
      <c r="I673" s="805">
        <f t="shared" si="140"/>
        <v>0</v>
      </c>
    </row>
    <row r="674" spans="1:9" ht="78.75" hidden="1" x14ac:dyDescent="0.25">
      <c r="A674" s="826" t="str">
        <f>IF(B674&gt;0,VLOOKUP(B674,КВСР!A163:B1328,2),IF(C674&gt;0,VLOOKUP(C674,КФСР!A163:B1675,2),IF(D674&gt;0,VLOOKUP(D674,Программа!A$1:B$5124,2),IF(F674&gt;0,VLOOKUP(F674,КВР!A$1:B$5001,2),IF(E674&gt;0,VLOOKUP(E674,Направление!A$1:B$4816,2))))))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74" s="767"/>
      <c r="C674" s="820"/>
      <c r="D674" s="767" t="s">
        <v>400</v>
      </c>
      <c r="E674" s="767"/>
      <c r="F674" s="800"/>
      <c r="G674" s="812">
        <v>0</v>
      </c>
      <c r="H674" s="812">
        <f t="shared" ref="H674:I674" si="153">H675+H677</f>
        <v>0</v>
      </c>
      <c r="I674" s="805">
        <f t="shared" si="153"/>
        <v>0</v>
      </c>
    </row>
    <row r="675" spans="1:9" ht="31.5" hidden="1" x14ac:dyDescent="0.25">
      <c r="A675" s="826" t="str">
        <f>IF(B675&gt;0,VLOOKUP(B675,КВСР!A164:B1329,2),IF(C675&gt;0,VLOOKUP(C675,КФСР!A164:B1676,2),IF(D675&gt;0,VLOOKUP(D675,Программа!A$1:B$5124,2),IF(F675&gt;0,VLOOKUP(F675,КВР!A$1:B$5001,2),IF(E675&gt;0,VLOOKUP(E675,Направление!A$1:B$4816,2))))))</f>
        <v>Мероприятия по патриотическому воспитанию граждан</v>
      </c>
      <c r="B675" s="767"/>
      <c r="C675" s="820"/>
      <c r="D675" s="767"/>
      <c r="E675" s="767">
        <v>14880</v>
      </c>
      <c r="F675" s="800"/>
      <c r="G675" s="812">
        <v>0</v>
      </c>
      <c r="H675" s="812">
        <f t="shared" si="152"/>
        <v>0</v>
      </c>
      <c r="I675" s="805">
        <f t="shared" si="140"/>
        <v>0</v>
      </c>
    </row>
    <row r="676" spans="1:9" ht="47.25" hidden="1" x14ac:dyDescent="0.25">
      <c r="A676" s="826" t="str">
        <f>IF(B676&gt;0,VLOOKUP(B676,КВСР!A165:B1330,2),IF(C676&gt;0,VLOOKUP(C676,КФСР!A165:B1677,2),IF(D676&gt;0,VLOOKUP(D676,Программа!A$1:B$5124,2),IF(F676&gt;0,VLOOKUP(F676,КВР!A$1:B$5001,2),IF(E676&gt;0,VLOOKUP(E676,Направление!A$1:B$4816,2))))))</f>
        <v>Предоставление субсидий бюджетным, автономным учреждениям и иным некоммерческим организациям</v>
      </c>
      <c r="B676" s="767"/>
      <c r="C676" s="820"/>
      <c r="D676" s="767"/>
      <c r="E676" s="767"/>
      <c r="F676" s="800">
        <v>600</v>
      </c>
      <c r="G676" s="812">
        <v>0</v>
      </c>
      <c r="H676" s="812"/>
      <c r="I676" s="805">
        <f t="shared" si="140"/>
        <v>0</v>
      </c>
    </row>
    <row r="677" spans="1:9" ht="31.5" hidden="1" x14ac:dyDescent="0.25">
      <c r="A677" s="826" t="str">
        <f>IF(B677&gt;0,VLOOKUP(B677,КВСР!A166:B1331,2),IF(C677&gt;0,VLOOKUP(C677,КФСР!A166:B1678,2),IF(D677&gt;0,VLOOKUP(D677,Программа!A$1:B$5124,2),IF(F677&gt;0,VLOOKUP(F677,КВР!A$1:B$5001,2),IF(E677&gt;0,VLOOKUP(E677,Направление!A$1:B$4816,2))))))</f>
        <v>Мероприятия по патриотическому воспитанию граждан</v>
      </c>
      <c r="B677" s="767"/>
      <c r="C677" s="820"/>
      <c r="D677" s="767"/>
      <c r="E677" s="767">
        <v>74880</v>
      </c>
      <c r="F677" s="800"/>
      <c r="G677" s="812">
        <v>0</v>
      </c>
      <c r="H677" s="812">
        <f t="shared" ref="H677:I677" si="154">H678</f>
        <v>0</v>
      </c>
      <c r="I677" s="805">
        <f t="shared" si="154"/>
        <v>0</v>
      </c>
    </row>
    <row r="678" spans="1:9" ht="47.25" hidden="1" x14ac:dyDescent="0.25">
      <c r="A678" s="826" t="str">
        <f>IF(B678&gt;0,VLOOKUP(B678,КВСР!A167:B1332,2),IF(C678&gt;0,VLOOKUP(C678,КФСР!A167:B1679,2),IF(D678&gt;0,VLOOKUP(D678,Программа!A$1:B$5124,2),IF(F678&gt;0,VLOOKUP(F678,КВР!A$1:B$5001,2),IF(E678&gt;0,VLOOKUP(E678,Направление!A$1:B$4816,2))))))</f>
        <v>Предоставление субсидий бюджетным, автономным учреждениям и иным некоммерческим организациям</v>
      </c>
      <c r="B678" s="767"/>
      <c r="C678" s="820"/>
      <c r="D678" s="767"/>
      <c r="E678" s="767"/>
      <c r="F678" s="800">
        <v>600</v>
      </c>
      <c r="G678" s="812">
        <v>0</v>
      </c>
      <c r="H678" s="812"/>
      <c r="I678" s="805">
        <f>G678+H678</f>
        <v>0</v>
      </c>
    </row>
    <row r="679" spans="1:9" ht="63" hidden="1" x14ac:dyDescent="0.25">
      <c r="A679" s="826" t="str">
        <f>IF(B679&gt;0,VLOOKUP(B679,КВСР!A166:B1331,2),IF(C679&gt;0,VLOOKUP(C679,КФСР!A166:B1678,2),IF(D679&gt;0,VLOOKUP(D679,Программа!A$1:B$5124,2),IF(F679&gt;0,VLOOKUP(F679,КВР!A$1:B$5001,2),IF(E679&gt;0,VLOOKUP(E679,Направление!A$1:B$4816,2))))))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9" s="767"/>
      <c r="C679" s="820"/>
      <c r="D679" s="767" t="s">
        <v>403</v>
      </c>
      <c r="E679" s="767"/>
      <c r="F679" s="800"/>
      <c r="G679" s="812">
        <v>0</v>
      </c>
      <c r="H679" s="812">
        <f>H680</f>
        <v>0</v>
      </c>
      <c r="I679" s="805">
        <f t="shared" si="140"/>
        <v>0</v>
      </c>
    </row>
    <row r="680" spans="1:9" ht="47.25" hidden="1" x14ac:dyDescent="0.25">
      <c r="A680" s="826" t="str">
        <f>IF(B680&gt;0,VLOOKUP(B680,КВСР!A167:B1332,2),IF(C680&gt;0,VLOOKUP(C680,КФСР!A167:B1679,2),IF(D680&gt;0,VLOOKUP(D680,Программа!A$1:B$5124,2),IF(F680&gt;0,VLOOKUP(F680,КВР!A$1:B$5001,2),IF(E680&gt;0,VLOOKUP(E680,Направление!A$1:B$4816,2))))))</f>
        <v>Развитие системы профилактики немедицинского потребления наркотиков</v>
      </c>
      <c r="B680" s="767"/>
      <c r="C680" s="820"/>
      <c r="D680" s="767" t="s">
        <v>405</v>
      </c>
      <c r="E680" s="767"/>
      <c r="F680" s="800"/>
      <c r="G680" s="812">
        <v>0</v>
      </c>
      <c r="H680" s="812">
        <f>H681+H683</f>
        <v>0</v>
      </c>
      <c r="I680" s="805">
        <f t="shared" si="140"/>
        <v>0</v>
      </c>
    </row>
    <row r="681" spans="1:9" ht="63" hidden="1" x14ac:dyDescent="0.25">
      <c r="A681" s="826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81" s="767"/>
      <c r="C681" s="820"/>
      <c r="D681" s="767"/>
      <c r="E681" s="767" t="s">
        <v>407</v>
      </c>
      <c r="F681" s="800"/>
      <c r="G681" s="812">
        <v>0</v>
      </c>
      <c r="H681" s="812">
        <f>H682</f>
        <v>0</v>
      </c>
      <c r="I681" s="805">
        <f t="shared" si="140"/>
        <v>0</v>
      </c>
    </row>
    <row r="682" spans="1:9" ht="47.25" hidden="1" x14ac:dyDescent="0.25">
      <c r="A682" s="826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IF(B682&gt;0,VLOOKUP(B682,КВСР!A169:B1334,2),IF(C682&gt;0,VLOOKUP(C682,КФСР!A169:B1681,2),IF(D682&gt;0,VLOOKUP(D682,Программа!A$1:B$5124,2),IF(F682&gt;0,VLOOKUP(F682,КВР!A$1:B$5001,2),IF(E682&gt;0,VLOOKUP(E682,Направление!A$1:B$4816,2))))))</f>
        <v>Предоставление субсидий бюджетным, автономным учреждениям и иным некоммерческим организациям</v>
      </c>
      <c r="B682" s="767"/>
      <c r="C682" s="820"/>
      <c r="D682" s="767"/>
      <c r="E682" s="767"/>
      <c r="F682" s="800">
        <v>600</v>
      </c>
      <c r="G682" s="812">
        <v>0</v>
      </c>
      <c r="H682" s="812"/>
      <c r="I682" s="805">
        <f t="shared" si="140"/>
        <v>0</v>
      </c>
    </row>
    <row r="683" spans="1:9" ht="78.75" hidden="1" x14ac:dyDescent="0.25">
      <c r="A683" s="826" t="str">
        <f>IF(B683&gt;0,VLOOKUP(B683,КВСР!A170:B1335,2),IF(C683&gt;0,VLOOKUP(C683,КФСР!A170:B1682,2),IF(D683&gt;0,VLOOKUP(D683,Программа!A$1:B$5124,2),IF(F683&gt;0,VLOOKUP(F683,КВР!A$1:B$5001,2),IF(E683&gt;0,VLOOKUP(E683,Направление!A$1:B$4816,2))))))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83" s="767"/>
      <c r="C683" s="820"/>
      <c r="D683" s="767"/>
      <c r="E683" s="767">
        <v>71430</v>
      </c>
      <c r="F683" s="800"/>
      <c r="G683" s="812">
        <v>0</v>
      </c>
      <c r="H683" s="812">
        <f>H684</f>
        <v>0</v>
      </c>
      <c r="I683" s="805">
        <f t="shared" si="140"/>
        <v>0</v>
      </c>
    </row>
    <row r="684" spans="1:9" ht="47.25" hidden="1" x14ac:dyDescent="0.25">
      <c r="A684" s="826" t="str">
        <f>IF(B684&gt;0,VLOOKUP(B684,КВСР!A171:B1336,2),IF(C684&gt;0,VLOOKUP(C684,КФСР!A171:B1683,2),IF(D684&gt;0,VLOOKUP(D684,Программа!A$1:B$5124,2),IF(F684&gt;0,VLOOKUP(F684,КВР!A$1:B$5001,2),IF(E684&gt;0,VLOOKUP(E684,Направление!A$1:B$4816,2))))))</f>
        <v>Предоставление субсидий бюджетным, автономным учреждениям и иным некоммерческим организациям</v>
      </c>
      <c r="B684" s="767"/>
      <c r="C684" s="820"/>
      <c r="D684" s="767"/>
      <c r="E684" s="767"/>
      <c r="F684" s="800">
        <v>600</v>
      </c>
      <c r="G684" s="812">
        <v>0</v>
      </c>
      <c r="H684" s="812"/>
      <c r="I684" s="805">
        <f t="shared" si="140"/>
        <v>0</v>
      </c>
    </row>
    <row r="685" spans="1:9" ht="63" x14ac:dyDescent="0.25">
      <c r="A685" s="826" t="str">
        <f>IF(B685&gt;0,VLOOKUP(B685,КВСР!A166:B1331,2),IF(C685&gt;0,VLOOKUP(C685,КФСР!A166:B1678,2),IF(D685&gt;0,VLOOKUP(D685,Программа!A$1:B$5124,2),IF(F685&gt;0,VLOOKUP(F685,КВР!A$1:B$5001,2),IF(E685&gt;0,VLOOKUP(E685,Направление!A$1:B$4816,2))))))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85" s="767"/>
      <c r="C685" s="820"/>
      <c r="D685" s="767" t="s">
        <v>367</v>
      </c>
      <c r="E685" s="767"/>
      <c r="F685" s="800"/>
      <c r="G685" s="812">
        <v>45916609</v>
      </c>
      <c r="H685" s="812">
        <f t="shared" ref="H685" si="155">H686+H734</f>
        <v>1740893.01</v>
      </c>
      <c r="I685" s="805">
        <f t="shared" ref="I685" si="156">I686+I734</f>
        <v>47657502.010000005</v>
      </c>
    </row>
    <row r="686" spans="1:9" ht="63" x14ac:dyDescent="0.25">
      <c r="A686" s="826" t="str">
        <f>IF(B686&gt;0,VLOOKUP(B686,КВСР!A167:B1332,2),IF(C686&gt;0,VLOOKUP(C686,КФСР!A167:B1679,2),IF(D686&gt;0,VLOOKUP(D686,Программа!A$1:B$5124,2),IF(F686&gt;0,VLOOKUP(F686,КВР!A$1:B$5001,2),IF(E686&gt;0,VLOOKUP(E686,Направление!A$1:B$4816,2))))))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86" s="767"/>
      <c r="C686" s="820"/>
      <c r="D686" s="767" t="s">
        <v>369</v>
      </c>
      <c r="E686" s="767"/>
      <c r="F686" s="800"/>
      <c r="G686" s="812">
        <v>45911609</v>
      </c>
      <c r="H686" s="812">
        <f t="shared" ref="H686" si="157">H693+H698+H715+H687+H710</f>
        <v>1740893.01</v>
      </c>
      <c r="I686" s="805">
        <f t="shared" ref="I686" si="158">I693+I698+I715+I687+I710</f>
        <v>47652502.010000005</v>
      </c>
    </row>
    <row r="687" spans="1:9" ht="47.25" x14ac:dyDescent="0.25">
      <c r="A687" s="826" t="str">
        <f>IF(B687&gt;0,VLOOKUP(B687,КВСР!A168:B1333,2),IF(C687&gt;0,VLOOKUP(C687,КФСР!A168:B1680,2),IF(D687&gt;0,VLOOKUP(D687,Программа!A$1:B$5124,2),IF(F687&gt;0,VLOOKUP(F687,КВР!A$1:B$5001,2),IF(E687&gt;0,VLOOKUP(E687,Направление!A$1:B$4816,2))))))</f>
        <v>Обеспечение качества и доступности образовательных услуг в сфере дополнительного образования</v>
      </c>
      <c r="B687" s="767"/>
      <c r="C687" s="820"/>
      <c r="D687" s="767" t="s">
        <v>431</v>
      </c>
      <c r="E687" s="767"/>
      <c r="F687" s="800"/>
      <c r="G687" s="812">
        <v>139000</v>
      </c>
      <c r="H687" s="812">
        <f>H689+H690+H691+H692</f>
        <v>-10607</v>
      </c>
      <c r="I687" s="805">
        <f>I689+I690+I691+I692</f>
        <v>128393</v>
      </c>
    </row>
    <row r="688" spans="1:9" x14ac:dyDescent="0.25">
      <c r="A688" s="826" t="str">
        <f>IF(B688&gt;0,VLOOKUP(B688,КВСР!A169:B1334,2),IF(C688&gt;0,VLOOKUP(C688,КФСР!A169:B1681,2),IF(D688&gt;0,VLOOKUP(D688,Программа!A$1:B$5124,2),IF(F688&gt;0,VLOOKUP(F688,КВР!A$1:B$5001,2),IF(E688&gt;0,VLOOKUP(E688,Направление!A$1:B$4816,2))))))</f>
        <v>Мероприятия в сфере образования</v>
      </c>
      <c r="B688" s="767"/>
      <c r="C688" s="820"/>
      <c r="D688" s="767"/>
      <c r="E688" s="767">
        <v>13320</v>
      </c>
      <c r="F688" s="800"/>
      <c r="G688" s="812">
        <v>139000</v>
      </c>
      <c r="H688" s="812">
        <f>H689+H690+H691+H692</f>
        <v>-10607</v>
      </c>
      <c r="I688" s="805">
        <f>I689+I690+I691+I692</f>
        <v>128393</v>
      </c>
    </row>
    <row r="689" spans="1:9" ht="110.25" hidden="1" x14ac:dyDescent="0.25">
      <c r="A689" s="826" t="str">
        <f>IF(B689&gt;0,VLOOKUP(B689,КВСР!A169:B1334,2),IF(C689&gt;0,VLOOKUP(C689,КФСР!A169:B1681,2),IF(D689&gt;0,VLOOKUP(D689,Программа!A$1:B$5124,2),IF(F689&gt;0,VLOOKUP(F689,КВР!A$1:B$5001,2),IF(E689&gt;0,VLOOKUP(E689,Направление!A$1:B$4816,2))))))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9" s="767"/>
      <c r="C689" s="820"/>
      <c r="D689" s="767"/>
      <c r="E689" s="767"/>
      <c r="F689" s="800">
        <v>100</v>
      </c>
      <c r="G689" s="812">
        <v>0</v>
      </c>
      <c r="H689" s="812"/>
      <c r="I689" s="805">
        <f t="shared" si="140"/>
        <v>0</v>
      </c>
    </row>
    <row r="690" spans="1:9" ht="63" x14ac:dyDescent="0.25">
      <c r="A690" s="826" t="str">
        <f>IF(B690&gt;0,VLOOKUP(B690,КВСР!A170:B1335,2),IF(C690&gt;0,VLOOKUP(C690,КФСР!A170:B1682,2),IF(D690&gt;0,VLOOKUP(D690,Программа!A$1:B$5124,2),IF(F690&gt;0,VLOOKUP(F690,КВР!A$1:B$5001,2),IF(E690&gt;0,VLOOKUP(E690,Направление!A$1:B$4816,2))))))</f>
        <v xml:space="preserve">Закупка товаров, работ и услуг для обеспечения государственных (муниципальных) нужд
</v>
      </c>
      <c r="B690" s="767"/>
      <c r="C690" s="820"/>
      <c r="D690" s="767"/>
      <c r="E690" s="767"/>
      <c r="F690" s="800">
        <v>200</v>
      </c>
      <c r="G690" s="812">
        <v>139000</v>
      </c>
      <c r="H690" s="812">
        <v>-10607</v>
      </c>
      <c r="I690" s="805">
        <f t="shared" si="140"/>
        <v>128393</v>
      </c>
    </row>
    <row r="691" spans="1:9" ht="47.25" hidden="1" x14ac:dyDescent="0.25">
      <c r="A691" s="826" t="str">
        <f>IF(B691&gt;0,VLOOKUP(B691,КВСР!A171:B1336,2),IF(C691&gt;0,VLOOKUP(C691,КФСР!A171:B1683,2),IF(D691&gt;0,VLOOKUP(D691,Программа!A$1:B$5124,2),IF(F691&gt;0,VLOOKUP(F691,КВР!A$1:B$5001,2),IF(E691&gt;0,VLOOKUP(E691,Направление!A$1:B$4816,2))))))</f>
        <v>Предоставление субсидий бюджетным, автономным учреждениям и иным некоммерческим организациям</v>
      </c>
      <c r="B691" s="767"/>
      <c r="C691" s="820"/>
      <c r="D691" s="767"/>
      <c r="E691" s="767"/>
      <c r="F691" s="800">
        <v>600</v>
      </c>
      <c r="G691" s="812">
        <v>0</v>
      </c>
      <c r="H691" s="812"/>
      <c r="I691" s="805">
        <f t="shared" si="140"/>
        <v>0</v>
      </c>
    </row>
    <row r="692" spans="1:9" hidden="1" x14ac:dyDescent="0.25">
      <c r="A692" s="826" t="str">
        <f>IF(B692&gt;0,VLOOKUP(B692,КВСР!A172:B1337,2),IF(C692&gt;0,VLOOKUP(C692,КФСР!A172:B1684,2),IF(D692&gt;0,VLOOKUP(D692,Программа!A$1:B$5124,2),IF(F692&gt;0,VLOOKUP(F692,КВР!A$1:B$5001,2),IF(E692&gt;0,VLOOKUP(E692,Направление!A$1:B$4816,2))))))</f>
        <v>Иные бюджетные ассигнования</v>
      </c>
      <c r="B692" s="767"/>
      <c r="C692" s="820"/>
      <c r="D692" s="767"/>
      <c r="E692" s="767"/>
      <c r="F692" s="800">
        <v>800</v>
      </c>
      <c r="G692" s="812">
        <v>0</v>
      </c>
      <c r="H692" s="812"/>
      <c r="I692" s="805">
        <f t="shared" si="140"/>
        <v>0</v>
      </c>
    </row>
    <row r="693" spans="1:9" ht="31.5" x14ac:dyDescent="0.25">
      <c r="A693" s="826" t="str">
        <f>IF(B693&gt;0,VLOOKUP(B693,КВСР!A168:B1333,2),IF(C693&gt;0,VLOOKUP(C693,КФСР!A168:B1680,2),IF(D693&gt;0,VLOOKUP(D693,Программа!A$1:B$5124,2),IF(F693&gt;0,VLOOKUP(F693,КВР!A$1:B$5001,2),IF(E693&gt;0,VLOOKUP(E693,Направление!A$1:B$4816,2))))))</f>
        <v>Повышение мотивации участников образовательного процесса</v>
      </c>
      <c r="B693" s="767"/>
      <c r="C693" s="820"/>
      <c r="D693" s="767" t="s">
        <v>411</v>
      </c>
      <c r="E693" s="767"/>
      <c r="F693" s="800"/>
      <c r="G693" s="812">
        <v>363000</v>
      </c>
      <c r="H693" s="812">
        <f>H694+H696</f>
        <v>0</v>
      </c>
      <c r="I693" s="805">
        <f>I694+I696</f>
        <v>363000</v>
      </c>
    </row>
    <row r="694" spans="1:9" ht="31.5" x14ac:dyDescent="0.25">
      <c r="A694" s="826" t="str">
        <f>IF(B694&gt;0,VLOOKUP(B694,КВСР!A169:B1334,2),IF(C694&gt;0,VLOOKUP(C694,КФСР!A169:B1681,2),IF(D694&gt;0,VLOOKUP(D694,Программа!A$1:B$5124,2),IF(F694&gt;0,VLOOKUP(F694,КВР!A$1:B$5001,2),IF(E694&gt;0,VLOOKUP(E694,Направление!A$1:B$4816,2))))))</f>
        <v xml:space="preserve">Выплата ежемесячных разовых стипендий главы </v>
      </c>
      <c r="B694" s="767"/>
      <c r="C694" s="820"/>
      <c r="D694" s="767"/>
      <c r="E694" s="767">
        <v>12700</v>
      </c>
      <c r="F694" s="800"/>
      <c r="G694" s="812">
        <v>238000</v>
      </c>
      <c r="H694" s="812">
        <f>H695</f>
        <v>0</v>
      </c>
      <c r="I694" s="805">
        <f>I695</f>
        <v>238000</v>
      </c>
    </row>
    <row r="695" spans="1:9" ht="31.5" x14ac:dyDescent="0.25">
      <c r="A695" s="826" t="str">
        <f>IF(B695&gt;0,VLOOKUP(B695,КВСР!A170:B1335,2),IF(C695&gt;0,VLOOKUP(C695,КФСР!A170:B1682,2),IF(D695&gt;0,VLOOKUP(D695,Программа!A$1:B$5124,2),IF(F695&gt;0,VLOOKUP(F695,КВР!A$1:B$5001,2),IF(E695&gt;0,VLOOKUP(E695,Направление!A$1:B$4816,2))))))</f>
        <v>Социальное обеспечение и иные выплаты населению</v>
      </c>
      <c r="B695" s="767"/>
      <c r="C695" s="820"/>
      <c r="D695" s="767"/>
      <c r="E695" s="767"/>
      <c r="F695" s="800">
        <v>300</v>
      </c>
      <c r="G695" s="812">
        <v>238000</v>
      </c>
      <c r="H695" s="812"/>
      <c r="I695" s="805">
        <f t="shared" si="140"/>
        <v>238000</v>
      </c>
    </row>
    <row r="696" spans="1:9" ht="63" x14ac:dyDescent="0.25">
      <c r="A696" s="826" t="str">
        <f>IF(B696&gt;0,VLOOKUP(B696,КВСР!A171:B1336,2),IF(C696&gt;0,VLOOKUP(C696,КФСР!A171:B1683,2),IF(D696&gt;0,VLOOKUP(D696,Программа!A$1:B$5124,2),IF(F696&gt;0,VLOOKUP(F696,КВР!A$1:B$5001,2),IF(E696&gt;0,VLOOKUP(E696,Направление!A$1:B$4816,2))))))</f>
        <v>Денежное поощрение лучших руководящих и педагогических работников за заслуги в сфере образования</v>
      </c>
      <c r="B696" s="767"/>
      <c r="C696" s="820"/>
      <c r="D696" s="767"/>
      <c r="E696" s="767">
        <v>12710</v>
      </c>
      <c r="F696" s="800"/>
      <c r="G696" s="812">
        <v>125000</v>
      </c>
      <c r="H696" s="812">
        <f>H697</f>
        <v>0</v>
      </c>
      <c r="I696" s="805">
        <f>I697</f>
        <v>125000</v>
      </c>
    </row>
    <row r="697" spans="1:9" ht="31.5" x14ac:dyDescent="0.25">
      <c r="A697" s="826" t="str">
        <f>IF(B697&gt;0,VLOOKUP(B697,КВСР!A172:B1337,2),IF(C697&gt;0,VLOOKUP(C697,КФСР!A172:B1684,2),IF(D697&gt;0,VLOOKUP(D697,Программа!A$1:B$5124,2),IF(F697&gt;0,VLOOKUP(F697,КВР!A$1:B$5001,2),IF(E697&gt;0,VLOOKUP(E697,Направление!A$1:B$4816,2))))))</f>
        <v>Социальное обеспечение и иные выплаты населению</v>
      </c>
      <c r="B697" s="767"/>
      <c r="C697" s="820"/>
      <c r="D697" s="767"/>
      <c r="E697" s="767"/>
      <c r="F697" s="800">
        <v>300</v>
      </c>
      <c r="G697" s="812">
        <v>125000</v>
      </c>
      <c r="H697" s="812"/>
      <c r="I697" s="805">
        <f t="shared" si="140"/>
        <v>125000</v>
      </c>
    </row>
    <row r="698" spans="1:9" ht="78.75" x14ac:dyDescent="0.25">
      <c r="A698" s="826" t="str">
        <f>IF(B698&gt;0,VLOOKUP(B698,КВСР!A173:B1338,2),IF(C698&gt;0,VLOOKUP(C698,КФСР!A173:B1685,2),IF(D698&gt;0,VLOOKUP(D698,Программа!A$1:B$5124,2),IF(F698&gt;0,VLOOKUP(F698,КВР!A$1:B$5001,2),IF(E698&gt;0,VLOOKUP(E698,Направление!A$1:B$4816,2))))))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98" s="767"/>
      <c r="C698" s="820"/>
      <c r="D698" s="767" t="s">
        <v>388</v>
      </c>
      <c r="E698" s="767"/>
      <c r="F698" s="800"/>
      <c r="G698" s="812">
        <v>11812069</v>
      </c>
      <c r="H698" s="812">
        <f>H699+H702+H708+H704+H706</f>
        <v>-5950.01</v>
      </c>
      <c r="I698" s="805">
        <f>I699+I702+I708+I704+I706</f>
        <v>11806118.99</v>
      </c>
    </row>
    <row r="699" spans="1:9" ht="31.5" x14ac:dyDescent="0.25">
      <c r="A699" s="826" t="str">
        <f>IF(B699&gt;0,VLOOKUP(B699,КВСР!A174:B1339,2),IF(C699&gt;0,VLOOKUP(C699,КФСР!A174:B1686,2),IF(D699&gt;0,VLOOKUP(D699,Программа!A$1:B$5124,2),IF(F699&gt;0,VLOOKUP(F699,КВР!A$1:B$5001,2),IF(E699&gt;0,VLOOKUP(E699,Направление!A$1:B$4816,2))))))</f>
        <v>Обеспечение деятельности прочих учреждений в сфере образования</v>
      </c>
      <c r="B699" s="767"/>
      <c r="C699" s="820"/>
      <c r="D699" s="767"/>
      <c r="E699" s="767">
        <v>13310</v>
      </c>
      <c r="F699" s="800"/>
      <c r="G699" s="812">
        <v>10907939</v>
      </c>
      <c r="H699" s="812">
        <f>H700+H701</f>
        <v>0</v>
      </c>
      <c r="I699" s="805">
        <f>I700+I701</f>
        <v>10907939</v>
      </c>
    </row>
    <row r="700" spans="1:9" ht="63" hidden="1" x14ac:dyDescent="0.25">
      <c r="A700" s="826" t="str">
        <f>IF(B700&gt;0,VLOOKUP(B700,КВСР!A175:B1340,2),IF(C700&gt;0,VLOOKUP(C700,КФСР!A175:B1687,2),IF(D700&gt;0,VLOOKUP(D700,Программа!A$1:B$5124,2),IF(F700&gt;0,VLOOKUP(F700,КВР!A$1:B$5001,2),IF(E700&gt;0,VLOOKUP(E700,Направление!A$1:B$4816,2))))))</f>
        <v xml:space="preserve">Закупка товаров, работ и услуг для обеспечения государственных (муниципальных) нужд
</v>
      </c>
      <c r="B700" s="767"/>
      <c r="C700" s="820"/>
      <c r="D700" s="767"/>
      <c r="E700" s="767"/>
      <c r="F700" s="800">
        <v>200</v>
      </c>
      <c r="G700" s="812">
        <v>0</v>
      </c>
      <c r="H700" s="812"/>
      <c r="I700" s="805">
        <f t="shared" si="140"/>
        <v>0</v>
      </c>
    </row>
    <row r="701" spans="1:9" ht="47.25" x14ac:dyDescent="0.25">
      <c r="A701" s="826" t="str">
        <f>IF(B701&gt;0,VLOOKUP(B701,КВСР!A176:B1341,2),IF(C701&gt;0,VLOOKUP(C701,КФСР!A176:B1688,2),IF(D701&gt;0,VLOOKUP(D701,Программа!A$1:B$5124,2),IF(F701&gt;0,VLOOKUP(F701,КВР!A$1:B$5001,2),IF(E701&gt;0,VLOOKUP(E701,Направление!A$1:B$4816,2))))))</f>
        <v>Предоставление субсидий бюджетным, автономным учреждениям и иным некоммерческим организациям</v>
      </c>
      <c r="B701" s="767"/>
      <c r="C701" s="820"/>
      <c r="D701" s="767"/>
      <c r="E701" s="767"/>
      <c r="F701" s="800">
        <v>600</v>
      </c>
      <c r="G701" s="812">
        <v>10907939</v>
      </c>
      <c r="H701" s="812"/>
      <c r="I701" s="805">
        <f t="shared" si="140"/>
        <v>10907939</v>
      </c>
    </row>
    <row r="702" spans="1:9" ht="47.25" x14ac:dyDescent="0.25">
      <c r="A702" s="826" t="str">
        <f>IF(B702&gt;0,VLOOKUP(B702,КВСР!A177:B1342,2),IF(C702&gt;0,VLOOKUP(C702,КФСР!A177:B1689,2),IF(D702&gt;0,VLOOKUP(D702,Программа!A$1:B$5124,2),IF(F702&gt;0,VLOOKUP(F702,КВР!A$1:B$5001,2),IF(E702&gt;0,VLOOKUP(E702,Направление!A$1:B$4816,2))))))</f>
        <v>Расходы на реализацию мероприятий инициативного бюджетирования на территории Ярославской области</v>
      </c>
      <c r="B702" s="767"/>
      <c r="C702" s="820"/>
      <c r="D702" s="767"/>
      <c r="E702" s="767">
        <v>15350</v>
      </c>
      <c r="F702" s="800"/>
      <c r="G702" s="812">
        <v>47758</v>
      </c>
      <c r="H702" s="812">
        <f t="shared" ref="H702:I702" si="159">H703</f>
        <v>-5950.01</v>
      </c>
      <c r="I702" s="805">
        <f t="shared" si="159"/>
        <v>41807.99</v>
      </c>
    </row>
    <row r="703" spans="1:9" ht="47.25" x14ac:dyDescent="0.25">
      <c r="A703" s="826" t="str">
        <f>IF(B703&gt;0,VLOOKUP(B703,КВСР!A178:B1343,2),IF(C703&gt;0,VLOOKUP(C703,КФСР!A178:B1690,2),IF(D703&gt;0,VLOOKUP(D703,Программа!A$1:B$5124,2),IF(F703&gt;0,VLOOKUP(F703,КВР!A$1:B$5001,2),IF(E703&gt;0,VLOOKUP(E703,Направление!A$1:B$4816,2))))))</f>
        <v>Предоставление субсидий бюджетным, автономным учреждениям и иным некоммерческим организациям</v>
      </c>
      <c r="B703" s="767"/>
      <c r="C703" s="820"/>
      <c r="D703" s="767"/>
      <c r="E703" s="767"/>
      <c r="F703" s="800">
        <v>600</v>
      </c>
      <c r="G703" s="812">
        <v>47758</v>
      </c>
      <c r="H703" s="812">
        <v>-5950.01</v>
      </c>
      <c r="I703" s="805">
        <f t="shared" si="140"/>
        <v>41807.99</v>
      </c>
    </row>
    <row r="704" spans="1:9" ht="63" x14ac:dyDescent="0.25">
      <c r="A704" s="826" t="str">
        <f>IF(B704&gt;0,VLOOKUP(B704,КВСР!A179:B1344,2),IF(C704&gt;0,VLOOKUP(C704,КФСР!A179:B1691,2),IF(D704&gt;0,VLOOKUP(D704,Программа!A$1:B$5124,2),IF(F704&gt;0,VLOOKUP(F704,КВР!A$1:B$5001,2),IF(E704&gt;0,VLOOKUP(E704,Направление!A$1:B$4816,2))))))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4" s="767"/>
      <c r="C704" s="820"/>
      <c r="D704" s="767"/>
      <c r="E704" s="767">
        <v>15890</v>
      </c>
      <c r="F704" s="800"/>
      <c r="G704" s="812">
        <v>53559</v>
      </c>
      <c r="H704" s="812">
        <f t="shared" ref="H704:I704" si="160">H705</f>
        <v>0</v>
      </c>
      <c r="I704" s="805">
        <f t="shared" si="160"/>
        <v>53559</v>
      </c>
    </row>
    <row r="705" spans="1:9" ht="47.25" x14ac:dyDescent="0.25">
      <c r="A705" s="826" t="str">
        <f>IF(B705&gt;0,VLOOKUP(B705,КВСР!A180:B1345,2),IF(C705&gt;0,VLOOKUP(C705,КФСР!A180:B1692,2),IF(D705&gt;0,VLOOKUP(D705,Программа!A$1:B$5124,2),IF(F705&gt;0,VLOOKUP(F705,КВР!A$1:B$5001,2),IF(E705&gt;0,VLOOKUP(E705,Направление!A$1:B$4816,2))))))</f>
        <v>Предоставление субсидий бюджетным, автономным учреждениям и иным некоммерческим организациям</v>
      </c>
      <c r="B705" s="767"/>
      <c r="C705" s="820"/>
      <c r="D705" s="767"/>
      <c r="E705" s="767"/>
      <c r="F705" s="800">
        <v>600</v>
      </c>
      <c r="G705" s="812">
        <v>53559</v>
      </c>
      <c r="H705" s="812"/>
      <c r="I705" s="805">
        <f>G705+H705</f>
        <v>53559</v>
      </c>
    </row>
    <row r="706" spans="1:9" ht="47.25" x14ac:dyDescent="0.25">
      <c r="A706" s="826" t="str">
        <f>IF(B706&gt;0,VLOOKUP(B706,КВСР!A181:B1346,2),IF(C706&gt;0,VLOOKUP(C706,КФСР!A181:B1693,2),IF(D706&gt;0,VLOOKUP(D706,Программа!A$1:B$5124,2),IF(F706&gt;0,VLOOKUP(F706,КВР!A$1:B$5001,2),IF(E706&gt;0,VLOOKUP(E706,Направление!A$1:B$4816,2))))))</f>
        <v>Расходы на реализацию мероприятий инициативного бюджетирования на территории Ярославской области</v>
      </c>
      <c r="B706" s="767"/>
      <c r="C706" s="820"/>
      <c r="D706" s="767"/>
      <c r="E706" s="767">
        <v>75350</v>
      </c>
      <c r="F706" s="800"/>
      <c r="G706" s="812">
        <v>778252</v>
      </c>
      <c r="H706" s="812">
        <f t="shared" ref="H706:I706" si="161">H707</f>
        <v>0</v>
      </c>
      <c r="I706" s="805">
        <f t="shared" si="161"/>
        <v>778252</v>
      </c>
    </row>
    <row r="707" spans="1:9" ht="58.9" customHeight="1" x14ac:dyDescent="0.25">
      <c r="A707" s="826" t="str">
        <f>IF(B707&gt;0,VLOOKUP(B707,КВСР!A182:B1347,2),IF(C707&gt;0,VLOOKUP(C707,КФСР!A182:B1694,2),IF(D707&gt;0,VLOOKUP(D707,Программа!A$1:B$5124,2),IF(F707&gt;0,VLOOKUP(F707,КВР!A$1:B$5001,2),IF(E707&gt;0,VLOOKUP(E707,Направление!A$1:B$4816,2))))))</f>
        <v>Предоставление субсидий бюджетным, автономным учреждениям и иным некоммерческим организациям</v>
      </c>
      <c r="B707" s="767"/>
      <c r="C707" s="820"/>
      <c r="D707" s="767"/>
      <c r="E707" s="767"/>
      <c r="F707" s="800">
        <v>600</v>
      </c>
      <c r="G707" s="812">
        <v>778252</v>
      </c>
      <c r="H707" s="812"/>
      <c r="I707" s="805">
        <f t="shared" ref="I707" si="162">G707+H707</f>
        <v>778252</v>
      </c>
    </row>
    <row r="708" spans="1:9" ht="63" x14ac:dyDescent="0.25">
      <c r="A708" s="826" t="str">
        <f>IF(B708&gt;0,VLOOKUP(B708,КВСР!A179:B1344,2),IF(C708&gt;0,VLOOKUP(C708,КФСР!A179:B1691,2),IF(D708&gt;0,VLOOKUP(D708,Программа!A$1:B$5124,2),IF(F708&gt;0,VLOOKUP(F708,КВР!A$1:B$5001,2),IF(E708&gt;0,VLOOKUP(E708,Направление!A$1:B$4816,2))))))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8" s="767"/>
      <c r="C708" s="820"/>
      <c r="D708" s="767"/>
      <c r="E708" s="767">
        <v>75890</v>
      </c>
      <c r="F708" s="800"/>
      <c r="G708" s="812">
        <v>24561</v>
      </c>
      <c r="H708" s="812">
        <f t="shared" ref="H708:I708" si="163">H709</f>
        <v>0</v>
      </c>
      <c r="I708" s="805">
        <f t="shared" si="163"/>
        <v>24561</v>
      </c>
    </row>
    <row r="709" spans="1:9" ht="47.25" x14ac:dyDescent="0.25">
      <c r="A709" s="826" t="str">
        <f>IF(B709&gt;0,VLOOKUP(B709,КВСР!A180:B1345,2),IF(C709&gt;0,VLOOKUP(C709,КФСР!A180:B1692,2),IF(D709&gt;0,VLOOKUP(D709,Программа!A$1:B$5124,2),IF(F709&gt;0,VLOOKUP(F709,КВР!A$1:B$5001,2),IF(E709&gt;0,VLOOKUP(E709,Направление!A$1:B$4816,2))))))</f>
        <v>Предоставление субсидий бюджетным, автономным учреждениям и иным некоммерческим организациям</v>
      </c>
      <c r="B709" s="767"/>
      <c r="C709" s="820"/>
      <c r="D709" s="767"/>
      <c r="E709" s="767"/>
      <c r="F709" s="800">
        <v>600</v>
      </c>
      <c r="G709" s="812">
        <v>24561</v>
      </c>
      <c r="H709" s="812"/>
      <c r="I709" s="805">
        <f t="shared" si="140"/>
        <v>24561</v>
      </c>
    </row>
    <row r="710" spans="1:9" ht="31.5" hidden="1" x14ac:dyDescent="0.25">
      <c r="A710" s="826" t="str">
        <f>IF(B710&gt;0,VLOOKUP(B710,КВСР!A177:B1342,2),IF(C710&gt;0,VLOOKUP(C710,КФСР!A177:B1689,2),IF(D710&gt;0,VLOOKUP(D710,Программа!A$1:B$5124,2),IF(F710&gt;0,VLOOKUP(F710,КВР!A$1:B$5001,2),IF(E710&gt;0,VLOOKUP(E710,Направление!A$1:B$4816,2))))))</f>
        <v>Обеспечение детей организованными формами отдыха и оздоровления</v>
      </c>
      <c r="B710" s="767"/>
      <c r="C710" s="820"/>
      <c r="D710" s="767" t="s">
        <v>1055</v>
      </c>
      <c r="E710" s="767"/>
      <c r="F710" s="800"/>
      <c r="G710" s="812">
        <v>0</v>
      </c>
      <c r="H710" s="812">
        <f>H711</f>
        <v>0</v>
      </c>
      <c r="I710" s="805">
        <f t="shared" si="140"/>
        <v>0</v>
      </c>
    </row>
    <row r="711" spans="1:9" ht="78.75" hidden="1" x14ac:dyDescent="0.25">
      <c r="A711" s="826" t="str">
        <f>IF(B711&gt;0,VLOOKUP(B711,КВСР!A177:B1342,2),IF(C711&gt;0,VLOOKUP(C711,КФСР!A177:B1689,2),IF(D711&gt;0,VLOOKUP(D711,Программа!A$1:B$5124,2),IF(F711&gt;0,VLOOKUP(F711,КВР!A$1:B$5001,2),IF(E711&gt;0,VLOOKUP(E711,Направление!A$1:B$4816,2))))))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1" s="767"/>
      <c r="C711" s="820"/>
      <c r="D711" s="767"/>
      <c r="E711" s="767" t="s">
        <v>414</v>
      </c>
      <c r="F711" s="800"/>
      <c r="G711" s="812">
        <v>0</v>
      </c>
      <c r="H711" s="812">
        <f>H712</f>
        <v>0</v>
      </c>
      <c r="I711" s="805">
        <f t="shared" si="140"/>
        <v>0</v>
      </c>
    </row>
    <row r="712" spans="1:9" ht="47.25" hidden="1" x14ac:dyDescent="0.25">
      <c r="A712" s="826" t="str">
        <f>IF(B712&gt;0,VLOOKUP(B712,КВСР!A178:B1343,2),IF(C712&gt;0,VLOOKUP(C712,КФСР!A178:B1690,2),IF(D712&gt;0,VLOOKUP(D712,Программа!A$1:B$5124,2),IF(F712&gt;0,VLOOKUP(F712,КВР!A$1:B$5001,2),IF(E712&gt;0,VLOOKUP(E712,Направление!A$1:B$4816,2))))))</f>
        <v>Предоставление субсидий бюджетным, автономным учреждениям и иным некоммерческим организациям</v>
      </c>
      <c r="B712" s="767"/>
      <c r="C712" s="820"/>
      <c r="D712" s="767"/>
      <c r="E712" s="767"/>
      <c r="F712" s="800">
        <v>600</v>
      </c>
      <c r="G712" s="812">
        <v>0</v>
      </c>
      <c r="H712" s="812"/>
      <c r="I712" s="805">
        <f t="shared" si="140"/>
        <v>0</v>
      </c>
    </row>
    <row r="713" spans="1:9" ht="78.75" hidden="1" x14ac:dyDescent="0.25">
      <c r="A713" s="826" t="str">
        <f>IF(B713&gt;0,VLOOKUP(B713,КВСР!A179:B1344,2),IF(C713&gt;0,VLOOKUP(C713,КФСР!A179:B1691,2),IF(D713&gt;0,VLOOKUP(D713,Программа!A$1:B$5124,2),IF(F713&gt;0,VLOOKUP(F713,КВР!A$1:B$5001,2),IF(E713&gt;0,VLOOKUP(E713,Направление!A$1:B$4816,2))))))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3" s="767"/>
      <c r="C713" s="820"/>
      <c r="D713" s="767"/>
      <c r="E713" s="767">
        <v>70470</v>
      </c>
      <c r="F713" s="800"/>
      <c r="G713" s="812">
        <v>0</v>
      </c>
      <c r="H713" s="812">
        <f>H714</f>
        <v>0</v>
      </c>
      <c r="I713" s="805">
        <f t="shared" si="140"/>
        <v>0</v>
      </c>
    </row>
    <row r="714" spans="1:9" ht="47.25" hidden="1" x14ac:dyDescent="0.25">
      <c r="A714" s="826" t="str">
        <f>IF(B714&gt;0,VLOOKUP(B714,КВСР!A180:B1345,2),IF(C714&gt;0,VLOOKUP(C714,КФСР!A180:B1692,2),IF(D714&gt;0,VLOOKUP(D714,Программа!A$1:B$5124,2),IF(F714&gt;0,VLOOKUP(F714,КВР!A$1:B$5001,2),IF(E714&gt;0,VLOOKUP(E714,Направление!A$1:B$4816,2))))))</f>
        <v>Предоставление субсидий бюджетным, автономным учреждениям и иным некоммерческим организациям</v>
      </c>
      <c r="B714" s="767"/>
      <c r="C714" s="820"/>
      <c r="D714" s="767"/>
      <c r="E714" s="767"/>
      <c r="F714" s="800">
        <v>600</v>
      </c>
      <c r="G714" s="812">
        <v>0</v>
      </c>
      <c r="H714" s="812"/>
      <c r="I714" s="805">
        <f t="shared" si="140"/>
        <v>0</v>
      </c>
    </row>
    <row r="715" spans="1:9" ht="31.5" x14ac:dyDescent="0.25">
      <c r="A715" s="826" t="str">
        <f>IF(B715&gt;0,VLOOKUP(B715,КВСР!A168:B1333,2),IF(C715&gt;0,VLOOKUP(C715,КФСР!A168:B1680,2),IF(D715&gt;0,VLOOKUP(D715,Программа!A$1:B$5124,2),IF(F715&gt;0,VLOOKUP(F715,КВР!A$1:B$5001,2),IF(E715&gt;0,VLOOKUP(E715,Направление!A$1:B$4816,2))))))</f>
        <v>Обеспечение эффективности управления системой образования</v>
      </c>
      <c r="B715" s="767"/>
      <c r="C715" s="820"/>
      <c r="D715" s="767" t="s">
        <v>1057</v>
      </c>
      <c r="E715" s="767"/>
      <c r="F715" s="800"/>
      <c r="G715" s="812">
        <v>33597540</v>
      </c>
      <c r="H715" s="812">
        <f>H716+H720+H722+H727+H730</f>
        <v>1757450.02</v>
      </c>
      <c r="I715" s="805">
        <f>I716+I720+I722+I727+I730</f>
        <v>35354990.020000003</v>
      </c>
    </row>
    <row r="716" spans="1:9" x14ac:dyDescent="0.25">
      <c r="A716" s="826" t="str">
        <f>IF(B716&gt;0,VLOOKUP(B716,КВСР!A169:B1334,2),IF(C716&gt;0,VLOOKUP(C716,КФСР!A169:B1681,2),IF(D716&gt;0,VLOOKUP(D716,Программа!A$1:B$5124,2),IF(F716&gt;0,VLOOKUP(F716,КВР!A$1:B$5001,2),IF(E716&gt;0,VLOOKUP(E716,Направление!A$1:B$4816,2))))))</f>
        <v>Содержание центрального аппарата</v>
      </c>
      <c r="B716" s="767"/>
      <c r="C716" s="820"/>
      <c r="D716" s="767"/>
      <c r="E716" s="767">
        <v>12010</v>
      </c>
      <c r="F716" s="763"/>
      <c r="G716" s="812">
        <v>6163999</v>
      </c>
      <c r="H716" s="812">
        <f>H717+H718+H719</f>
        <v>287311</v>
      </c>
      <c r="I716" s="805">
        <f>I717+I718+I719</f>
        <v>6451310</v>
      </c>
    </row>
    <row r="717" spans="1:9" ht="110.25" x14ac:dyDescent="0.25">
      <c r="A717" s="826" t="str">
        <f>IF(B717&gt;0,VLOOKUP(B717,КВСР!A164:B1329,2),IF(C717&gt;0,VLOOKUP(C717,КФСР!A164:B1676,2),IF(D717&gt;0,VLOOKUP(D717,Программа!A$1:B$5124,2),IF(F717&gt;0,VLOOKUP(F717,КВР!A$1:B$5001,2),IF(E717&gt;0,VLOOKUP(E717,Направление!A$1:B$4816,2))))))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767"/>
      <c r="C717" s="820"/>
      <c r="D717" s="767"/>
      <c r="E717" s="767"/>
      <c r="F717" s="763">
        <v>100</v>
      </c>
      <c r="G717" s="812">
        <v>5271085</v>
      </c>
      <c r="H717" s="812">
        <v>349799</v>
      </c>
      <c r="I717" s="805">
        <f t="shared" si="140"/>
        <v>5620884</v>
      </c>
    </row>
    <row r="718" spans="1:9" ht="63" x14ac:dyDescent="0.25">
      <c r="A718" s="826" t="str">
        <f>IF(B718&gt;0,VLOOKUP(B718,КВСР!A165:B1330,2),IF(C718&gt;0,VLOOKUP(C718,КФСР!A165:B1677,2),IF(D718&gt;0,VLOOKUP(D718,Программа!A$1:B$5124,2),IF(F718&gt;0,VLOOKUP(F718,КВР!A$1:B$5001,2),IF(E718&gt;0,VLOOKUP(E718,Направление!A$1:B$4816,2))))))</f>
        <v xml:space="preserve">Закупка товаров, работ и услуг для обеспечения государственных (муниципальных) нужд
</v>
      </c>
      <c r="B718" s="767"/>
      <c r="C718" s="820"/>
      <c r="D718" s="767"/>
      <c r="E718" s="767"/>
      <c r="F718" s="763">
        <v>200</v>
      </c>
      <c r="G718" s="812">
        <v>872914</v>
      </c>
      <c r="H718" s="812">
        <v>-61581</v>
      </c>
      <c r="I718" s="805">
        <f t="shared" si="140"/>
        <v>811333</v>
      </c>
    </row>
    <row r="719" spans="1:9" x14ac:dyDescent="0.25">
      <c r="A719" s="826" t="str">
        <f>IF(B719&gt;0,VLOOKUP(B719,КВСР!A166:B1331,2),IF(C719&gt;0,VLOOKUP(C719,КФСР!A166:B1678,2),IF(D719&gt;0,VLOOKUP(D719,Программа!A$1:B$5124,2),IF(F719&gt;0,VLOOKUP(F719,КВР!A$1:B$5001,2),IF(E719&gt;0,VLOOKUP(E719,Направление!A$1:B$4816,2))))))</f>
        <v>Иные бюджетные ассигнования</v>
      </c>
      <c r="B719" s="767"/>
      <c r="C719" s="820"/>
      <c r="D719" s="767"/>
      <c r="E719" s="767"/>
      <c r="F719" s="763">
        <v>800</v>
      </c>
      <c r="G719" s="812">
        <v>20000</v>
      </c>
      <c r="H719" s="812">
        <v>-907</v>
      </c>
      <c r="I719" s="805">
        <f t="shared" si="140"/>
        <v>19093</v>
      </c>
    </row>
    <row r="720" spans="1:9" ht="31.5" hidden="1" x14ac:dyDescent="0.25">
      <c r="A720" s="826" t="str">
        <f>IF(B720&gt;0,VLOOKUP(B720,КВСР!A166:B1331,2),IF(C720&gt;0,VLOOKUP(C720,КФСР!A166:B1678,2),IF(D720&gt;0,VLOOKUP(D720,Программа!A$1:B$5124,2),IF(F720&gt;0,VLOOKUP(F720,КВР!A$1:B$5001,2),IF(E720&gt;0,VLOOKUP(E720,Направление!A$1:B$4816,2))))))</f>
        <v>Выполнение других обязательств органов местного самоуправления</v>
      </c>
      <c r="B720" s="767"/>
      <c r="C720" s="820"/>
      <c r="D720" s="767"/>
      <c r="E720" s="767">
        <v>12080</v>
      </c>
      <c r="F720" s="763"/>
      <c r="G720" s="812">
        <v>0</v>
      </c>
      <c r="H720" s="812">
        <f>H721</f>
        <v>0</v>
      </c>
      <c r="I720" s="805">
        <f t="shared" si="140"/>
        <v>0</v>
      </c>
    </row>
    <row r="721" spans="1:9" ht="63" hidden="1" x14ac:dyDescent="0.25">
      <c r="A721" s="826" t="str">
        <f>IF(B721&gt;0,VLOOKUP(B721,КВСР!A167:B1332,2),IF(C721&gt;0,VLOOKUP(C721,КФСР!A167:B1679,2),IF(D721&gt;0,VLOOKUP(D721,Программа!A$1:B$5124,2),IF(F721&gt;0,VLOOKUP(F721,КВР!A$1:B$5001,2),IF(E721&gt;0,VLOOKUP(E721,Направление!A$1:B$4816,2))))))</f>
        <v xml:space="preserve">Закупка товаров, работ и услуг для обеспечения государственных (муниципальных) нужд
</v>
      </c>
      <c r="B721" s="767"/>
      <c r="C721" s="820"/>
      <c r="D721" s="767"/>
      <c r="E721" s="767"/>
      <c r="F721" s="763">
        <v>200</v>
      </c>
      <c r="G721" s="812">
        <v>0</v>
      </c>
      <c r="H721" s="812"/>
      <c r="I721" s="805">
        <f t="shared" si="140"/>
        <v>0</v>
      </c>
    </row>
    <row r="722" spans="1:9" ht="31.5" x14ac:dyDescent="0.25">
      <c r="A722" s="826" t="str">
        <f>IF(B722&gt;0,VLOOKUP(B722,КВСР!A168:B1333,2),IF(C722&gt;0,VLOOKUP(C722,КФСР!A168:B1680,2),IF(D722&gt;0,VLOOKUP(D722,Программа!A$1:B$5124,2),IF(F722&gt;0,VLOOKUP(F722,КВР!A$1:B$5001,2),IF(E722&gt;0,VLOOKUP(E722,Направление!A$1:B$4816,2))))))</f>
        <v>Обеспечение деятельности прочих учреждений в сфере образования</v>
      </c>
      <c r="B722" s="767"/>
      <c r="C722" s="820"/>
      <c r="D722" s="767"/>
      <c r="E722" s="767">
        <v>13310</v>
      </c>
      <c r="F722" s="800"/>
      <c r="G722" s="812">
        <v>23549563</v>
      </c>
      <c r="H722" s="812">
        <f>H723+H724+H725+H726</f>
        <v>1218733</v>
      </c>
      <c r="I722" s="805">
        <f>I723+I724+I725+I726</f>
        <v>24768296</v>
      </c>
    </row>
    <row r="723" spans="1:9" ht="110.25" x14ac:dyDescent="0.25">
      <c r="A723" s="826" t="str">
        <f>IF(B723&gt;0,VLOOKUP(B723,КВСР!A169:B1334,2),IF(C723&gt;0,VLOOKUP(C723,КФСР!A169:B1681,2),IF(D723&gt;0,VLOOKUP(D723,Программа!A$1:B$5124,2),IF(F723&gt;0,VLOOKUP(F723,КВР!A$1:B$5001,2),IF(E723&gt;0,VLOOKUP(E723,Направление!A$1:B$4816,2))))))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3" s="767"/>
      <c r="C723" s="820"/>
      <c r="D723" s="767"/>
      <c r="E723" s="767"/>
      <c r="F723" s="800">
        <v>100</v>
      </c>
      <c r="G723" s="812">
        <v>22327512</v>
      </c>
      <c r="H723" s="812">
        <v>1218733</v>
      </c>
      <c r="I723" s="805">
        <f t="shared" si="140"/>
        <v>23546245</v>
      </c>
    </row>
    <row r="724" spans="1:9" ht="63" x14ac:dyDescent="0.25">
      <c r="A724" s="826" t="str">
        <f>IF(B724&gt;0,VLOOKUP(B724,КВСР!A170:B1335,2),IF(C724&gt;0,VLOOKUP(C724,КФСР!A170:B1682,2),IF(D724&gt;0,VLOOKUP(D724,Программа!A$1:B$5124,2),IF(F724&gt;0,VLOOKUP(F724,КВР!A$1:B$5001,2),IF(E724&gt;0,VLOOKUP(E724,Направление!A$1:B$4816,2))))))</f>
        <v xml:space="preserve">Закупка товаров, работ и услуг для обеспечения государственных (муниципальных) нужд
</v>
      </c>
      <c r="B724" s="767"/>
      <c r="C724" s="820"/>
      <c r="D724" s="767"/>
      <c r="E724" s="767"/>
      <c r="F724" s="800">
        <v>200</v>
      </c>
      <c r="G724" s="812">
        <v>1207941</v>
      </c>
      <c r="H724" s="812"/>
      <c r="I724" s="805">
        <f t="shared" ref="I724:I795" si="164">SUM(G724:H724)</f>
        <v>1207941</v>
      </c>
    </row>
    <row r="725" spans="1:9" ht="47.25" hidden="1" x14ac:dyDescent="0.25">
      <c r="A725" s="826" t="str">
        <f>IF(B725&gt;0,VLOOKUP(B725,КВСР!A171:B1336,2),IF(C725&gt;0,VLOOKUP(C725,КФСР!A171:B1683,2),IF(D725&gt;0,VLOOKUP(D725,Программа!A$1:B$5124,2),IF(F725&gt;0,VLOOKUP(F725,КВР!A$1:B$5001,2),IF(E725&gt;0,VLOOKUP(E725,Направление!A$1:B$4816,2))))))</f>
        <v>Предоставление субсидий бюджетным, автономным учреждениям и иным некоммерческим организациям</v>
      </c>
      <c r="B725" s="767"/>
      <c r="C725" s="820"/>
      <c r="D725" s="767"/>
      <c r="E725" s="767"/>
      <c r="F725" s="800">
        <v>600</v>
      </c>
      <c r="G725" s="812">
        <v>0</v>
      </c>
      <c r="H725" s="812"/>
      <c r="I725" s="805">
        <f t="shared" si="164"/>
        <v>0</v>
      </c>
    </row>
    <row r="726" spans="1:9" x14ac:dyDescent="0.25">
      <c r="A726" s="826" t="str">
        <f>IF(B726&gt;0,VLOOKUP(B726,КВСР!A172:B1337,2),IF(C726&gt;0,VLOOKUP(C726,КФСР!A172:B1684,2),IF(D726&gt;0,VLOOKUP(D726,Программа!A$1:B$5124,2),IF(F726&gt;0,VLOOKUP(F726,КВР!A$1:B$5001,2),IF(E726&gt;0,VLOOKUP(E726,Направление!A$1:B$4816,2))))))</f>
        <v>Иные бюджетные ассигнования</v>
      </c>
      <c r="B726" s="767"/>
      <c r="C726" s="820"/>
      <c r="D726" s="767"/>
      <c r="E726" s="767"/>
      <c r="F726" s="800">
        <v>800</v>
      </c>
      <c r="G726" s="812">
        <v>14110</v>
      </c>
      <c r="H726" s="812"/>
      <c r="I726" s="805">
        <f t="shared" si="164"/>
        <v>14110</v>
      </c>
    </row>
    <row r="727" spans="1:9" ht="67.900000000000006" customHeight="1" x14ac:dyDescent="0.25">
      <c r="A727" s="826" t="str">
        <f>IF(B727&gt;0,VLOOKUP(B727,КВСР!A168:B1333,2),IF(C727&gt;0,VLOOKUP(C727,КФСР!A168:B1680,2),IF(D727&gt;0,VLOOKUP(D727,Программа!A$1:B$5124,2),IF(F727&gt;0,VLOOKUP(F727,КВР!A$1:B$5001,2),IF(E727&gt;0,VLOOKUP(E727,Направление!A$1:B$4816,2))))))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727" s="767"/>
      <c r="C727" s="820"/>
      <c r="D727" s="767"/>
      <c r="E727" s="767">
        <v>55490</v>
      </c>
      <c r="F727" s="763"/>
      <c r="G727" s="812">
        <v>186186</v>
      </c>
      <c r="H727" s="812">
        <f>H729+H728</f>
        <v>0</v>
      </c>
      <c r="I727" s="805">
        <f t="shared" si="164"/>
        <v>186186</v>
      </c>
    </row>
    <row r="728" spans="1:9" ht="110.25" x14ac:dyDescent="0.25">
      <c r="A728" s="826" t="str">
        <f>IF(B728&gt;0,VLOOKUP(B728,КВСР!A169:B1334,2),IF(C728&gt;0,VLOOKUP(C728,КФСР!A169:B1681,2),IF(D728&gt;0,VLOOKUP(D728,Программа!A$1:B$5124,2),IF(F728&gt;0,VLOOKUP(F728,КВР!A$1:B$5001,2),IF(E728&gt;0,VLOOKUP(E728,Направление!A$1:B$4816,2))))))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767"/>
      <c r="C728" s="820"/>
      <c r="D728" s="767"/>
      <c r="E728" s="767"/>
      <c r="F728" s="763">
        <v>100</v>
      </c>
      <c r="G728" s="812">
        <v>186186</v>
      </c>
      <c r="H728" s="812"/>
      <c r="I728" s="805">
        <f t="shared" si="164"/>
        <v>186186</v>
      </c>
    </row>
    <row r="729" spans="1:9" ht="63" hidden="1" x14ac:dyDescent="0.25">
      <c r="A729" s="826" t="str">
        <f>IF(B729&gt;0,VLOOKUP(B729,КВСР!A170:B1335,2),IF(C729&gt;0,VLOOKUP(C729,КФСР!A170:B1682,2),IF(D729&gt;0,VLOOKUP(D729,Программа!A$1:B$5124,2),IF(F729&gt;0,VLOOKUP(F729,КВР!A$1:B$5001,2),IF(E729&gt;0,VLOOKUP(E729,Направление!A$1:B$4816,2))))))</f>
        <v xml:space="preserve">Закупка товаров, работ и услуг для обеспечения государственных (муниципальных) нужд
</v>
      </c>
      <c r="B729" s="767"/>
      <c r="C729" s="820"/>
      <c r="D729" s="767"/>
      <c r="E729" s="767"/>
      <c r="F729" s="763">
        <v>200</v>
      </c>
      <c r="G729" s="812">
        <v>0</v>
      </c>
      <c r="H729" s="812"/>
      <c r="I729" s="805">
        <f t="shared" si="164"/>
        <v>0</v>
      </c>
    </row>
    <row r="730" spans="1:9" ht="47.25" x14ac:dyDescent="0.25">
      <c r="A730" s="826" t="str">
        <f>IF(B730&gt;0,VLOOKUP(B730,КВСР!A168:B1333,2),IF(C730&gt;0,VLOOKUP(C730,КФСР!A168:B1680,2),IF(D730&gt;0,VLOOKUP(D730,Программа!A$1:B$5124,2),IF(F730&gt;0,VLOOKUP(F730,КВР!A$1:B$5001,2),IF(E730&gt;0,VLOOKUP(E730,Направление!A$1:B$4816,2))))))</f>
        <v>Расходы на обеспечение деятельности органов опеки и попечительства за счет средств областного бюджета</v>
      </c>
      <c r="B730" s="767"/>
      <c r="C730" s="820"/>
      <c r="D730" s="767"/>
      <c r="E730" s="767">
        <v>70550</v>
      </c>
      <c r="F730" s="763"/>
      <c r="G730" s="812">
        <v>3697792</v>
      </c>
      <c r="H730" s="812">
        <f>H731+H732+H733</f>
        <v>251406.02</v>
      </c>
      <c r="I730" s="805">
        <f>I731+I732+I733</f>
        <v>3949198.02</v>
      </c>
    </row>
    <row r="731" spans="1:9" ht="110.25" x14ac:dyDescent="0.25">
      <c r="A731" s="826" t="str">
        <f>IF(B731&gt;0,VLOOKUP(B731,КВСР!A169:B1334,2),IF(C731&gt;0,VLOOKUP(C731,КФСР!A169:B1681,2),IF(D731&gt;0,VLOOKUP(D731,Программа!A$1:B$5124,2),IF(F731&gt;0,VLOOKUP(F731,КВР!A$1:B$5001,2),IF(E731&gt;0,VLOOKUP(E731,Направление!A$1:B$4816,2))))))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1" s="767"/>
      <c r="C731" s="820"/>
      <c r="D731" s="767"/>
      <c r="E731" s="767"/>
      <c r="F731" s="763">
        <v>100</v>
      </c>
      <c r="G731" s="812">
        <v>3211919.5</v>
      </c>
      <c r="H731" s="812">
        <v>84411.18</v>
      </c>
      <c r="I731" s="805">
        <f t="shared" si="164"/>
        <v>3296330.68</v>
      </c>
    </row>
    <row r="732" spans="1:9" ht="63" x14ac:dyDescent="0.25">
      <c r="A732" s="826" t="str">
        <f>IF(B732&gt;0,VLOOKUP(B732,КВСР!A170:B1335,2),IF(C732&gt;0,VLOOKUP(C732,КФСР!A170:B1682,2),IF(D732&gt;0,VLOOKUP(D732,Программа!A$1:B$5124,2),IF(F732&gt;0,VLOOKUP(F732,КВР!A$1:B$5001,2),IF(E732&gt;0,VLOOKUP(E732,Направление!A$1:B$4816,2))))))</f>
        <v xml:space="preserve">Закупка товаров, работ и услуг для обеспечения государственных (муниципальных) нужд
</v>
      </c>
      <c r="B732" s="767"/>
      <c r="C732" s="820"/>
      <c r="D732" s="767"/>
      <c r="E732" s="767"/>
      <c r="F732" s="763">
        <v>200</v>
      </c>
      <c r="G732" s="812">
        <v>482669.5</v>
      </c>
      <c r="H732" s="812">
        <v>166994.84</v>
      </c>
      <c r="I732" s="805">
        <f t="shared" si="164"/>
        <v>649664.34</v>
      </c>
    </row>
    <row r="733" spans="1:9" x14ac:dyDescent="0.25">
      <c r="A733" s="826" t="str">
        <f>IF(B733&gt;0,VLOOKUP(B733,КВСР!A171:B1336,2),IF(C733&gt;0,VLOOKUP(C733,КФСР!A171:B1683,2),IF(D733&gt;0,VLOOKUP(D733,Программа!A$1:B$5124,2),IF(F733&gt;0,VLOOKUP(F733,КВР!A$1:B$5001,2),IF(E733&gt;0,VLOOKUP(E733,Направление!A$1:B$4816,2))))))</f>
        <v>Иные бюджетные ассигнования</v>
      </c>
      <c r="B733" s="767"/>
      <c r="C733" s="820"/>
      <c r="D733" s="767"/>
      <c r="E733" s="767"/>
      <c r="F733" s="763">
        <v>800</v>
      </c>
      <c r="G733" s="812">
        <v>3203</v>
      </c>
      <c r="H733" s="812"/>
      <c r="I733" s="805">
        <f t="shared" si="164"/>
        <v>3203</v>
      </c>
    </row>
    <row r="734" spans="1:9" ht="63" x14ac:dyDescent="0.25">
      <c r="A734" s="826" t="str">
        <f>IF(B734&gt;0,VLOOKUP(B734,КВСР!A176:B1341,2),IF(C734&gt;0,VLOOKUP(C734,КФСР!A176:B1688,2),IF(D734&gt;0,VLOOKUP(D734,Программа!A$1:B$5124,2),IF(F734&gt;0,VLOOKUP(F734,КВР!A$1:B$5001,2),IF(E734&gt;0,VLOOKUP(E734,Направление!A$1:B$4816,2))))))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34" s="767"/>
      <c r="C734" s="820"/>
      <c r="D734" s="767" t="s">
        <v>418</v>
      </c>
      <c r="E734" s="767"/>
      <c r="F734" s="800"/>
      <c r="G734" s="812">
        <v>5000</v>
      </c>
      <c r="H734" s="812">
        <f>H736</f>
        <v>0</v>
      </c>
      <c r="I734" s="805">
        <f>I736</f>
        <v>5000</v>
      </c>
    </row>
    <row r="735" spans="1:9" ht="47.25" x14ac:dyDescent="0.25">
      <c r="A735" s="826" t="str">
        <f>IF(B735&gt;0,VLOOKUP(B735,КВСР!A177:B1342,2),IF(C735&gt;0,VLOOKUP(C735,КФСР!A177:B1689,2),IF(D735&gt;0,VLOOKUP(D735,Программа!A$1:B$5124,2),IF(F735&gt;0,VLOOKUP(F735,КВР!A$1:B$5001,2),IF(E735&gt;0,VLOOKUP(E735,Направление!A$1:B$4816,2))))))</f>
        <v>Реализация мер по созданию целостной системы духовно-нравственного воспитания и просвещения населения</v>
      </c>
      <c r="B735" s="767"/>
      <c r="C735" s="820"/>
      <c r="D735" s="767" t="s">
        <v>420</v>
      </c>
      <c r="E735" s="767"/>
      <c r="F735" s="800"/>
      <c r="G735" s="812">
        <v>5000</v>
      </c>
      <c r="H735" s="812">
        <f>H736</f>
        <v>0</v>
      </c>
      <c r="I735" s="805">
        <f>I736</f>
        <v>5000</v>
      </c>
    </row>
    <row r="736" spans="1:9" ht="47.25" x14ac:dyDescent="0.25">
      <c r="A736" s="826" t="str">
        <f>IF(B736&gt;0,VLOOKUP(B736,КВСР!A177:B1342,2),IF(C736&gt;0,VLOOKUP(C736,КФСР!A177:B1689,2),IF(D736&gt;0,VLOOKUP(D736,Программа!A$1:B$5124,2),IF(F736&gt;0,VLOOKUP(F736,КВР!A$1:B$5001,2),IF(E736&gt;0,VLOOKUP(E736,Направление!A$1:B$4816,2))))))</f>
        <v>Расходы на реализацию МЦП "Духовно - нравственное воспитание и просвещение населения ТМР"</v>
      </c>
      <c r="B736" s="767"/>
      <c r="C736" s="820"/>
      <c r="D736" s="767"/>
      <c r="E736" s="767">
        <v>13810</v>
      </c>
      <c r="F736" s="800"/>
      <c r="G736" s="812">
        <v>5000</v>
      </c>
      <c r="H736" s="812">
        <f>H737</f>
        <v>0</v>
      </c>
      <c r="I736" s="805">
        <f>I737</f>
        <v>5000</v>
      </c>
    </row>
    <row r="737" spans="1:9" ht="47.25" x14ac:dyDescent="0.25">
      <c r="A737" s="826" t="str">
        <f>IF(B737&gt;0,VLOOKUP(B737,КВСР!A178:B1343,2),IF(C737&gt;0,VLOOKUP(C737,КФСР!A178:B1690,2),IF(D737&gt;0,VLOOKUP(D737,Программа!A$1:B$5124,2),IF(F737&gt;0,VLOOKUP(F737,КВР!A$1:B$5001,2),IF(E737&gt;0,VLOOKUP(E737,Направление!A$1:B$4816,2))))))</f>
        <v>Предоставление субсидий бюджетным, автономным учреждениям и иным некоммерческим организациям</v>
      </c>
      <c r="B737" s="767"/>
      <c r="C737" s="820"/>
      <c r="D737" s="767"/>
      <c r="E737" s="767"/>
      <c r="F737" s="800">
        <v>600</v>
      </c>
      <c r="G737" s="812">
        <v>5000</v>
      </c>
      <c r="H737" s="812"/>
      <c r="I737" s="805">
        <f t="shared" si="164"/>
        <v>5000</v>
      </c>
    </row>
    <row r="738" spans="1:9" ht="47.25" hidden="1" x14ac:dyDescent="0.25">
      <c r="A738" s="826" t="str">
        <f>IF(B738&gt;0,VLOOKUP(B738,КВСР!A179:B1344,2),IF(C738&gt;0,VLOOKUP(C738,КФСР!A179:B1691,2),IF(D738&gt;0,VLOOKUP(D738,Программа!A$1:B$5124,2),IF(F738&gt;0,VLOOKUP(F738,КВР!A$1:B$5001,2),IF(E738&gt;0,VLOOKUP(E738,Направление!A$1:B$4816,2))))))</f>
        <v>Муниципальная программа "Социальная поддержка населения Тутаевского муниципального района"</v>
      </c>
      <c r="B738" s="767"/>
      <c r="C738" s="820"/>
      <c r="D738" s="767" t="s">
        <v>376</v>
      </c>
      <c r="E738" s="767"/>
      <c r="F738" s="800"/>
      <c r="G738" s="812">
        <v>0</v>
      </c>
      <c r="H738" s="812">
        <f t="shared" ref="H738:H741" si="165">H739</f>
        <v>0</v>
      </c>
      <c r="I738" s="805">
        <f t="shared" si="164"/>
        <v>0</v>
      </c>
    </row>
    <row r="739" spans="1:9" ht="47.25" hidden="1" x14ac:dyDescent="0.25">
      <c r="A739" s="826" t="str">
        <f>IF(B739&gt;0,VLOOKUP(B739,КВСР!A182:B1347,2),IF(C739&gt;0,VLOOKUP(C739,КФСР!A182:B1694,2),IF(D739&gt;0,VLOOKUP(D739,Программа!A$1:B$5124,2),IF(F739&gt;0,VLOOKUP(F739,КВР!A$1:B$5001,2),IF(E739&gt;0,VLOOKUP(E739,Направление!A$1:B$4816,2))))))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739" s="767"/>
      <c r="C739" s="820"/>
      <c r="D739" s="767" t="s">
        <v>378</v>
      </c>
      <c r="E739" s="767"/>
      <c r="F739" s="800"/>
      <c r="G739" s="812">
        <v>0</v>
      </c>
      <c r="H739" s="812">
        <f>H741</f>
        <v>0</v>
      </c>
      <c r="I739" s="805">
        <f t="shared" si="164"/>
        <v>0</v>
      </c>
    </row>
    <row r="740" spans="1:9" ht="63" hidden="1" x14ac:dyDescent="0.25">
      <c r="A740" s="826" t="str">
        <f>IF(B740&gt;0,VLOOKUP(B740,КВСР!A183:B1348,2),IF(C740&gt;0,VLOOKUP(C740,КФСР!A183:B1695,2),IF(D740&gt;0,VLOOKUP(D740,Программа!A$1:B$5124,2),IF(F740&gt;0,VLOOKUP(F740,КВР!A$1:B$5001,2),IF(E740&gt;0,VLOOKUP(E740,Направление!A$1:B$4816,2))))))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0" s="767"/>
      <c r="C740" s="820"/>
      <c r="D740" s="767" t="s">
        <v>379</v>
      </c>
      <c r="E740" s="767"/>
      <c r="F740" s="800"/>
      <c r="G740" s="812">
        <v>0</v>
      </c>
      <c r="H740" s="812">
        <f t="shared" ref="H740:I740" si="166">H741</f>
        <v>0</v>
      </c>
      <c r="I740" s="805">
        <f t="shared" si="166"/>
        <v>0</v>
      </c>
    </row>
    <row r="741" spans="1:9" ht="31.5" hidden="1" x14ac:dyDescent="0.25">
      <c r="A741" s="826" t="str">
        <f>IF(B741&gt;0,VLOOKUP(B741,КВСР!A183:B1348,2),IF(C741&gt;0,VLOOKUP(C741,КФСР!A183:B1695,2),IF(D741&gt;0,VLOOKUP(D741,Программа!A$1:B$5124,2),IF(F741&gt;0,VLOOKUP(F741,КВР!A$1:B$5001,2),IF(E741&gt;0,VLOOKUP(E741,Направление!A$1:B$4816,2))))))</f>
        <v>Расходы на реализацию мероприятий по улучшению условий и охраны труда</v>
      </c>
      <c r="B741" s="767"/>
      <c r="C741" s="820"/>
      <c r="D741" s="767"/>
      <c r="E741" s="767">
        <v>16150</v>
      </c>
      <c r="F741" s="800"/>
      <c r="G741" s="812">
        <v>0</v>
      </c>
      <c r="H741" s="812">
        <f t="shared" si="165"/>
        <v>0</v>
      </c>
      <c r="I741" s="805">
        <f t="shared" si="164"/>
        <v>0</v>
      </c>
    </row>
    <row r="742" spans="1:9" ht="47.25" hidden="1" x14ac:dyDescent="0.25">
      <c r="A742" s="826" t="str">
        <f>IF(B742&gt;0,VLOOKUP(B742,КВСР!A184:B1349,2),IF(C742&gt;0,VLOOKUP(C742,КФСР!A184:B1696,2),IF(D742&gt;0,VLOOKUP(D742,Программа!A$1:B$5124,2),IF(F742&gt;0,VLOOKUP(F742,КВР!A$1:B$5001,2),IF(E742&gt;0,VLOOKUP(E742,Направление!A$1:B$4816,2))))))</f>
        <v>Предоставление субсидий бюджетным, автономным учреждениям и иным некоммерческим организациям</v>
      </c>
      <c r="B742" s="767"/>
      <c r="C742" s="820"/>
      <c r="D742" s="767"/>
      <c r="E742" s="767"/>
      <c r="F742" s="800">
        <v>600</v>
      </c>
      <c r="G742" s="812">
        <v>0</v>
      </c>
      <c r="H742" s="812"/>
      <c r="I742" s="805">
        <f t="shared" si="164"/>
        <v>0</v>
      </c>
    </row>
    <row r="743" spans="1:9" ht="47.25" hidden="1" x14ac:dyDescent="0.25">
      <c r="A743" s="826" t="str">
        <f>IF(B743&gt;0,VLOOKUP(B743,КВСР!A185:B1350,2),IF(C743&gt;0,VLOOKUP(C743,КФСР!A185:B1697,2),IF(D743&gt;0,VLOOKUP(D743,Программа!A$1:B$5124,2),IF(F743&gt;0,VLOOKUP(F743,КВР!A$1:B$5001,2),IF(E743&gt;0,VLOOKUP(E743,Направление!A$1:B$4816,2))))))</f>
        <v>Обучение по охране труда работников организаций Тутаевского муниципального района</v>
      </c>
      <c r="B743" s="767"/>
      <c r="C743" s="820"/>
      <c r="D743" s="767" t="s">
        <v>1036</v>
      </c>
      <c r="E743" s="767"/>
      <c r="F743" s="800"/>
      <c r="G743" s="812">
        <v>0</v>
      </c>
      <c r="H743" s="812">
        <f t="shared" ref="H743:H744" si="167">H744</f>
        <v>0</v>
      </c>
      <c r="I743" s="805">
        <f t="shared" si="164"/>
        <v>0</v>
      </c>
    </row>
    <row r="744" spans="1:9" ht="31.5" hidden="1" x14ac:dyDescent="0.25">
      <c r="A744" s="826" t="str">
        <f>IF(B744&gt;0,VLOOKUP(B744,КВСР!A186:B1351,2),IF(C744&gt;0,VLOOKUP(C744,КФСР!A186:B1698,2),IF(D744&gt;0,VLOOKUP(D744,Программа!A$1:B$5124,2),IF(F744&gt;0,VLOOKUP(F744,КВР!A$1:B$5001,2),IF(E744&gt;0,VLOOKUP(E744,Направление!A$1:B$4816,2))))))</f>
        <v>Расходы на реализацию мероприятий по улучшению условий и охраны труда</v>
      </c>
      <c r="B744" s="767"/>
      <c r="C744" s="820"/>
      <c r="D744" s="767"/>
      <c r="E744" s="767">
        <v>16150</v>
      </c>
      <c r="F744" s="800"/>
      <c r="G744" s="812">
        <v>0</v>
      </c>
      <c r="H744" s="812">
        <f t="shared" si="167"/>
        <v>0</v>
      </c>
      <c r="I744" s="805">
        <f t="shared" si="164"/>
        <v>0</v>
      </c>
    </row>
    <row r="745" spans="1:9" ht="47.25" hidden="1" x14ac:dyDescent="0.25">
      <c r="A745" s="826" t="str">
        <f>IF(B745&gt;0,VLOOKUP(B745,КВСР!A187:B1352,2),IF(C745&gt;0,VLOOKUP(C745,КФСР!A187:B1699,2),IF(D745&gt;0,VLOOKUP(D745,Программа!A$1:B$5124,2),IF(F745&gt;0,VLOOKUP(F745,КВР!A$1:B$5001,2),IF(E745&gt;0,VLOOKUP(E745,Направление!A$1:B$4816,2))))))</f>
        <v>Предоставление субсидий бюджетным, автономным учреждениям и иным некоммерческим организациям</v>
      </c>
      <c r="B745" s="767"/>
      <c r="C745" s="820"/>
      <c r="D745" s="767"/>
      <c r="E745" s="767"/>
      <c r="F745" s="800">
        <v>600</v>
      </c>
      <c r="G745" s="812">
        <v>0</v>
      </c>
      <c r="H745" s="812"/>
      <c r="I745" s="805">
        <f t="shared" si="164"/>
        <v>0</v>
      </c>
    </row>
    <row r="746" spans="1:9" ht="94.5" x14ac:dyDescent="0.25">
      <c r="A746" s="826" t="str">
        <f>IF(B746&gt;0,VLOOKUP(B746,КВСР!A185:B1350,2),IF(C746&gt;0,VLOOKUP(C746,КФСР!A185:B1697,2),IF(D746&gt;0,VLOOKUP(D746,Программа!A$1:B$5124,2),IF(F746&gt;0,VLOOKUP(F746,КВР!A$1:B$5001,2),IF(E746&gt;0,VLOOKUP(E746,Направление!A$1:B$4816,2))))))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46" s="767"/>
      <c r="C746" s="820"/>
      <c r="D746" s="767" t="s">
        <v>322</v>
      </c>
      <c r="E746" s="767"/>
      <c r="F746" s="800"/>
      <c r="G746" s="812">
        <v>564760</v>
      </c>
      <c r="H746" s="812">
        <f>H747</f>
        <v>223944</v>
      </c>
      <c r="I746" s="805">
        <f>I747</f>
        <v>788704</v>
      </c>
    </row>
    <row r="747" spans="1:9" ht="94.5" x14ac:dyDescent="0.25">
      <c r="A747" s="826" t="str">
        <f>IF(B747&gt;0,VLOOKUP(B747,КВСР!A186:B1351,2),IF(C747&gt;0,VLOOKUP(C747,КФСР!A186:B1698,2),IF(D747&gt;0,VLOOKUP(D747,Программа!A$1:B$5124,2),IF(F747&gt;0,VLOOKUP(F747,КВР!A$1:B$5001,2),IF(E747&gt;0,VLOOKUP(E747,Направление!A$1:B$4816,2))))))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747" s="767"/>
      <c r="C747" s="820"/>
      <c r="D747" s="767" t="s">
        <v>1516</v>
      </c>
      <c r="E747" s="767"/>
      <c r="F747" s="800"/>
      <c r="G747" s="812">
        <v>564760</v>
      </c>
      <c r="H747" s="812">
        <f>H748</f>
        <v>223944</v>
      </c>
      <c r="I747" s="805">
        <f>I748</f>
        <v>788704</v>
      </c>
    </row>
    <row r="748" spans="1:9" ht="31.5" x14ac:dyDescent="0.25">
      <c r="A748" s="826" t="str">
        <f>IF(B748&gt;0,VLOOKUP(B748,КВСР!A187:B1352,2),IF(C748&gt;0,VLOOKUP(C748,КФСР!A187:B1699,2),IF(D748&gt;0,VLOOKUP(D748,Программа!A$1:B$5124,2),IF(F748&gt;0,VLOOKUP(F748,КВР!A$1:B$5001,2),IF(E748&gt;0,VLOOKUP(E748,Направление!A$1:B$4816,2))))))</f>
        <v>Внедрение проектной деятельности и бережливых технологий</v>
      </c>
      <c r="B748" s="767"/>
      <c r="C748" s="820"/>
      <c r="D748" s="767"/>
      <c r="E748" s="767">
        <v>12300</v>
      </c>
      <c r="F748" s="800"/>
      <c r="G748" s="812">
        <v>564760</v>
      </c>
      <c r="H748" s="812">
        <f>H749+H750</f>
        <v>223944</v>
      </c>
      <c r="I748" s="805">
        <f>I749+I750</f>
        <v>788704</v>
      </c>
    </row>
    <row r="749" spans="1:9" ht="110.25" x14ac:dyDescent="0.25">
      <c r="A749" s="826" t="str">
        <f>IF(B749&gt;0,VLOOKUP(B749,КВСР!A188:B1353,2),IF(C749&gt;0,VLOOKUP(C749,КФСР!A188:B1700,2),IF(D749&gt;0,VLOOKUP(D749,Программа!A$1:B$5124,2),IF(F749&gt;0,VLOOKUP(F749,КВР!A$1:B$5001,2),IF(E749&gt;0,VLOOKUP(E749,Направление!A$1:B$4816,2))))))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9" s="767"/>
      <c r="C749" s="820"/>
      <c r="D749" s="767"/>
      <c r="E749" s="767"/>
      <c r="F749" s="800">
        <v>100</v>
      </c>
      <c r="G749" s="812">
        <v>564760</v>
      </c>
      <c r="H749" s="812">
        <f>10000+3020+18000+5436</f>
        <v>36456</v>
      </c>
      <c r="I749" s="805">
        <f t="shared" si="164"/>
        <v>601216</v>
      </c>
    </row>
    <row r="750" spans="1:9" ht="47.25" x14ac:dyDescent="0.25">
      <c r="A750" s="826" t="str">
        <f>IF(B750&gt;0,VLOOKUP(B750,КВСР!A189:B1354,2),IF(C750&gt;0,VLOOKUP(C750,КФСР!A189:B1701,2),IF(D750&gt;0,VLOOKUP(D750,Программа!A$1:B$5124,2),IF(F750&gt;0,VLOOKUP(F750,КВР!A$1:B$5001,2),IF(E750&gt;0,VLOOKUP(E750,Направление!A$1:B$4816,2))))))</f>
        <v>Предоставление субсидий бюджетным, автономным учреждениям и иным некоммерческим организациям</v>
      </c>
      <c r="B750" s="767"/>
      <c r="C750" s="820"/>
      <c r="D750" s="767"/>
      <c r="E750" s="767"/>
      <c r="F750" s="800">
        <v>600</v>
      </c>
      <c r="G750" s="812">
        <v>0</v>
      </c>
      <c r="H750" s="812">
        <v>187488</v>
      </c>
      <c r="I750" s="805">
        <f t="shared" si="164"/>
        <v>187488</v>
      </c>
    </row>
    <row r="751" spans="1:9" ht="63" x14ac:dyDescent="0.25">
      <c r="A751" s="826" t="str">
        <f>IF(B751&gt;0,VLOOKUP(B751,КВСР!A185:B1350,2),IF(C751&gt;0,VLOOKUP(C751,КФСР!A185:B1697,2),IF(D751&gt;0,VLOOKUP(D751,Программа!A$1:B$5124,2),IF(F751&gt;0,VLOOKUP(F751,КВР!A$1:B$5001,2),IF(E751&gt;0,VLOOKUP(E751,Направление!A$1:B$4816,2))))))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51" s="767"/>
      <c r="C751" s="820"/>
      <c r="D751" s="767" t="s">
        <v>426</v>
      </c>
      <c r="E751" s="767"/>
      <c r="F751" s="800"/>
      <c r="G751" s="812">
        <v>99000</v>
      </c>
      <c r="H751" s="812">
        <f>H752</f>
        <v>0</v>
      </c>
      <c r="I751" s="805">
        <f t="shared" si="164"/>
        <v>99000</v>
      </c>
    </row>
    <row r="752" spans="1:9" ht="31.5" x14ac:dyDescent="0.25">
      <c r="A752" s="826" t="str">
        <f>IF(B752&gt;0,VLOOKUP(B752,КВСР!A186:B1351,2),IF(C752&gt;0,VLOOKUP(C752,КФСР!A186:B1698,2),IF(D752&gt;0,VLOOKUP(D752,Программа!A$1:B$5124,2),IF(F752&gt;0,VLOOKUP(F752,КВР!A$1:B$5001,2),IF(E752&gt;0,VLOOKUP(E752,Направление!A$1:B$4816,2))))))</f>
        <v>Реализация мероприятий по профилактике правонарушений</v>
      </c>
      <c r="B752" s="767"/>
      <c r="C752" s="820"/>
      <c r="D752" s="767" t="s">
        <v>428</v>
      </c>
      <c r="E752" s="767"/>
      <c r="F752" s="800"/>
      <c r="G752" s="812">
        <v>99000</v>
      </c>
      <c r="H752" s="812">
        <f>H753</f>
        <v>0</v>
      </c>
      <c r="I752" s="805">
        <f t="shared" si="164"/>
        <v>99000</v>
      </c>
    </row>
    <row r="753" spans="1:9" ht="47.25" x14ac:dyDescent="0.25">
      <c r="A753" s="826" t="str">
        <f>IF(B753&gt;0,VLOOKUP(B753,КВСР!A187:B1352,2),IF(C753&gt;0,VLOOKUP(C753,КФСР!A187:B1699,2),IF(D753&gt;0,VLOOKUP(D753,Программа!A$1:B$5124,2),IF(F753&gt;0,VLOOKUP(F753,КВР!A$1:B$5001,2),IF(E753&gt;0,VLOOKUP(E753,Направление!A$1:B$4816,2))))))</f>
        <v>Расходы на профилактику правонарушений и усиления борьбы с преступностью</v>
      </c>
      <c r="B753" s="767"/>
      <c r="C753" s="820"/>
      <c r="D753" s="767"/>
      <c r="E753" s="767">
        <v>12250</v>
      </c>
      <c r="F753" s="800"/>
      <c r="G753" s="812">
        <v>99000</v>
      </c>
      <c r="H753" s="812">
        <f t="shared" ref="H753" si="168">H754</f>
        <v>0</v>
      </c>
      <c r="I753" s="805">
        <f t="shared" si="164"/>
        <v>99000</v>
      </c>
    </row>
    <row r="754" spans="1:9" ht="47.25" x14ac:dyDescent="0.25">
      <c r="A754" s="826" t="str">
        <f>IF(B754&gt;0,VLOOKUP(B754,КВСР!A188:B1353,2),IF(C754&gt;0,VLOOKUP(C754,КФСР!A188:B1700,2),IF(D754&gt;0,VLOOKUP(D754,Программа!A$1:B$5124,2),IF(F754&gt;0,VLOOKUP(F754,КВР!A$1:B$5001,2),IF(E754&gt;0,VLOOKUP(E754,Направление!A$1:B$4816,2))))))</f>
        <v>Предоставление субсидий бюджетным, автономным учреждениям и иным некоммерческим организациям</v>
      </c>
      <c r="B754" s="767"/>
      <c r="C754" s="820"/>
      <c r="D754" s="767"/>
      <c r="E754" s="767"/>
      <c r="F754" s="800">
        <v>600</v>
      </c>
      <c r="G754" s="812">
        <v>99000</v>
      </c>
      <c r="H754" s="812"/>
      <c r="I754" s="805">
        <f t="shared" si="164"/>
        <v>99000</v>
      </c>
    </row>
    <row r="755" spans="1:9" x14ac:dyDescent="0.25">
      <c r="A755" s="826" t="str">
        <f>IF(B755&gt;0,VLOOKUP(B755,КВСР!A194:B1359,2),IF(C755&gt;0,VLOOKUP(C755,КФСР!A194:B1706,2),IF(D755&gt;0,VLOOKUP(D755,Программа!A$1:B$5124,2),IF(F755&gt;0,VLOOKUP(F755,КВР!A$1:B$5001,2),IF(E755&gt;0,VLOOKUP(E755,Направление!A$1:B$4816,2))))))</f>
        <v>Непрограммные расходы бюджета</v>
      </c>
      <c r="B755" s="760"/>
      <c r="C755" s="820"/>
      <c r="D755" s="760" t="s">
        <v>311</v>
      </c>
      <c r="E755" s="760"/>
      <c r="F755" s="763"/>
      <c r="G755" s="812">
        <v>900000</v>
      </c>
      <c r="H755" s="812">
        <f>H756</f>
        <v>0</v>
      </c>
      <c r="I755" s="805">
        <f>I756</f>
        <v>900000</v>
      </c>
    </row>
    <row r="756" spans="1:9" ht="31.5" x14ac:dyDescent="0.25">
      <c r="A756" s="826" t="str">
        <f>IF(B756&gt;0,VLOOKUP(B756,КВСР!A195:B1360,2),IF(C756&gt;0,VLOOKUP(C756,КФСР!A195:B1707,2),IF(D756&gt;0,VLOOKUP(D756,Программа!A$1:B$5124,2),IF(F756&gt;0,VLOOKUP(F756,КВР!A$1:B$5001,2),IF(E756&gt;0,VLOOKUP(E756,Направление!A$1:B$4816,2))))))</f>
        <v>Государственная поддержка в сфере образования</v>
      </c>
      <c r="B756" s="760"/>
      <c r="C756" s="820"/>
      <c r="D756" s="760"/>
      <c r="E756" s="760">
        <v>13710</v>
      </c>
      <c r="F756" s="763"/>
      <c r="G756" s="812">
        <v>900000</v>
      </c>
      <c r="H756" s="812">
        <f>H757</f>
        <v>0</v>
      </c>
      <c r="I756" s="805">
        <f>I757</f>
        <v>900000</v>
      </c>
    </row>
    <row r="757" spans="1:9" ht="47.25" x14ac:dyDescent="0.25">
      <c r="A757" s="826" t="str">
        <f>IF(B757&gt;0,VLOOKUP(B757,КВСР!A196:B1361,2),IF(C757&gt;0,VLOOKUP(C757,КФСР!A196:B1708,2),IF(D757&gt;0,VLOOKUP(D757,Программа!A$1:B$5124,2),IF(F757&gt;0,VLOOKUP(F757,КВР!A$1:B$5001,2),IF(E757&gt;0,VLOOKUP(E757,Направление!A$1:B$4816,2))))))</f>
        <v>Предоставление субсидий бюджетным, автономным учреждениям и иным некоммерческим организациям</v>
      </c>
      <c r="B757" s="760"/>
      <c r="C757" s="820"/>
      <c r="D757" s="760"/>
      <c r="E757" s="760"/>
      <c r="F757" s="763">
        <v>600</v>
      </c>
      <c r="G757" s="812">
        <v>900000</v>
      </c>
      <c r="H757" s="812"/>
      <c r="I757" s="805">
        <f t="shared" si="164"/>
        <v>900000</v>
      </c>
    </row>
    <row r="758" spans="1:9" x14ac:dyDescent="0.25">
      <c r="A758" s="826" t="str">
        <f>IF(B758&gt;0,VLOOKUP(B758,КВСР!A197:B1362,2),IF(C758&gt;0,VLOOKUP(C758,КФСР!A197:B1709,2),IF(D758&gt;0,VLOOKUP(D758,Программа!A$1:B$5124,2),IF(F758&gt;0,VLOOKUP(F758,КВР!A$1:B$5001,2),IF(E758&gt;0,VLOOKUP(E758,Направление!A$1:B$4816,2))))))</f>
        <v>Социальное обеспечение населения</v>
      </c>
      <c r="B758" s="760"/>
      <c r="C758" s="820">
        <v>1003</v>
      </c>
      <c r="D758" s="760"/>
      <c r="E758" s="760"/>
      <c r="F758" s="763"/>
      <c r="G758" s="812">
        <v>249601</v>
      </c>
      <c r="H758" s="812">
        <f t="shared" ref="H758:I762" si="169">H759</f>
        <v>80000</v>
      </c>
      <c r="I758" s="806">
        <f t="shared" si="169"/>
        <v>329601</v>
      </c>
    </row>
    <row r="759" spans="1:9" ht="63" x14ac:dyDescent="0.25">
      <c r="A759" s="826" t="str">
        <f>IF(B759&gt;0,VLOOKUP(B759,КВСР!A198:B1363,2),IF(C759&gt;0,VLOOKUP(C759,КФСР!A198:B1710,2),IF(D759&gt;0,VLOOKUP(D759,Программа!A$1:B$5124,2),IF(F759&gt;0,VLOOKUP(F759,КВР!A$1:B$5001,2),IF(E759&gt;0,VLOOKUP(E759,Направление!A$1:B$4816,2))))))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9" s="760"/>
      <c r="C759" s="820"/>
      <c r="D759" s="760" t="s">
        <v>367</v>
      </c>
      <c r="E759" s="760"/>
      <c r="F759" s="763"/>
      <c r="G759" s="812">
        <v>249601</v>
      </c>
      <c r="H759" s="812">
        <f t="shared" si="169"/>
        <v>80000</v>
      </c>
      <c r="I759" s="806">
        <f t="shared" si="169"/>
        <v>329601</v>
      </c>
    </row>
    <row r="760" spans="1:9" ht="63" x14ac:dyDescent="0.25">
      <c r="A760" s="826" t="str">
        <f>IF(B760&gt;0,VLOOKUP(B760,КВСР!A199:B1364,2),IF(C760&gt;0,VLOOKUP(C760,КФСР!A199:B1711,2),IF(D760&gt;0,VLOOKUP(D760,Программа!A$1:B$5124,2),IF(F760&gt;0,VLOOKUP(F760,КВР!A$1:B$5001,2),IF(E760&gt;0,VLOOKUP(E760,Направление!A$1:B$4816,2))))))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0" s="760"/>
      <c r="C760" s="820"/>
      <c r="D760" s="760" t="s">
        <v>369</v>
      </c>
      <c r="E760" s="760"/>
      <c r="F760" s="763"/>
      <c r="G760" s="812">
        <v>249601</v>
      </c>
      <c r="H760" s="812">
        <f t="shared" si="169"/>
        <v>80000</v>
      </c>
      <c r="I760" s="806">
        <f t="shared" si="169"/>
        <v>329601</v>
      </c>
    </row>
    <row r="761" spans="1:9" x14ac:dyDescent="0.25">
      <c r="A761" s="826" t="str">
        <f>IF(B761&gt;0,VLOOKUP(B761,КВСР!A200:B1365,2),IF(C761&gt;0,VLOOKUP(C761,КФСР!A200:B1712,2),IF(D761&gt;0,VLOOKUP(D761,Программа!A$1:B$5124,2),IF(F761&gt;0,VLOOKUP(F761,КВР!A$1:B$5001,2),IF(E761&gt;0,VLOOKUP(E761,Направление!A$1:B$4816,2))))))</f>
        <v>Обеспечение компенсационных выплат</v>
      </c>
      <c r="B761" s="760"/>
      <c r="C761" s="820"/>
      <c r="D761" s="760" t="s">
        <v>1060</v>
      </c>
      <c r="E761" s="760"/>
      <c r="F761" s="763"/>
      <c r="G761" s="812">
        <v>249601</v>
      </c>
      <c r="H761" s="812">
        <f t="shared" si="169"/>
        <v>80000</v>
      </c>
      <c r="I761" s="806">
        <f t="shared" si="169"/>
        <v>329601</v>
      </c>
    </row>
    <row r="762" spans="1:9" ht="47.25" x14ac:dyDescent="0.25">
      <c r="A762" s="826" t="str">
        <f>IF(B762&gt;0,VLOOKUP(B762,КВСР!A201:B1366,2),IF(C762&gt;0,VLOOKUP(C762,КФСР!A201:B1713,2),IF(D762&gt;0,VLOOKUP(D762,Программа!A$1:B$5124,2),IF(F762&gt;0,VLOOKUP(F762,КВР!A$1:B$5001,2),IF(E762&gt;0,VLOOKUP(E762,Направление!A$1:B$4816,2))))))</f>
        <v>Компенсация части расходов на приобретение путевки в организации отдыха детей и их оздоровления</v>
      </c>
      <c r="B762" s="760"/>
      <c r="C762" s="820"/>
      <c r="D762" s="760"/>
      <c r="E762" s="760">
        <v>74390</v>
      </c>
      <c r="F762" s="763"/>
      <c r="G762" s="812">
        <v>249601</v>
      </c>
      <c r="H762" s="812">
        <f t="shared" si="169"/>
        <v>80000</v>
      </c>
      <c r="I762" s="806">
        <f t="shared" si="169"/>
        <v>329601</v>
      </c>
    </row>
    <row r="763" spans="1:9" ht="31.5" x14ac:dyDescent="0.25">
      <c r="A763" s="826" t="str">
        <f>IF(B763&gt;0,VLOOKUP(B763,КВСР!A202:B1367,2),IF(C763&gt;0,VLOOKUP(C763,КФСР!A202:B1714,2),IF(D763&gt;0,VLOOKUP(D763,Программа!A$1:B$5124,2),IF(F763&gt;0,VLOOKUP(F763,КВР!A$1:B$5001,2),IF(E763&gt;0,VLOOKUP(E763,Направление!A$1:B$4816,2))))))</f>
        <v>Социальное обеспечение и иные выплаты населению</v>
      </c>
      <c r="B763" s="760"/>
      <c r="C763" s="820"/>
      <c r="D763" s="760"/>
      <c r="E763" s="760"/>
      <c r="F763" s="763">
        <v>300</v>
      </c>
      <c r="G763" s="812">
        <v>249601</v>
      </c>
      <c r="H763" s="812">
        <v>80000</v>
      </c>
      <c r="I763" s="805">
        <f>G763+H763</f>
        <v>329601</v>
      </c>
    </row>
    <row r="764" spans="1:9" x14ac:dyDescent="0.25">
      <c r="A764" s="826" t="str">
        <f>IF(B764&gt;0,VLOOKUP(B764,КВСР!A201:B1366,2),IF(C764&gt;0,VLOOKUP(C764,КФСР!A201:B1713,2),IF(D764&gt;0,VLOOKUP(D764,Программа!A$1:B$5124,2),IF(F764&gt;0,VLOOKUP(F764,КВР!A$1:B$5001,2),IF(E764&gt;0,VLOOKUP(E764,Направление!A$1:B$4816,2))))))</f>
        <v>Охрана семьи и детства</v>
      </c>
      <c r="B764" s="767"/>
      <c r="C764" s="820">
        <v>1004</v>
      </c>
      <c r="D764" s="815"/>
      <c r="E764" s="815"/>
      <c r="F764" s="800"/>
      <c r="G764" s="812">
        <v>36615117</v>
      </c>
      <c r="H764" s="812">
        <f>H765</f>
        <v>-3202776.26</v>
      </c>
      <c r="I764" s="805">
        <f>I765</f>
        <v>33412340.740000002</v>
      </c>
    </row>
    <row r="765" spans="1:9" ht="63" x14ac:dyDescent="0.25">
      <c r="A765" s="826" t="str">
        <f>IF(B765&gt;0,VLOOKUP(B765,КВСР!A202:B1367,2),IF(C765&gt;0,VLOOKUP(C765,КФСР!A202:B1714,2),IF(D765&gt;0,VLOOKUP(D765,Программа!A$1:B$5124,2),IF(F765&gt;0,VLOOKUP(F765,КВР!A$1:B$5001,2),IF(E765&gt;0,VLOOKUP(E765,Направление!A$1:B$4816,2))))))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65" s="760"/>
      <c r="C765" s="820"/>
      <c r="D765" s="760" t="s">
        <v>367</v>
      </c>
      <c r="E765" s="760"/>
      <c r="F765" s="800"/>
      <c r="G765" s="812">
        <v>36615117</v>
      </c>
      <c r="H765" s="812">
        <f>H766</f>
        <v>-3202776.26</v>
      </c>
      <c r="I765" s="805">
        <f>I766</f>
        <v>33412340.740000002</v>
      </c>
    </row>
    <row r="766" spans="1:9" ht="63" x14ac:dyDescent="0.25">
      <c r="A766" s="826" t="str">
        <f>IF(B766&gt;0,VLOOKUP(B766,КВСР!A203:B1368,2),IF(C766&gt;0,VLOOKUP(C766,КФСР!A203:B1715,2),IF(D766&gt;0,VLOOKUP(D766,Программа!A$1:B$5124,2),IF(F766&gt;0,VLOOKUP(F766,КВР!A$1:B$5001,2),IF(E766&gt;0,VLOOKUP(E766,Направление!A$1:B$4816,2))))))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6" s="760"/>
      <c r="C766" s="820"/>
      <c r="D766" s="760" t="s">
        <v>369</v>
      </c>
      <c r="E766" s="760"/>
      <c r="F766" s="800"/>
      <c r="G766" s="812">
        <v>36615117</v>
      </c>
      <c r="H766" s="812">
        <f t="shared" ref="H766" si="170">H774+H792+H767+H796</f>
        <v>-3202776.26</v>
      </c>
      <c r="I766" s="805">
        <f t="shared" ref="I766" si="171">I774+I792+I767+I796</f>
        <v>33412340.740000002</v>
      </c>
    </row>
    <row r="767" spans="1:9" ht="47.25" x14ac:dyDescent="0.25">
      <c r="A767" s="826" t="str">
        <f>IF(B767&gt;0,VLOOKUP(B767,КВСР!A204:B1369,2),IF(C767&gt;0,VLOOKUP(C767,КФСР!A204:B1716,2),IF(D767&gt;0,VLOOKUP(D767,Программа!A$1:B$5124,2),IF(F767&gt;0,VLOOKUP(F767,КВР!A$1:B$5001,2),IF(E767&gt;0,VLOOKUP(E767,Направление!A$1:B$4816,2))))))</f>
        <v>Обеспечение качества и доступности образовательных услуг в сфере дошкольного образования</v>
      </c>
      <c r="B767" s="760"/>
      <c r="C767" s="820"/>
      <c r="D767" s="760" t="s">
        <v>370</v>
      </c>
      <c r="E767" s="760"/>
      <c r="F767" s="800"/>
      <c r="G767" s="812">
        <v>103838</v>
      </c>
      <c r="H767" s="812">
        <f>H768+H772+H770</f>
        <v>-101485</v>
      </c>
      <c r="I767" s="805">
        <f>I768+I772+I770</f>
        <v>2353</v>
      </c>
    </row>
    <row r="768" spans="1:9" ht="31.5" x14ac:dyDescent="0.25">
      <c r="A768" s="826" t="str">
        <f>IF(B768&gt;0,VLOOKUP(B768,КВСР!A205:B1370,2),IF(C768&gt;0,VLOOKUP(C768,КФСР!A205:B1717,2),IF(D768&gt;0,VLOOKUP(D768,Программа!A$1:B$5124,2),IF(F768&gt;0,VLOOKUP(F768,КВР!A$1:B$5001,2),IF(E768&gt;0,VLOOKUP(E768,Направление!A$1:B$4816,2))))))</f>
        <v>Обеспечение деятельности дошкольных учреждений</v>
      </c>
      <c r="B768" s="760"/>
      <c r="C768" s="820"/>
      <c r="D768" s="760"/>
      <c r="E768" s="760">
        <v>13010</v>
      </c>
      <c r="F768" s="800"/>
      <c r="G768" s="812">
        <v>200</v>
      </c>
      <c r="H768" s="812">
        <f t="shared" ref="H768:I768" si="172">H769</f>
        <v>0</v>
      </c>
      <c r="I768" s="805">
        <f t="shared" si="172"/>
        <v>200</v>
      </c>
    </row>
    <row r="769" spans="1:9" ht="110.25" x14ac:dyDescent="0.25">
      <c r="A769" s="826" t="str">
        <f>IF(B769&gt;0,VLOOKUP(B769,КВСР!A206:B1371,2),IF(C769&gt;0,VLOOKUP(C769,КФСР!A206:B1718,2),IF(D769&gt;0,VLOOKUP(D769,Программа!A$1:B$5124,2),IF(F769&gt;0,VLOOKUP(F769,КВР!A$1:B$5001,2),IF(E769&gt;0,VLOOKUP(E769,Направление!A$1:B$4816,2))))))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760"/>
      <c r="C769" s="820"/>
      <c r="D769" s="760"/>
      <c r="E769" s="760"/>
      <c r="F769" s="800">
        <v>100</v>
      </c>
      <c r="G769" s="812">
        <v>200</v>
      </c>
      <c r="H769" s="812"/>
      <c r="I769" s="805">
        <f>G769+H769</f>
        <v>200</v>
      </c>
    </row>
    <row r="770" spans="1:9" ht="109.5" hidden="1" customHeight="1" x14ac:dyDescent="0.25">
      <c r="A770" s="826" t="str">
        <f>IF(B770&gt;0,VLOOKUP(B770,КВСР!A207:B1372,2),IF(C770&gt;0,VLOOKUP(C770,КФСР!A207:B1719,2),IF(D770&gt;0,VLOOKUP(D770,Программа!A$1:B$5124,2),IF(F770&gt;0,VLOOKUP(F770,КВР!A$1:B$5001,2),IF(E770&gt;0,VLOOKUP(E770,Направление!A$1:B$4816,2))))))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70" s="760"/>
      <c r="C770" s="820"/>
      <c r="D770" s="760"/>
      <c r="E770" s="760">
        <v>70430</v>
      </c>
      <c r="F770" s="800"/>
      <c r="G770" s="812">
        <v>101485</v>
      </c>
      <c r="H770" s="812">
        <f t="shared" ref="H770:I770" si="173">H771</f>
        <v>-101485</v>
      </c>
      <c r="I770" s="805">
        <f t="shared" si="173"/>
        <v>0</v>
      </c>
    </row>
    <row r="771" spans="1:9" ht="87.75" hidden="1" customHeight="1" x14ac:dyDescent="0.25">
      <c r="A771" s="826" t="str">
        <f>IF(B771&gt;0,VLOOKUP(B771,КВСР!A208:B1373,2),IF(C771&gt;0,VLOOKUP(C771,КФСР!A208:B1720,2),IF(D771&gt;0,VLOOKUP(D771,Программа!A$1:B$5124,2),IF(F771&gt;0,VLOOKUP(F771,КВР!A$1:B$5001,2),IF(E771&gt;0,VLOOKUP(E771,Направление!A$1:B$4816,2))))))</f>
        <v xml:space="preserve">Закупка товаров, работ и услуг для обеспечения государственных (муниципальных) нужд
</v>
      </c>
      <c r="B771" s="760"/>
      <c r="C771" s="820"/>
      <c r="D771" s="760"/>
      <c r="E771" s="760"/>
      <c r="F771" s="800">
        <v>200</v>
      </c>
      <c r="G771" s="812">
        <v>101485</v>
      </c>
      <c r="H771" s="812">
        <v>-101485</v>
      </c>
      <c r="I771" s="805">
        <f>SUM(G771:H771)</f>
        <v>0</v>
      </c>
    </row>
    <row r="772" spans="1:9" ht="63" x14ac:dyDescent="0.25">
      <c r="A772" s="826" t="str">
        <f>IF(B772&gt;0,VLOOKUP(B772,КВСР!A207:B1372,2),IF(C772&gt;0,VLOOKUP(C772,КФСР!A207:B1719,2),IF(D772&gt;0,VLOOKUP(D772,Программа!A$1:B$5124,2),IF(F772&gt;0,VLOOKUP(F772,КВР!A$1:B$5001,2),IF(E772&gt;0,VLOOKUP(E772,Направление!A$1:B$4816,2))))))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72" s="760"/>
      <c r="C772" s="820"/>
      <c r="D772" s="760"/>
      <c r="E772" s="760">
        <v>73110</v>
      </c>
      <c r="F772" s="800"/>
      <c r="G772" s="812">
        <v>2153</v>
      </c>
      <c r="H772" s="812">
        <f t="shared" ref="H772:I772" si="174">H773</f>
        <v>0</v>
      </c>
      <c r="I772" s="805">
        <f t="shared" si="174"/>
        <v>2153</v>
      </c>
    </row>
    <row r="773" spans="1:9" ht="110.25" x14ac:dyDescent="0.25">
      <c r="A773" s="826" t="str">
        <f>IF(B773&gt;0,VLOOKUP(B773,КВСР!A208:B1373,2),IF(C773&gt;0,VLOOKUP(C773,КФСР!A208:B1720,2),IF(D773&gt;0,VLOOKUP(D773,Программа!A$1:B$5124,2),IF(F773&gt;0,VLOOKUP(F773,КВР!A$1:B$5001,2),IF(E773&gt;0,VLOOKUP(E773,Направление!A$1:B$4816,2))))))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760"/>
      <c r="C773" s="820"/>
      <c r="D773" s="760"/>
      <c r="E773" s="760"/>
      <c r="F773" s="800">
        <v>100</v>
      </c>
      <c r="G773" s="812">
        <v>2153</v>
      </c>
      <c r="H773" s="812"/>
      <c r="I773" s="805">
        <f>G773+H773</f>
        <v>2153</v>
      </c>
    </row>
    <row r="774" spans="1:9" ht="63" x14ac:dyDescent="0.25">
      <c r="A774" s="826" t="str">
        <f>IF(B774&gt;0,VLOOKUP(B774,КВСР!A204:B1369,2),IF(C774&gt;0,VLOOKUP(C774,КФСР!A204:B1716,2),IF(D774&gt;0,VLOOKUP(D774,Программа!A$1:B$5124,2),IF(F774&gt;0,VLOOKUP(F774,КВР!A$1:B$5001,2),IF(E774&gt;0,VLOOKUP(E774,Направление!A$1:B$4816,2))))))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774" s="760"/>
      <c r="C774" s="820"/>
      <c r="D774" s="760" t="s">
        <v>416</v>
      </c>
      <c r="E774" s="760"/>
      <c r="F774" s="800"/>
      <c r="G774" s="812">
        <v>29500277</v>
      </c>
      <c r="H774" s="812">
        <f>H777+H779+H781+H784+H787+H775</f>
        <v>-2415340.4699999997</v>
      </c>
      <c r="I774" s="805">
        <f>I777+I779+I781+I784+I787+I775</f>
        <v>27084936.530000001</v>
      </c>
    </row>
    <row r="775" spans="1:9" ht="31.5" hidden="1" x14ac:dyDescent="0.25">
      <c r="A775" s="826" t="str">
        <f>IF(B775&gt;0,VLOOKUP(B775,КВСР!A205:B1370,2),IF(C775&gt;0,VLOOKUP(C775,КФСР!A205:B1717,2),IF(D775&gt;0,VLOOKUP(D775,Программа!A$1:B$5124,2),IF(F775&gt;0,VLOOKUP(F775,КВР!A$1:B$5001,2),IF(E775&gt;0,VLOOKUP(E775,Направление!A$1:B$4816,2))))))</f>
        <v xml:space="preserve">Государственная поддержка опеки и попечительства </v>
      </c>
      <c r="B775" s="760"/>
      <c r="C775" s="820"/>
      <c r="D775" s="760"/>
      <c r="E775" s="760">
        <v>13750</v>
      </c>
      <c r="F775" s="800"/>
      <c r="G775" s="812">
        <v>0</v>
      </c>
      <c r="H775" s="812">
        <f>H776</f>
        <v>0</v>
      </c>
      <c r="I775" s="805">
        <f t="shared" si="164"/>
        <v>0</v>
      </c>
    </row>
    <row r="776" spans="1:9" ht="31.5" hidden="1" x14ac:dyDescent="0.25">
      <c r="A776" s="826" t="str">
        <f>IF(B776&gt;0,VLOOKUP(B776,КВСР!A205:B1370,2),IF(C776&gt;0,VLOOKUP(C776,КФСР!A205:B1717,2),IF(D776&gt;0,VLOOKUP(D776,Программа!A$1:B$5124,2),IF(F776&gt;0,VLOOKUP(F776,КВР!A$1:B$5001,2),IF(E776&gt;0,VLOOKUP(E776,Направление!A$1:B$4816,2))))))</f>
        <v>Социальное обеспечение и иные выплаты населению</v>
      </c>
      <c r="B776" s="760"/>
      <c r="C776" s="820"/>
      <c r="D776" s="760"/>
      <c r="E776" s="760"/>
      <c r="F776" s="800">
        <v>300</v>
      </c>
      <c r="G776" s="812">
        <v>0</v>
      </c>
      <c r="H776" s="812"/>
      <c r="I776" s="805">
        <f t="shared" si="164"/>
        <v>0</v>
      </c>
    </row>
    <row r="777" spans="1:9" ht="47.25" hidden="1" x14ac:dyDescent="0.25">
      <c r="A777" s="826" t="str">
        <f>IF(B777&gt;0,VLOOKUP(B777,КВСР!A204:B1369,2),IF(C777&gt;0,VLOOKUP(C777,КФСР!A204:B1716,2),IF(D777&gt;0,VLOOKUP(D777,Программа!A$1:B$5124,2),IF(F777&gt;0,VLOOKUP(F777,КВР!A$1:B$5001,2),IF(E777&gt;0,VLOOKUP(E777,Направление!A$1:B$4816,2))))))</f>
        <v xml:space="preserve">Расходы на укрепление института семьи, повышение качества жизни семей с несовершеннолетними детьми </v>
      </c>
      <c r="B777" s="760"/>
      <c r="C777" s="820"/>
      <c r="D777" s="760"/>
      <c r="E777" s="760" t="s">
        <v>434</v>
      </c>
      <c r="F777" s="800"/>
      <c r="G777" s="812">
        <v>0</v>
      </c>
      <c r="H777" s="812">
        <f>H778</f>
        <v>0</v>
      </c>
      <c r="I777" s="805">
        <f t="shared" si="164"/>
        <v>0</v>
      </c>
    </row>
    <row r="778" spans="1:9" ht="63" hidden="1" x14ac:dyDescent="0.25">
      <c r="A778" s="826" t="str">
        <f>IF(B778&gt;0,VLOOKUP(B778,КВСР!A205:B1370,2),IF(C778&gt;0,VLOOKUP(C778,КФСР!A205:B1717,2),IF(D778&gt;0,VLOOKUP(D778,Программа!A$1:B$5124,2),IF(F778&gt;0,VLOOKUP(F778,КВР!A$1:B$5001,2),IF(E778&gt;0,VLOOKUP(E778,Направление!A$1:B$4816,2))))))</f>
        <v xml:space="preserve">Закупка товаров, работ и услуг для обеспечения государственных (муниципальных) нужд
</v>
      </c>
      <c r="B778" s="760"/>
      <c r="C778" s="820"/>
      <c r="D778" s="815"/>
      <c r="E778" s="815"/>
      <c r="F778" s="800">
        <v>200</v>
      </c>
      <c r="G778" s="812">
        <v>0</v>
      </c>
      <c r="H778" s="812"/>
      <c r="I778" s="805">
        <f t="shared" si="164"/>
        <v>0</v>
      </c>
    </row>
    <row r="779" spans="1:9" ht="78.75" hidden="1" x14ac:dyDescent="0.25">
      <c r="A779" s="826" t="str">
        <f>IF(B779&gt;0,VLOOKUP(B779,КВСР!A207:B1372,2),IF(C779&gt;0,VLOOKUP(C779,КФСР!A207:B1719,2),IF(D779&gt;0,VLOOKUP(D779,Программа!A$1:B$5124,2),IF(F779&gt;0,VLOOKUP(F779,КВР!A$1:B$5001,2),IF(E779&gt;0,VLOOKUP(E779,Направление!A$1:B$4816,2))))))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79" s="760"/>
      <c r="C779" s="820"/>
      <c r="D779" s="760"/>
      <c r="E779" s="760">
        <v>52600</v>
      </c>
      <c r="F779" s="800"/>
      <c r="G779" s="812">
        <v>0</v>
      </c>
      <c r="H779" s="812">
        <f>H780</f>
        <v>0</v>
      </c>
      <c r="I779" s="805">
        <f>I780</f>
        <v>0</v>
      </c>
    </row>
    <row r="780" spans="1:9" ht="31.5" hidden="1" x14ac:dyDescent="0.25">
      <c r="A780" s="826" t="str">
        <f>IF(B780&gt;0,VLOOKUP(B780,КВСР!A208:B1373,2),IF(C780&gt;0,VLOOKUP(C780,КФСР!A208:B1720,2),IF(D780&gt;0,VLOOKUP(D780,Программа!A$1:B$5124,2),IF(F780&gt;0,VLOOKUP(F780,КВР!A$1:B$5001,2),IF(E780&gt;0,VLOOKUP(E780,Направление!A$1:B$4816,2))))))</f>
        <v>Социальное обеспечение и иные выплаты населению</v>
      </c>
      <c r="B780" s="760"/>
      <c r="C780" s="820"/>
      <c r="D780" s="760"/>
      <c r="E780" s="760"/>
      <c r="F780" s="800">
        <v>300</v>
      </c>
      <c r="G780" s="812">
        <v>0</v>
      </c>
      <c r="H780" s="812"/>
      <c r="I780" s="805">
        <f t="shared" si="164"/>
        <v>0</v>
      </c>
    </row>
    <row r="781" spans="1:9" ht="94.5" hidden="1" x14ac:dyDescent="0.25">
      <c r="A781" s="826" t="str">
        <f>IF(B781&gt;0,VLOOKUP(B781,КВСР!A209:B1374,2),IF(C781&gt;0,VLOOKUP(C781,КФСР!A209:B1721,2),IF(D781&gt;0,VLOOKUP(D781,Программа!A$1:B$5124,2),IF(F781&gt;0,VLOOKUP(F781,КВР!A$1:B$5001,2),IF(E781&gt;0,VLOOKUP(E781,Направление!A$1:B$4816,2))))))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81" s="760"/>
      <c r="C781" s="820"/>
      <c r="D781" s="760"/>
      <c r="E781" s="760">
        <v>70430</v>
      </c>
      <c r="F781" s="800"/>
      <c r="G781" s="812">
        <v>0</v>
      </c>
      <c r="H781" s="812">
        <f t="shared" ref="H781:I781" si="175">H783+H782</f>
        <v>0</v>
      </c>
      <c r="I781" s="805">
        <f t="shared" si="175"/>
        <v>0</v>
      </c>
    </row>
    <row r="782" spans="1:9" ht="63" hidden="1" x14ac:dyDescent="0.25">
      <c r="A782" s="826" t="str">
        <f>IF(B782&gt;0,VLOOKUP(B782,КВСР!A210:B1375,2),IF(C782&gt;0,VLOOKUP(C782,КФСР!A210:B1722,2),IF(D782&gt;0,VLOOKUP(D782,Программа!A$1:B$5124,2),IF(F782&gt;0,VLOOKUP(F782,КВР!A$1:B$5001,2),IF(E782&gt;0,VLOOKUP(E782,Направление!A$1:B$4816,2))))))</f>
        <v xml:space="preserve">Закупка товаров, работ и услуг для обеспечения государственных (муниципальных) нужд
</v>
      </c>
      <c r="B782" s="760"/>
      <c r="C782" s="820"/>
      <c r="D782" s="760"/>
      <c r="E782" s="760"/>
      <c r="F782" s="800">
        <v>200</v>
      </c>
      <c r="G782" s="812">
        <v>0</v>
      </c>
      <c r="H782" s="812"/>
      <c r="I782" s="805">
        <f t="shared" si="164"/>
        <v>0</v>
      </c>
    </row>
    <row r="783" spans="1:9" ht="31.5" hidden="1" x14ac:dyDescent="0.25">
      <c r="A783" s="826" t="str">
        <f>IF(B783&gt;0,VLOOKUP(B783,КВСР!A210:B1375,2),IF(C783&gt;0,VLOOKUP(C783,КФСР!A210:B1722,2),IF(D783&gt;0,VLOOKUP(D783,Программа!A$1:B$5124,2),IF(F783&gt;0,VLOOKUP(F783,КВР!A$1:B$5001,2),IF(E783&gt;0,VLOOKUP(E783,Направление!A$1:B$4816,2))))))</f>
        <v>Социальное обеспечение и иные выплаты населению</v>
      </c>
      <c r="B783" s="760"/>
      <c r="C783" s="820"/>
      <c r="D783" s="760"/>
      <c r="E783" s="760"/>
      <c r="F783" s="800">
        <v>300</v>
      </c>
      <c r="G783" s="812">
        <v>0</v>
      </c>
      <c r="H783" s="812"/>
      <c r="I783" s="805">
        <f t="shared" si="164"/>
        <v>0</v>
      </c>
    </row>
    <row r="784" spans="1:9" ht="78.75" x14ac:dyDescent="0.25">
      <c r="A784" s="826" t="str">
        <f>IF(B784&gt;0,VLOOKUP(B784,КВСР!A211:B1376,2),IF(C784&gt;0,VLOOKUP(C784,КФСР!A211:B1723,2),IF(D784&gt;0,VLOOKUP(D784,Программа!A$1:B$5124,2),IF(F784&gt;0,VLOOKUP(F784,КВР!A$1:B$5001,2),IF(E784&gt;0,VLOOKUP(E784,Направление!A$1:B$4816,2))))))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84" s="760"/>
      <c r="C784" s="820"/>
      <c r="D784" s="760"/>
      <c r="E784" s="760">
        <v>70460</v>
      </c>
      <c r="F784" s="800"/>
      <c r="G784" s="812">
        <v>25872992</v>
      </c>
      <c r="H784" s="812">
        <f>H785+H786</f>
        <v>-1801353.47</v>
      </c>
      <c r="I784" s="805">
        <f>I785+I786</f>
        <v>24071638.530000001</v>
      </c>
    </row>
    <row r="785" spans="1:9" ht="63" x14ac:dyDescent="0.25">
      <c r="A785" s="826" t="str">
        <f>IF(B785&gt;0,VLOOKUP(B785,КВСР!A212:B1377,2),IF(C785&gt;0,VLOOKUP(C785,КФСР!A212:B1724,2),IF(D785&gt;0,VLOOKUP(D785,Программа!A$1:B$5124,2),IF(F785&gt;0,VLOOKUP(F785,КВР!A$1:B$5001,2),IF(E785&gt;0,VLOOKUP(E785,Направление!A$1:B$4816,2))))))</f>
        <v xml:space="preserve">Закупка товаров, работ и услуг для обеспечения государственных (муниципальных) нужд
</v>
      </c>
      <c r="B785" s="760"/>
      <c r="C785" s="820"/>
      <c r="D785" s="760"/>
      <c r="E785" s="760"/>
      <c r="F785" s="800">
        <v>200</v>
      </c>
      <c r="G785" s="812">
        <v>76413</v>
      </c>
      <c r="H785" s="812">
        <v>-6381.47</v>
      </c>
      <c r="I785" s="805">
        <f t="shared" si="164"/>
        <v>70031.53</v>
      </c>
    </row>
    <row r="786" spans="1:9" ht="31.5" x14ac:dyDescent="0.25">
      <c r="A786" s="826" t="str">
        <f>IF(B786&gt;0,VLOOKUP(B786,КВСР!A213:B1378,2),IF(C786&gt;0,VLOOKUP(C786,КФСР!A213:B1725,2),IF(D786&gt;0,VLOOKUP(D786,Программа!A$1:B$5124,2),IF(F786&gt;0,VLOOKUP(F786,КВР!A$1:B$5001,2),IF(E786&gt;0,VLOOKUP(E786,Направление!A$1:B$4816,2))))))</f>
        <v>Социальное обеспечение и иные выплаты населению</v>
      </c>
      <c r="B786" s="760"/>
      <c r="C786" s="820"/>
      <c r="D786" s="760"/>
      <c r="E786" s="760"/>
      <c r="F786" s="800">
        <v>300</v>
      </c>
      <c r="G786" s="812">
        <v>25796579</v>
      </c>
      <c r="H786" s="812">
        <v>-1794972</v>
      </c>
      <c r="I786" s="805">
        <f t="shared" si="164"/>
        <v>24001607</v>
      </c>
    </row>
    <row r="787" spans="1:9" ht="47.25" x14ac:dyDescent="0.25">
      <c r="A787" s="826" t="str">
        <f>IF(B787&gt;0,VLOOKUP(B787,КВСР!A214:B1379,2),IF(C787&gt;0,VLOOKUP(C787,КФСР!A214:B1726,2),IF(D787&gt;0,VLOOKUP(D787,Программа!A$1:B$5124,2),IF(F787&gt;0,VLOOKUP(F787,КВР!A$1:B$5001,2),IF(E787&gt;0,VLOOKUP(E787,Направление!A$1:B$4816,2))))))</f>
        <v>Государственная поддержка опеки и попечительства за счет средств областного бюджета</v>
      </c>
      <c r="B787" s="760"/>
      <c r="C787" s="820"/>
      <c r="D787" s="760"/>
      <c r="E787" s="760">
        <v>70500</v>
      </c>
      <c r="F787" s="800"/>
      <c r="G787" s="812">
        <v>3627285</v>
      </c>
      <c r="H787" s="812">
        <f>H789+H790+H791+H788</f>
        <v>-613987</v>
      </c>
      <c r="I787" s="805">
        <f>I789+I790+I791+I788</f>
        <v>3013298</v>
      </c>
    </row>
    <row r="788" spans="1:9" ht="110.25" hidden="1" x14ac:dyDescent="0.25">
      <c r="A788" s="826" t="str">
        <f>IF(B788&gt;0,VLOOKUP(B788,КВСР!A215:B1380,2),IF(C788&gt;0,VLOOKUP(C788,КФСР!A215:B1727,2),IF(D788&gt;0,VLOOKUP(D788,Программа!A$1:B$5124,2),IF(F788&gt;0,VLOOKUP(F788,КВР!A$1:B$5001,2),IF(E788&gt;0,VLOOKUP(E788,Направление!A$1:B$4816,2))))))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8" s="760"/>
      <c r="C788" s="820"/>
      <c r="D788" s="760"/>
      <c r="E788" s="760"/>
      <c r="F788" s="800">
        <v>100</v>
      </c>
      <c r="G788" s="812">
        <v>0</v>
      </c>
      <c r="H788" s="812"/>
      <c r="I788" s="805">
        <f t="shared" si="164"/>
        <v>0</v>
      </c>
    </row>
    <row r="789" spans="1:9" ht="63" x14ac:dyDescent="0.25">
      <c r="A789" s="826" t="str">
        <f>IF(B789&gt;0,VLOOKUP(B789,КВСР!A215:B1380,2),IF(C789&gt;0,VLOOKUP(C789,КФСР!A215:B1727,2),IF(D789&gt;0,VLOOKUP(D789,Программа!A$1:B$5124,2),IF(F789&gt;0,VLOOKUP(F789,КВР!A$1:B$5001,2),IF(E789&gt;0,VLOOKUP(E789,Направление!A$1:B$4816,2))))))</f>
        <v xml:space="preserve">Закупка товаров, работ и услуг для обеспечения государственных (муниципальных) нужд
</v>
      </c>
      <c r="B789" s="760"/>
      <c r="C789" s="820"/>
      <c r="D789" s="760"/>
      <c r="E789" s="760"/>
      <c r="F789" s="800">
        <v>200</v>
      </c>
      <c r="G789" s="812">
        <v>2810</v>
      </c>
      <c r="H789" s="812">
        <v>-1897.33</v>
      </c>
      <c r="I789" s="805">
        <f t="shared" si="164"/>
        <v>912.67000000000007</v>
      </c>
    </row>
    <row r="790" spans="1:9" ht="31.5" x14ac:dyDescent="0.25">
      <c r="A790" s="826" t="str">
        <f>IF(B790&gt;0,VLOOKUP(B790,КВСР!A216:B1381,2),IF(C790&gt;0,VLOOKUP(C790,КФСР!A216:B1728,2),IF(D790&gt;0,VLOOKUP(D790,Программа!A$1:B$5124,2),IF(F790&gt;0,VLOOKUP(F790,КВР!A$1:B$5001,2),IF(E790&gt;0,VLOOKUP(E790,Направление!A$1:B$4816,2))))))</f>
        <v>Социальное обеспечение и иные выплаты населению</v>
      </c>
      <c r="B790" s="760"/>
      <c r="C790" s="820"/>
      <c r="D790" s="760"/>
      <c r="E790" s="760"/>
      <c r="F790" s="800">
        <v>300</v>
      </c>
      <c r="G790" s="812">
        <v>1630403</v>
      </c>
      <c r="H790" s="812">
        <v>-612089.67000000004</v>
      </c>
      <c r="I790" s="805">
        <f t="shared" si="164"/>
        <v>1018313.33</v>
      </c>
    </row>
    <row r="791" spans="1:9" ht="47.25" x14ac:dyDescent="0.25">
      <c r="A791" s="826" t="str">
        <f>IF(B791&gt;0,VLOOKUP(B791,КВСР!A217:B1382,2),IF(C791&gt;0,VLOOKUP(C791,КФСР!A217:B1729,2),IF(D791&gt;0,VLOOKUP(D791,Программа!A$1:B$5124,2),IF(F791&gt;0,VLOOKUP(F791,КВР!A$1:B$5001,2),IF(E791&gt;0,VLOOKUP(E791,Направление!A$1:B$4816,2))))))</f>
        <v>Предоставление субсидий бюджетным, автономным учреждениям и иным некоммерческим организациям</v>
      </c>
      <c r="B791" s="760"/>
      <c r="C791" s="820"/>
      <c r="D791" s="760"/>
      <c r="E791" s="760"/>
      <c r="F791" s="800">
        <v>600</v>
      </c>
      <c r="G791" s="812">
        <v>1994072</v>
      </c>
      <c r="H791" s="812"/>
      <c r="I791" s="805">
        <f t="shared" si="164"/>
        <v>1994072</v>
      </c>
    </row>
    <row r="792" spans="1:9" x14ac:dyDescent="0.25">
      <c r="A792" s="826" t="str">
        <f>IF(B792&gt;0,VLOOKUP(B792,КВСР!A218:B1383,2),IF(C792&gt;0,VLOOKUP(C792,КФСР!A218:B1730,2),IF(D792&gt;0,VLOOKUP(D792,Программа!A$1:B$5124,2),IF(F792&gt;0,VLOOKUP(F792,КВР!A$1:B$5001,2),IF(E792&gt;0,VLOOKUP(E792,Направление!A$1:B$4816,2))))))</f>
        <v>Обеспечение компенсационных выплат</v>
      </c>
      <c r="B792" s="760"/>
      <c r="C792" s="820"/>
      <c r="D792" s="760" t="s">
        <v>1060</v>
      </c>
      <c r="E792" s="760"/>
      <c r="F792" s="800"/>
      <c r="G792" s="812">
        <v>7011002</v>
      </c>
      <c r="H792" s="812">
        <f>H793</f>
        <v>-685950.79</v>
      </c>
      <c r="I792" s="805">
        <f>I793</f>
        <v>6325051.21</v>
      </c>
    </row>
    <row r="793" spans="1:9" ht="94.5" x14ac:dyDescent="0.25">
      <c r="A793" s="826" t="str">
        <f>IF(B793&gt;0,VLOOKUP(B793,КВСР!A207:B1372,2),IF(C793&gt;0,VLOOKUP(C793,КФСР!A207:B1719,2),IF(D793&gt;0,VLOOKUP(D793,Программа!A$1:B$5124,2),IF(F793&gt;0,VLOOKUP(F793,КВР!A$1:B$5001,2),IF(E793&gt;0,VLOOKUP(E793,Направление!A$1:B$4816,2))))))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93" s="760"/>
      <c r="C793" s="820"/>
      <c r="D793" s="760"/>
      <c r="E793" s="760">
        <v>70430</v>
      </c>
      <c r="F793" s="800"/>
      <c r="G793" s="812">
        <v>7011002</v>
      </c>
      <c r="H793" s="812">
        <f>H794+H795</f>
        <v>-685950.79</v>
      </c>
      <c r="I793" s="805">
        <f>I794+I795</f>
        <v>6325051.21</v>
      </c>
    </row>
    <row r="794" spans="1:9" ht="63" x14ac:dyDescent="0.25">
      <c r="A794" s="826" t="str">
        <f>IF(B794&gt;0,VLOOKUP(B794,КВСР!A208:B1373,2),IF(C794&gt;0,VLOOKUP(C794,КФСР!A208:B1720,2),IF(D794&gt;0,VLOOKUP(D794,Программа!A$1:B$5124,2),IF(F794&gt;0,VLOOKUP(F794,КВР!A$1:B$5001,2),IF(E794&gt;0,VLOOKUP(E794,Направление!A$1:B$4816,2))))))</f>
        <v xml:space="preserve">Закупка товаров, работ и услуг для обеспечения государственных (муниципальных) нужд
</v>
      </c>
      <c r="B794" s="760"/>
      <c r="C794" s="820"/>
      <c r="D794" s="760"/>
      <c r="E794" s="760"/>
      <c r="F794" s="800">
        <v>200</v>
      </c>
      <c r="G794" s="812">
        <v>103611</v>
      </c>
      <c r="H794" s="812">
        <v>-10137</v>
      </c>
      <c r="I794" s="805">
        <f t="shared" si="164"/>
        <v>93474</v>
      </c>
    </row>
    <row r="795" spans="1:9" ht="31.5" x14ac:dyDescent="0.25">
      <c r="A795" s="826" t="str">
        <f>IF(B795&gt;0,VLOOKUP(B795,КВСР!A209:B1374,2),IF(C795&gt;0,VLOOKUP(C795,КФСР!A209:B1721,2),IF(D795&gt;0,VLOOKUP(D795,Программа!A$1:B$5124,2),IF(F795&gt;0,VLOOKUP(F795,КВР!A$1:B$5001,2),IF(E795&gt;0,VLOOKUP(E795,Направление!A$1:B$4816,2))))))</f>
        <v>Социальное обеспечение и иные выплаты населению</v>
      </c>
      <c r="B795" s="760"/>
      <c r="C795" s="820"/>
      <c r="D795" s="760"/>
      <c r="E795" s="760"/>
      <c r="F795" s="800">
        <v>300</v>
      </c>
      <c r="G795" s="812">
        <v>6907391</v>
      </c>
      <c r="H795" s="812">
        <v>-675813.79</v>
      </c>
      <c r="I795" s="805">
        <f t="shared" si="164"/>
        <v>6231577.21</v>
      </c>
    </row>
    <row r="796" spans="1:9" ht="31.5" hidden="1" x14ac:dyDescent="0.25">
      <c r="A796" s="826" t="str">
        <f>IF(B796&gt;0,VLOOKUP(B796,КВСР!A210:B1375,2),IF(C796&gt;0,VLOOKUP(C796,КФСР!A210:B1722,2),IF(D796&gt;0,VLOOKUP(D796,Программа!A$1:B$5124,2),IF(F796&gt;0,VLOOKUP(F796,КВР!A$1:B$5001,2),IF(E796&gt;0,VLOOKUP(E796,Направление!A$1:B$4816,2))))))</f>
        <v>Обеспечение эффективности управления системой образования</v>
      </c>
      <c r="B796" s="760"/>
      <c r="C796" s="820"/>
      <c r="D796" s="760" t="s">
        <v>1057</v>
      </c>
      <c r="E796" s="760"/>
      <c r="F796" s="800"/>
      <c r="G796" s="812">
        <v>0</v>
      </c>
      <c r="H796" s="812">
        <f t="shared" ref="H796:I797" si="176">H797</f>
        <v>0</v>
      </c>
      <c r="I796" s="805">
        <f t="shared" si="176"/>
        <v>0</v>
      </c>
    </row>
    <row r="797" spans="1:9" ht="63" hidden="1" x14ac:dyDescent="0.25">
      <c r="A797" s="826" t="str">
        <f>IF(B797&gt;0,VLOOKUP(B797,КВСР!A211:B1376,2),IF(C797&gt;0,VLOOKUP(C797,КФСР!A211:B1723,2),IF(D797&gt;0,VLOOKUP(D797,Программа!A$1:B$5124,2),IF(F797&gt;0,VLOOKUP(F797,КВР!A$1:B$5001,2),IF(E797&gt;0,VLOOKUP(E797,Направление!A$1:B$4816,2))))))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97" s="760"/>
      <c r="C797" s="820"/>
      <c r="D797" s="760"/>
      <c r="E797" s="760" t="s">
        <v>1169</v>
      </c>
      <c r="F797" s="800"/>
      <c r="G797" s="812">
        <v>0</v>
      </c>
      <c r="H797" s="812">
        <f t="shared" si="176"/>
        <v>0</v>
      </c>
      <c r="I797" s="805">
        <f t="shared" si="176"/>
        <v>0</v>
      </c>
    </row>
    <row r="798" spans="1:9" ht="110.25" hidden="1" x14ac:dyDescent="0.25">
      <c r="A798" s="826" t="str">
        <f>IF(B798&gt;0,VLOOKUP(B798,КВСР!A212:B1377,2),IF(C798&gt;0,VLOOKUP(C798,КФСР!A212:B1724,2),IF(D798&gt;0,VLOOKUP(D798,Программа!A$1:B$5124,2),IF(F798&gt;0,VLOOKUP(F798,КВР!A$1:B$5001,2),IF(E798&gt;0,VLOOKUP(E798,Направление!A$1:B$4816,2))))))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8" s="760"/>
      <c r="C798" s="820"/>
      <c r="D798" s="760"/>
      <c r="E798" s="760"/>
      <c r="F798" s="800">
        <v>100</v>
      </c>
      <c r="G798" s="812">
        <v>0</v>
      </c>
      <c r="H798" s="812"/>
      <c r="I798" s="805">
        <f>G798+H798</f>
        <v>0</v>
      </c>
    </row>
    <row r="799" spans="1:9" s="119" customFormat="1" x14ac:dyDescent="0.25">
      <c r="A799" s="826" t="str">
        <f>IF(B799&gt;0,VLOOKUP(B799,КВСР!A228:B1393,2),IF(C799&gt;0,VLOOKUP(C799,КФСР!A228:B1740,2),IF(D799&gt;0,VLOOKUP(D799,Программа!A$1:B$5124,2),IF(F799&gt;0,VLOOKUP(F799,КВР!A$1:B$5001,2),IF(E799&gt;0,VLOOKUP(E799,Направление!A$1:B$4816,2))))))</f>
        <v>Массовый спорт</v>
      </c>
      <c r="B799" s="767"/>
      <c r="C799" s="820">
        <v>1102</v>
      </c>
      <c r="D799" s="760"/>
      <c r="E799" s="760"/>
      <c r="F799" s="763"/>
      <c r="G799" s="812">
        <v>48004536.460000001</v>
      </c>
      <c r="H799" s="812">
        <f>H805+H826+H800</f>
        <v>90914</v>
      </c>
      <c r="I799" s="805">
        <f>I805+I826+I800</f>
        <v>48095450.460000001</v>
      </c>
    </row>
    <row r="800" spans="1:9" s="119" customFormat="1" ht="63" x14ac:dyDescent="0.25">
      <c r="A800" s="826" t="str">
        <f>IF(B800&gt;0,VLOOKUP(B800,КВСР!A229:B1394,2),IF(C800&gt;0,VLOOKUP(C800,КФСР!A229:B1741,2),IF(D800&gt;0,VLOOKUP(D800,Программа!A$1:B$5124,2),IF(F800&gt;0,VLOOKUP(F800,КВР!A$1:B$5001,2),IF(E800&gt;0,VLOOKUP(E800,Направление!A$1:B$4816,2))))))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800" s="767"/>
      <c r="C800" s="820"/>
      <c r="D800" s="760" t="s">
        <v>396</v>
      </c>
      <c r="E800" s="760"/>
      <c r="F800" s="763"/>
      <c r="G800" s="812">
        <v>15000</v>
      </c>
      <c r="H800" s="812">
        <f t="shared" ref="H800:I803" si="177">H801</f>
        <v>0</v>
      </c>
      <c r="I800" s="805">
        <f t="shared" si="177"/>
        <v>15000</v>
      </c>
    </row>
    <row r="801" spans="1:9" s="119" customFormat="1" ht="94.5" x14ac:dyDescent="0.25">
      <c r="A801" s="826" t="str">
        <f>IF(B801&gt;0,VLOOKUP(B801,КВСР!A230:B1395,2),IF(C801&gt;0,VLOOKUP(C801,КФСР!A230:B1742,2),IF(D801&gt;0,VLOOKUP(D801,Программа!A$1:B$5124,2),IF(F801&gt;0,VLOOKUP(F801,КВР!A$1:B$5001,2),IF(E801&gt;0,VLOOKUP(E801,Направление!A$1:B$4816,2))))))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01" s="767"/>
      <c r="C801" s="820"/>
      <c r="D801" s="760" t="s">
        <v>398</v>
      </c>
      <c r="E801" s="760"/>
      <c r="F801" s="763"/>
      <c r="G801" s="812">
        <v>15000</v>
      </c>
      <c r="H801" s="812">
        <f t="shared" si="177"/>
        <v>0</v>
      </c>
      <c r="I801" s="805">
        <f t="shared" si="177"/>
        <v>15000</v>
      </c>
    </row>
    <row r="802" spans="1:9" s="119" customFormat="1" ht="78.75" x14ac:dyDescent="0.25">
      <c r="A802" s="826" t="str">
        <f>IF(B802&gt;0,VLOOKUP(B802,КВСР!A231:B1396,2),IF(C802&gt;0,VLOOKUP(C802,КФСР!A231:B1743,2),IF(D802&gt;0,VLOOKUP(D802,Программа!A$1:B$5124,2),IF(F802&gt;0,VLOOKUP(F802,КВР!A$1:B$5001,2),IF(E802&gt;0,VLOOKUP(E802,Направление!A$1:B$4816,2))))))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02" s="767"/>
      <c r="C802" s="820"/>
      <c r="D802" s="760" t="s">
        <v>400</v>
      </c>
      <c r="E802" s="760"/>
      <c r="F802" s="763"/>
      <c r="G802" s="812">
        <v>15000</v>
      </c>
      <c r="H802" s="812">
        <f t="shared" si="177"/>
        <v>0</v>
      </c>
      <c r="I802" s="805">
        <f t="shared" si="177"/>
        <v>15000</v>
      </c>
    </row>
    <row r="803" spans="1:9" s="119" customFormat="1" ht="31.5" x14ac:dyDescent="0.25">
      <c r="A803" s="826" t="str">
        <f>IF(B803&gt;0,VLOOKUP(B803,КВСР!A232:B1397,2),IF(C803&gt;0,VLOOKUP(C803,КФСР!A232:B1744,2),IF(D803&gt;0,VLOOKUP(D803,Программа!A$1:B$5124,2),IF(F803&gt;0,VLOOKUP(F803,КВР!A$1:B$5001,2),IF(E803&gt;0,VLOOKUP(E803,Направление!A$1:B$4816,2))))))</f>
        <v>Мероприятия по патриотическому воспитанию граждан</v>
      </c>
      <c r="B803" s="767"/>
      <c r="C803" s="820"/>
      <c r="D803" s="760"/>
      <c r="E803" s="760">
        <v>74880</v>
      </c>
      <c r="F803" s="763"/>
      <c r="G803" s="812">
        <v>15000</v>
      </c>
      <c r="H803" s="812">
        <f t="shared" si="177"/>
        <v>0</v>
      </c>
      <c r="I803" s="805">
        <f t="shared" si="177"/>
        <v>15000</v>
      </c>
    </row>
    <row r="804" spans="1:9" s="119" customFormat="1" ht="47.25" x14ac:dyDescent="0.25">
      <c r="A804" s="826" t="str">
        <f>IF(B804&gt;0,VLOOKUP(B804,КВСР!A233:B1398,2),IF(C804&gt;0,VLOOKUP(C804,КФСР!A233:B1745,2),IF(D804&gt;0,VLOOKUP(D804,Программа!A$1:B$5124,2),IF(F804&gt;0,VLOOKUP(F804,КВР!A$1:B$5001,2),IF(E804&gt;0,VLOOKUP(E804,Направление!A$1:B$4816,2))))))</f>
        <v>Предоставление субсидий бюджетным, автономным учреждениям и иным некоммерческим организациям</v>
      </c>
      <c r="B804" s="767"/>
      <c r="C804" s="820"/>
      <c r="D804" s="760"/>
      <c r="E804" s="760"/>
      <c r="F804" s="763">
        <v>600</v>
      </c>
      <c r="G804" s="812">
        <v>15000</v>
      </c>
      <c r="H804" s="812"/>
      <c r="I804" s="805">
        <f>G804+H804</f>
        <v>15000</v>
      </c>
    </row>
    <row r="805" spans="1:9" s="119" customFormat="1" ht="63" x14ac:dyDescent="0.25">
      <c r="A805" s="826" t="str">
        <f>IF(B805&gt;0,VLOOKUP(B805,КВСР!A229:B1394,2),IF(C805&gt;0,VLOOKUP(C805,КФСР!A229:B1741,2),IF(D805&gt;0,VLOOKUP(D805,Программа!A$1:B$5124,2),IF(F805&gt;0,VLOOKUP(F805,КВР!A$1:B$5001,2),IF(E805&gt;0,VLOOKUP(E805,Направление!A$1:B$4816,2))))))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805" s="767"/>
      <c r="C805" s="820"/>
      <c r="D805" s="760" t="s">
        <v>367</v>
      </c>
      <c r="E805" s="760"/>
      <c r="F805" s="763"/>
      <c r="G805" s="812">
        <v>47989536.460000001</v>
      </c>
      <c r="H805" s="812">
        <f>H806+H822</f>
        <v>90914</v>
      </c>
      <c r="I805" s="805">
        <f>I806+I822</f>
        <v>48080450.460000001</v>
      </c>
    </row>
    <row r="806" spans="1:9" s="119" customFormat="1" ht="47.25" x14ac:dyDescent="0.25">
      <c r="A806" s="826" t="str">
        <f>IF(B806&gt;0,VLOOKUP(B806,КВСР!A230:B1395,2),IF(C806&gt;0,VLOOKUP(C806,КФСР!A230:B1742,2),IF(D806&gt;0,VLOOKUP(D806,Программа!A$1:B$5124,2),IF(F806&gt;0,VLOOKUP(F806,КВР!A$1:B$5001,2),IF(E806&gt;0,VLOOKUP(E806,Направление!A$1:B$4816,2))))))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806" s="767"/>
      <c r="C806" s="820"/>
      <c r="D806" s="760" t="s">
        <v>386</v>
      </c>
      <c r="E806" s="760"/>
      <c r="F806" s="763"/>
      <c r="G806" s="812">
        <v>47239536.460000001</v>
      </c>
      <c r="H806" s="812">
        <f>H807+H816+H819</f>
        <v>90914</v>
      </c>
      <c r="I806" s="805">
        <f>I807+I816+I819</f>
        <v>47330450.460000001</v>
      </c>
    </row>
    <row r="807" spans="1:9" s="119" customFormat="1" ht="94.5" x14ac:dyDescent="0.25">
      <c r="A807" s="826" t="str">
        <f>IF(B807&gt;0,VLOOKUP(B807,КВСР!A231:B1396,2),IF(C807&gt;0,VLOOKUP(C807,КФСР!A231:B1743,2),IF(D807&gt;0,VLOOKUP(D807,Программа!A$1:B$5124,2),IF(F807&gt;0,VLOOKUP(F807,КВР!A$1:B$5001,2),IF(E807&gt;0,VLOOKUP(E807,Направление!A$1:B$4816,2))))))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07" s="767"/>
      <c r="C807" s="820"/>
      <c r="D807" s="760" t="s">
        <v>441</v>
      </c>
      <c r="E807" s="760"/>
      <c r="F807" s="763"/>
      <c r="G807" s="812">
        <v>45110678.460000001</v>
      </c>
      <c r="H807" s="812">
        <f>H810+H814+H812+H808</f>
        <v>90914</v>
      </c>
      <c r="I807" s="805">
        <f>I810+I814+I812+I808</f>
        <v>45201592.460000001</v>
      </c>
    </row>
    <row r="808" spans="1:9" s="119" customFormat="1" ht="31.5" x14ac:dyDescent="0.25">
      <c r="A808" s="826" t="str">
        <f>IF(B808&gt;0,VLOOKUP(B808,КВСР!A232:B1397,2),IF(C808&gt;0,VLOOKUP(C808,КФСР!A232:B1744,2),IF(D808&gt;0,VLOOKUP(D808,Программа!A$1:B$5124,2),IF(F808&gt;0,VLOOKUP(F808,КВР!A$1:B$5001,2),IF(E808&gt;0,VLOOKUP(E808,Направление!A$1:B$4816,2))))))</f>
        <v>Мероприятия в области спорта и физической культуры</v>
      </c>
      <c r="B808" s="767"/>
      <c r="C808" s="820"/>
      <c r="D808" s="760"/>
      <c r="E808" s="760">
        <v>14010</v>
      </c>
      <c r="F808" s="763"/>
      <c r="G808" s="812">
        <v>950000</v>
      </c>
      <c r="H808" s="812">
        <f t="shared" ref="H808:I808" si="178">H809</f>
        <v>0</v>
      </c>
      <c r="I808" s="805">
        <f t="shared" si="178"/>
        <v>950000</v>
      </c>
    </row>
    <row r="809" spans="1:9" s="119" customFormat="1" ht="47.25" x14ac:dyDescent="0.25">
      <c r="A809" s="826" t="str">
        <f>IF(B809&gt;0,VLOOKUP(B809,КВСР!A233:B1398,2),IF(C809&gt;0,VLOOKUP(C809,КФСР!A233:B1745,2),IF(D809&gt;0,VLOOKUP(D809,Программа!A$1:B$5124,2),IF(F809&gt;0,VLOOKUP(F809,КВР!A$1:B$5001,2),IF(E809&gt;0,VLOOKUP(E809,Направление!A$1:B$4816,2))))))</f>
        <v>Предоставление субсидий бюджетным, автономным учреждениям и иным некоммерческим организациям</v>
      </c>
      <c r="B809" s="767"/>
      <c r="C809" s="820"/>
      <c r="D809" s="760"/>
      <c r="E809" s="760"/>
      <c r="F809" s="763">
        <v>600</v>
      </c>
      <c r="G809" s="812">
        <v>950000</v>
      </c>
      <c r="H809" s="812"/>
      <c r="I809" s="805">
        <f>G809+H809</f>
        <v>950000</v>
      </c>
    </row>
    <row r="810" spans="1:9" s="119" customFormat="1" ht="31.5" x14ac:dyDescent="0.25">
      <c r="A810" s="826" t="str">
        <f>IF(B810&gt;0,VLOOKUP(B810,КВСР!A232:B1397,2),IF(C810&gt;0,VLOOKUP(C810,КФСР!A232:B1744,2),IF(D810&gt;0,VLOOKUP(D810,Программа!A$1:B$5124,2),IF(F810&gt;0,VLOOKUP(F810,КВР!A$1:B$5001,2),IF(E810&gt;0,VLOOKUP(E810,Направление!A$1:B$4816,2))))))</f>
        <v>Обеспечение деятельности учреждений спорта</v>
      </c>
      <c r="B810" s="767"/>
      <c r="C810" s="820"/>
      <c r="D810" s="760"/>
      <c r="E810" s="760">
        <v>14020</v>
      </c>
      <c r="F810" s="763"/>
      <c r="G810" s="812">
        <v>43810678.460000001</v>
      </c>
      <c r="H810" s="812">
        <f>H811</f>
        <v>90914</v>
      </c>
      <c r="I810" s="805">
        <f>I811</f>
        <v>43901592.460000001</v>
      </c>
    </row>
    <row r="811" spans="1:9" s="119" customFormat="1" ht="47.25" x14ac:dyDescent="0.25">
      <c r="A811" s="826" t="str">
        <f>IF(B811&gt;0,VLOOKUP(B811,КВСР!A233:B1398,2),IF(C811&gt;0,VLOOKUP(C811,КФСР!A233:B1745,2),IF(D811&gt;0,VLOOKUP(D811,Программа!A$1:B$5124,2),IF(F811&gt;0,VLOOKUP(F811,КВР!A$1:B$5001,2),IF(E811&gt;0,VLOOKUP(E811,Направление!A$1:B$4816,2))))))</f>
        <v>Предоставление субсидий бюджетным, автономным учреждениям и иным некоммерческим организациям</v>
      </c>
      <c r="B811" s="767"/>
      <c r="C811" s="820"/>
      <c r="D811" s="760"/>
      <c r="E811" s="760"/>
      <c r="F811" s="763">
        <v>600</v>
      </c>
      <c r="G811" s="812">
        <v>43810678.460000001</v>
      </c>
      <c r="H811" s="812">
        <v>90914</v>
      </c>
      <c r="I811" s="805">
        <f t="shared" ref="I811:I892" si="179">SUM(G811:H811)</f>
        <v>43901592.460000001</v>
      </c>
    </row>
    <row r="812" spans="1:9" s="119" customFormat="1" ht="31.5" x14ac:dyDescent="0.25">
      <c r="A812" s="826" t="str">
        <f>IF(B812&gt;0,VLOOKUP(B812,КВСР!A234:B1399,2),IF(C812&gt;0,VLOOKUP(C812,КФСР!A234:B1746,2),IF(D812&gt;0,VLOOKUP(D812,Программа!A$1:B$5124,2),IF(F812&gt;0,VLOOKUP(F812,КВР!A$1:B$5001,2),IF(E812&gt;0,VLOOKUP(E812,Направление!A$1:B$4816,2))))))</f>
        <v>Мероприятия в области спорта и физической культуры</v>
      </c>
      <c r="B812" s="767"/>
      <c r="C812" s="820"/>
      <c r="D812" s="760"/>
      <c r="E812" s="760">
        <v>29226</v>
      </c>
      <c r="F812" s="763"/>
      <c r="G812" s="812">
        <v>350000</v>
      </c>
      <c r="H812" s="812">
        <f t="shared" ref="H812:I812" si="180">H813</f>
        <v>0</v>
      </c>
      <c r="I812" s="805">
        <f t="shared" si="180"/>
        <v>350000</v>
      </c>
    </row>
    <row r="813" spans="1:9" s="119" customFormat="1" ht="47.25" x14ac:dyDescent="0.25">
      <c r="A813" s="826" t="str">
        <f>IF(B813&gt;0,VLOOKUP(B813,КВСР!A235:B1400,2),IF(C813&gt;0,VLOOKUP(C813,КФСР!A235:B1747,2),IF(D813&gt;0,VLOOKUP(D813,Программа!A$1:B$5124,2),IF(F813&gt;0,VLOOKUP(F813,КВР!A$1:B$5001,2),IF(E813&gt;0,VLOOKUP(E813,Направление!A$1:B$4816,2))))))</f>
        <v>Предоставление субсидий бюджетным, автономным учреждениям и иным некоммерческим организациям</v>
      </c>
      <c r="B813" s="767"/>
      <c r="C813" s="820"/>
      <c r="D813" s="760"/>
      <c r="E813" s="760"/>
      <c r="F813" s="763">
        <v>600</v>
      </c>
      <c r="G813" s="812">
        <v>350000</v>
      </c>
      <c r="H813" s="812"/>
      <c r="I813" s="805">
        <f>G813+H813</f>
        <v>350000</v>
      </c>
    </row>
    <row r="814" spans="1:9" s="119" customFormat="1" hidden="1" x14ac:dyDescent="0.25">
      <c r="A814" s="826" t="str">
        <f>IF(B814&gt;0,VLOOKUP(B814,КВСР!A234:B1399,2),IF(C814&gt;0,VLOOKUP(C814,КФСР!A234:B1746,2),IF(D814&gt;0,VLOOKUP(D814,Программа!A$1:B$5124,2),IF(F814&gt;0,VLOOKUP(F814,КВР!A$1:B$5001,2),IF(E814&gt;0,VLOOKUP(E814,Направление!A$1:B$4816,2))))))</f>
        <v xml:space="preserve">Иная дотация </v>
      </c>
      <c r="B814" s="767"/>
      <c r="C814" s="820"/>
      <c r="D814" s="760"/>
      <c r="E814" s="760">
        <v>73260</v>
      </c>
      <c r="F814" s="763"/>
      <c r="G814" s="812">
        <v>0</v>
      </c>
      <c r="H814" s="812">
        <f t="shared" ref="H814:I814" si="181">H815</f>
        <v>0</v>
      </c>
      <c r="I814" s="805">
        <f t="shared" si="181"/>
        <v>0</v>
      </c>
    </row>
    <row r="815" spans="1:9" s="119" customFormat="1" ht="47.25" hidden="1" x14ac:dyDescent="0.25">
      <c r="A815" s="826" t="str">
        <f>IF(B815&gt;0,VLOOKUP(B815,КВСР!A235:B1400,2),IF(C815&gt;0,VLOOKUP(C815,КФСР!A235:B1747,2),IF(D815&gt;0,VLOOKUP(D815,Программа!A$1:B$5124,2),IF(F815&gt;0,VLOOKUP(F815,КВР!A$1:B$5001,2),IF(E815&gt;0,VLOOKUP(E815,Направление!A$1:B$4816,2))))))</f>
        <v>Предоставление субсидий бюджетным, автономным учреждениям и иным некоммерческим организациям</v>
      </c>
      <c r="B815" s="767"/>
      <c r="C815" s="820"/>
      <c r="D815" s="760"/>
      <c r="E815" s="760"/>
      <c r="F815" s="763">
        <v>600</v>
      </c>
      <c r="G815" s="812">
        <v>0</v>
      </c>
      <c r="H815" s="812"/>
      <c r="I815" s="805">
        <f>G815+H815</f>
        <v>0</v>
      </c>
    </row>
    <row r="816" spans="1:9" s="119" customFormat="1" ht="47.25" x14ac:dyDescent="0.25">
      <c r="A816" s="826" t="str">
        <f>IF(B816&gt;0,VLOOKUP(B816,КВСР!A234:B1399,2),IF(C816&gt;0,VLOOKUP(C816,КФСР!A234:B1746,2),IF(D816&gt;0,VLOOKUP(D816,Программа!A$1:B$5124,2),IF(F816&gt;0,VLOOKUP(F816,КВР!A$1:B$5001,2),IF(E816&gt;0,VLOOKUP(E816,Направление!A$1:B$4816,2))))))</f>
        <v>Строительство и реконструкция спортивных сооружений и укрепление материальной базы</v>
      </c>
      <c r="B816" s="767"/>
      <c r="C816" s="820"/>
      <c r="D816" s="760" t="s">
        <v>387</v>
      </c>
      <c r="E816" s="760"/>
      <c r="F816" s="763"/>
      <c r="G816" s="812">
        <v>375858</v>
      </c>
      <c r="H816" s="812">
        <f>H817</f>
        <v>0</v>
      </c>
      <c r="I816" s="805">
        <f t="shared" si="179"/>
        <v>375858</v>
      </c>
    </row>
    <row r="817" spans="1:9" s="119" customFormat="1" ht="47.25" x14ac:dyDescent="0.25">
      <c r="A817" s="826" t="str">
        <f>IF(B817&gt;0,VLOOKUP(B817,КВСР!A235:B1400,2),IF(C817&gt;0,VLOOKUP(C817,КФСР!A235:B1747,2),IF(D817&gt;0,VLOOKUP(D817,Программа!A$1:B$5124,2),IF(F817&gt;0,VLOOKUP(F817,КВР!A$1:B$5001,2),IF(E817&gt;0,VLOOKUP(E817,Направление!A$1:B$4816,2))))))</f>
        <v>Мероприятия по строительству, реконструкции и ремонту спортивных объектов</v>
      </c>
      <c r="B817" s="767"/>
      <c r="C817" s="820"/>
      <c r="D817" s="760"/>
      <c r="E817" s="767">
        <v>14100</v>
      </c>
      <c r="F817" s="800"/>
      <c r="G817" s="812">
        <v>375858</v>
      </c>
      <c r="H817" s="812">
        <f>H818</f>
        <v>0</v>
      </c>
      <c r="I817" s="805">
        <f t="shared" si="179"/>
        <v>375858</v>
      </c>
    </row>
    <row r="818" spans="1:9" s="119" customFormat="1" ht="47.25" x14ac:dyDescent="0.25">
      <c r="A818" s="826" t="str">
        <f>IF(B818&gt;0,VLOOKUP(B818,КВСР!A236:B1401,2),IF(C818&gt;0,VLOOKUP(C818,КФСР!A236:B1748,2),IF(D818&gt;0,VLOOKUP(D818,Программа!A$1:B$5124,2),IF(F818&gt;0,VLOOKUP(F818,КВР!A$1:B$5001,2),IF(E818&gt;0,VLOOKUP(E818,Направление!A$1:B$4816,2))))))</f>
        <v>Предоставление субсидий бюджетным, автономным учреждениям и иным некоммерческим организациям</v>
      </c>
      <c r="B818" s="767"/>
      <c r="C818" s="820"/>
      <c r="D818" s="760"/>
      <c r="E818" s="767"/>
      <c r="F818" s="800">
        <v>600</v>
      </c>
      <c r="G818" s="812">
        <v>375858</v>
      </c>
      <c r="H818" s="812"/>
      <c r="I818" s="805">
        <f t="shared" si="179"/>
        <v>375858</v>
      </c>
    </row>
    <row r="819" spans="1:9" s="119" customFormat="1" ht="31.5" x14ac:dyDescent="0.25">
      <c r="A819" s="826" t="str">
        <f>IF(B819&gt;0,VLOOKUP(B819,КВСР!A237:B1402,2),IF(C819&gt;0,VLOOKUP(C819,КФСР!A237:B1749,2),IF(D819&gt;0,VLOOKUP(D819,Программа!A$1:B$5124,2),IF(F819&gt;0,VLOOKUP(F819,КВР!A$1:B$5001,2),IF(E819&gt;0,VLOOKUP(E819,Направление!A$1:B$4816,2))))))</f>
        <v>Развитие сети плоскостных спортивных сооружений</v>
      </c>
      <c r="B819" s="767"/>
      <c r="C819" s="820"/>
      <c r="D819" s="760" t="s">
        <v>422</v>
      </c>
      <c r="E819" s="767"/>
      <c r="F819" s="800"/>
      <c r="G819" s="812">
        <v>1753000</v>
      </c>
      <c r="H819" s="812">
        <f>H820</f>
        <v>0</v>
      </c>
      <c r="I819" s="805">
        <f>G819+H819</f>
        <v>1753000</v>
      </c>
    </row>
    <row r="820" spans="1:9" s="119" customFormat="1" ht="47.25" x14ac:dyDescent="0.25">
      <c r="A820" s="826" t="str">
        <f>IF(B820&gt;0,VLOOKUP(B820,КВСР!A238:B1403,2),IF(C820&gt;0,VLOOKUP(C820,КФСР!A238:B1750,2),IF(D820&gt;0,VLOOKUP(D820,Программа!A$1:B$5124,2),IF(F820&gt;0,VLOOKUP(F820,КВР!A$1:B$5001,2),IF(E820&gt;0,VLOOKUP(E820,Направление!A$1:B$4816,2))))))</f>
        <v>Мероприятия по строительству, реконструкции и ремонту спортивных объектов</v>
      </c>
      <c r="B820" s="767"/>
      <c r="C820" s="820"/>
      <c r="D820" s="760"/>
      <c r="E820" s="767">
        <v>14100</v>
      </c>
      <c r="F820" s="800"/>
      <c r="G820" s="812">
        <v>1753000</v>
      </c>
      <c r="H820" s="812">
        <f>H821</f>
        <v>0</v>
      </c>
      <c r="I820" s="805">
        <f t="shared" ref="I820:I821" si="182">G820+H820</f>
        <v>1753000</v>
      </c>
    </row>
    <row r="821" spans="1:9" s="119" customFormat="1" ht="47.25" x14ac:dyDescent="0.25">
      <c r="A821" s="826" t="str">
        <f>IF(B821&gt;0,VLOOKUP(B821,КВСР!A239:B1404,2),IF(C821&gt;0,VLOOKUP(C821,КФСР!A239:B1751,2),IF(D821&gt;0,VLOOKUP(D821,Программа!A$1:B$5124,2),IF(F821&gt;0,VLOOKUP(F821,КВР!A$1:B$5001,2),IF(E821&gt;0,VLOOKUP(E821,Направление!A$1:B$4816,2))))))</f>
        <v>Предоставление субсидий бюджетным, автономным учреждениям и иным некоммерческим организациям</v>
      </c>
      <c r="B821" s="767"/>
      <c r="C821" s="820"/>
      <c r="D821" s="760"/>
      <c r="E821" s="767"/>
      <c r="F821" s="800">
        <v>600</v>
      </c>
      <c r="G821" s="812">
        <v>1753000</v>
      </c>
      <c r="H821" s="812"/>
      <c r="I821" s="805">
        <f t="shared" si="182"/>
        <v>1753000</v>
      </c>
    </row>
    <row r="822" spans="1:9" s="119" customFormat="1" ht="78.75" x14ac:dyDescent="0.25">
      <c r="A822" s="826" t="str">
        <f>IF(B822&gt;0,VLOOKUP(B822,КВСР!A237:B1402,2),IF(C822&gt;0,VLOOKUP(C822,КФСР!A237:B1749,2),IF(D822&gt;0,VLOOKUP(D822,Программа!A$1:B$5124,2),IF(F822&gt;0,VLOOKUP(F822,КВР!A$1:B$5001,2),IF(E822&gt;0,VLOOKUP(E822,Направление!A$1:B$4816,2))))))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22" s="767"/>
      <c r="C822" s="820"/>
      <c r="D822" s="760" t="s">
        <v>1761</v>
      </c>
      <c r="E822" s="767"/>
      <c r="F822" s="800"/>
      <c r="G822" s="812">
        <v>750000</v>
      </c>
      <c r="H822" s="812">
        <f t="shared" ref="H822:H824" si="183">H823</f>
        <v>0</v>
      </c>
      <c r="I822" s="805">
        <f t="shared" si="179"/>
        <v>750000</v>
      </c>
    </row>
    <row r="823" spans="1:9" s="119" customFormat="1" ht="78.75" x14ac:dyDescent="0.25">
      <c r="A823" s="826" t="str">
        <f>IF(B823&gt;0,VLOOKUP(B823,КВСР!A238:B1403,2),IF(C823&gt;0,VLOOKUP(C823,КФСР!A238:B1750,2),IF(D823&gt;0,VLOOKUP(D823,Программа!A$1:B$5124,2),IF(F823&gt;0,VLOOKUP(F823,КВР!A$1:B$5001,2),IF(E823&gt;0,VLOOKUP(E823,Направление!A$1:B$4816,2))))))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23" s="767"/>
      <c r="C823" s="820"/>
      <c r="D823" s="760" t="s">
        <v>1760</v>
      </c>
      <c r="E823" s="767"/>
      <c r="F823" s="800"/>
      <c r="G823" s="812">
        <v>750000</v>
      </c>
      <c r="H823" s="812">
        <f t="shared" si="183"/>
        <v>0</v>
      </c>
      <c r="I823" s="805">
        <f t="shared" si="179"/>
        <v>750000</v>
      </c>
    </row>
    <row r="824" spans="1:9" s="119" customFormat="1" ht="31.5" x14ac:dyDescent="0.25">
      <c r="A824" s="826" t="str">
        <f>IF(B824&gt;0,VLOOKUP(B824,КВСР!A239:B1404,2),IF(C824&gt;0,VLOOKUP(C824,КФСР!A239:B1751,2),IF(D824&gt;0,VLOOKUP(D824,Программа!A$1:B$5124,2),IF(F824&gt;0,VLOOKUP(F824,КВР!A$1:B$5001,2),IF(E824&gt;0,VLOOKUP(E824,Направление!A$1:B$4816,2))))))</f>
        <v>Мероприятия в области спорта и физической культуры</v>
      </c>
      <c r="B824" s="767"/>
      <c r="C824" s="820"/>
      <c r="D824" s="760"/>
      <c r="E824" s="767">
        <v>14010</v>
      </c>
      <c r="F824" s="800"/>
      <c r="G824" s="812">
        <v>750000</v>
      </c>
      <c r="H824" s="812">
        <f t="shared" si="183"/>
        <v>0</v>
      </c>
      <c r="I824" s="805">
        <f t="shared" si="179"/>
        <v>750000</v>
      </c>
    </row>
    <row r="825" spans="1:9" s="119" customFormat="1" ht="47.25" x14ac:dyDescent="0.25">
      <c r="A825" s="826" t="str">
        <f>IF(B825&gt;0,VLOOKUP(B825,КВСР!A240:B1405,2),IF(C825&gt;0,VLOOKUP(C825,КФСР!A240:B1752,2),IF(D825&gt;0,VLOOKUP(D825,Программа!A$1:B$5124,2),IF(F825&gt;0,VLOOKUP(F825,КВР!A$1:B$5001,2),IF(E825&gt;0,VLOOKUP(E825,Направление!A$1:B$4816,2))))))</f>
        <v>Предоставление субсидий бюджетным, автономным учреждениям и иным некоммерческим организациям</v>
      </c>
      <c r="B825" s="767"/>
      <c r="C825" s="820"/>
      <c r="D825" s="760"/>
      <c r="E825" s="767"/>
      <c r="F825" s="800">
        <v>600</v>
      </c>
      <c r="G825" s="812">
        <v>750000</v>
      </c>
      <c r="H825" s="812"/>
      <c r="I825" s="805">
        <f t="shared" si="179"/>
        <v>750000</v>
      </c>
    </row>
    <row r="826" spans="1:9" s="119" customFormat="1" ht="47.25" hidden="1" x14ac:dyDescent="0.25">
      <c r="A826" s="826" t="str">
        <f>IF(B826&gt;0,VLOOKUP(B826,КВСР!A237:B1402,2),IF(C826&gt;0,VLOOKUP(C826,КФСР!A237:B1749,2),IF(D826&gt;0,VLOOKUP(D826,Программа!A$1:B$5124,2),IF(F826&gt;0,VLOOKUP(F826,КВР!A$1:B$5001,2),IF(E826&gt;0,VLOOKUP(E826,Направление!A$1:B$4816,2))))))</f>
        <v>Муниципальная программа "Социальная поддержка населения Тутаевского муниципального района"</v>
      </c>
      <c r="B826" s="767"/>
      <c r="C826" s="820"/>
      <c r="D826" s="760" t="s">
        <v>376</v>
      </c>
      <c r="E826" s="767"/>
      <c r="F826" s="800"/>
      <c r="G826" s="812">
        <v>0</v>
      </c>
      <c r="H826" s="812">
        <f t="shared" ref="H826:I826" si="184">H827</f>
        <v>0</v>
      </c>
      <c r="I826" s="806">
        <f t="shared" si="184"/>
        <v>0</v>
      </c>
    </row>
    <row r="827" spans="1:9" s="119" customFormat="1" ht="47.25" hidden="1" x14ac:dyDescent="0.25">
      <c r="A827" s="826" t="str">
        <f>IF(B827&gt;0,VLOOKUP(B827,КВСР!A238:B1403,2),IF(C827&gt;0,VLOOKUP(C827,КФСР!A238:B1750,2),IF(D827&gt;0,VLOOKUP(D827,Программа!A$1:B$5124,2),IF(F827&gt;0,VLOOKUP(F827,КВР!A$1:B$5001,2),IF(E827&gt;0,VLOOKUP(E827,Направление!A$1:B$4816,2))))))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827" s="767"/>
      <c r="C827" s="820"/>
      <c r="D827" s="760" t="s">
        <v>378</v>
      </c>
      <c r="E827" s="767"/>
      <c r="F827" s="800"/>
      <c r="G827" s="812">
        <v>0</v>
      </c>
      <c r="H827" s="812">
        <f t="shared" ref="H827:I827" si="185">H828</f>
        <v>0</v>
      </c>
      <c r="I827" s="806">
        <f t="shared" si="185"/>
        <v>0</v>
      </c>
    </row>
    <row r="828" spans="1:9" s="119" customFormat="1" ht="63" hidden="1" x14ac:dyDescent="0.25">
      <c r="A828" s="826" t="str">
        <f>IF(B828&gt;0,VLOOKUP(B828,КВСР!A239:B1404,2),IF(C828&gt;0,VLOOKUP(C828,КФСР!A239:B1751,2),IF(D828&gt;0,VLOOKUP(D828,Программа!A$1:B$5124,2),IF(F828&gt;0,VLOOKUP(F828,КВР!A$1:B$5001,2),IF(E828&gt;0,VLOOKUP(E828,Направление!A$1:B$4816,2))))))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28" s="767"/>
      <c r="C828" s="820"/>
      <c r="D828" s="760" t="s">
        <v>379</v>
      </c>
      <c r="E828" s="767"/>
      <c r="F828" s="800"/>
      <c r="G828" s="812">
        <v>0</v>
      </c>
      <c r="H828" s="812">
        <f t="shared" ref="H828:I828" si="186">H829</f>
        <v>0</v>
      </c>
      <c r="I828" s="806">
        <f t="shared" si="186"/>
        <v>0</v>
      </c>
    </row>
    <row r="829" spans="1:9" s="119" customFormat="1" ht="31.5" hidden="1" x14ac:dyDescent="0.25">
      <c r="A829" s="826" t="str">
        <f>IF(B829&gt;0,VLOOKUP(B829,КВСР!A240:B1405,2),IF(C829&gt;0,VLOOKUP(C829,КФСР!A240:B1752,2),IF(D829&gt;0,VLOOKUP(D829,Программа!A$1:B$5124,2),IF(F829&gt;0,VLOOKUP(F829,КВР!A$1:B$5001,2),IF(E829&gt;0,VLOOKUP(E829,Направление!A$1:B$4816,2))))))</f>
        <v>Расходы на реализацию мероприятий по улучшению условий и охраны труда</v>
      </c>
      <c r="B829" s="767"/>
      <c r="C829" s="820"/>
      <c r="D829" s="760"/>
      <c r="E829" s="767">
        <v>16150</v>
      </c>
      <c r="F829" s="800"/>
      <c r="G829" s="812">
        <v>0</v>
      </c>
      <c r="H829" s="812">
        <f t="shared" ref="H829:I829" si="187">H830</f>
        <v>0</v>
      </c>
      <c r="I829" s="806">
        <f t="shared" si="187"/>
        <v>0</v>
      </c>
    </row>
    <row r="830" spans="1:9" s="119" customFormat="1" ht="47.25" hidden="1" x14ac:dyDescent="0.25">
      <c r="A830" s="826" t="str">
        <f>IF(B830&gt;0,VLOOKUP(B830,КВСР!A241:B1406,2),IF(C830&gt;0,VLOOKUP(C830,КФСР!A241:B1753,2),IF(D830&gt;0,VLOOKUP(D830,Программа!A$1:B$5124,2),IF(F830&gt;0,VLOOKUP(F830,КВР!A$1:B$5001,2),IF(E830&gt;0,VLOOKUP(E830,Направление!A$1:B$4816,2))))))</f>
        <v>Предоставление субсидий бюджетным, автономным учреждениям и иным некоммерческим организациям</v>
      </c>
      <c r="B830" s="767"/>
      <c r="C830" s="820"/>
      <c r="D830" s="760"/>
      <c r="E830" s="767"/>
      <c r="F830" s="800">
        <v>600</v>
      </c>
      <c r="G830" s="812">
        <v>0</v>
      </c>
      <c r="H830" s="812"/>
      <c r="I830" s="805">
        <f>G830+H830</f>
        <v>0</v>
      </c>
    </row>
    <row r="831" spans="1:9" s="119" customFormat="1" ht="31.5" x14ac:dyDescent="0.25">
      <c r="A831" s="824" t="str">
        <f>IF(B831&gt;0,VLOOKUP(B831,КВСР!A236:B1401,2),IF(C831&gt;0,VLOOKUP(C831,КФСР!A236:B1748,2),IF(D831&gt;0,VLOOKUP(D831,Программа!A$1:B$5124,2),IF(F831&gt;0,VLOOKUP(F831,КВР!A$1:B$5001,2),IF(E831&gt;0,VLOOKUP(E831,Направление!A$1:B$4816,2))))))</f>
        <v>Департамент труда и соц. развития Администрации ТМР</v>
      </c>
      <c r="B831" s="758">
        <v>954</v>
      </c>
      <c r="C831" s="820"/>
      <c r="D831" s="760"/>
      <c r="E831" s="760"/>
      <c r="F831" s="763"/>
      <c r="G831" s="811">
        <v>577080684</v>
      </c>
      <c r="H831" s="811">
        <f>H832+H842+H851+H916+H955</f>
        <v>8569795</v>
      </c>
      <c r="I831" s="804">
        <f>I832+I842+I851+I916+I955</f>
        <v>585650479</v>
      </c>
    </row>
    <row r="832" spans="1:9" s="119" customFormat="1" x14ac:dyDescent="0.25">
      <c r="A832" s="826" t="str">
        <f>IF(B832&gt;0,VLOOKUP(B832,КВСР!A241:B1406,2),IF(C832&gt;0,VLOOKUP(C832,КФСР!A241:B1753,2),IF(D832&gt;0,VLOOKUP(D832,Программа!A$1:B$5124,2),IF(F832&gt;0,VLOOKUP(F832,КВР!A$1:B$5001,2),IF(E832&gt;0,VLOOKUP(E832,Направление!A$1:B$4816,2))))))</f>
        <v>Пенсионное обеспечение</v>
      </c>
      <c r="B832" s="760"/>
      <c r="C832" s="820">
        <v>1001</v>
      </c>
      <c r="D832" s="760"/>
      <c r="E832" s="760"/>
      <c r="F832" s="763"/>
      <c r="G832" s="812">
        <v>5976848</v>
      </c>
      <c r="H832" s="812">
        <f>H833</f>
        <v>-41266</v>
      </c>
      <c r="I832" s="805">
        <f>I833</f>
        <v>5935582</v>
      </c>
    </row>
    <row r="833" spans="1:9" s="119" customFormat="1" ht="47.25" x14ac:dyDescent="0.25">
      <c r="A833" s="826" t="str">
        <f>IF(B833&gt;0,VLOOKUP(B833,КВСР!A242:B1407,2),IF(C833&gt;0,VLOOKUP(C833,КФСР!A242:B1754,2),IF(D833&gt;0,VLOOKUP(D833,Программа!A$1:B$5124,2),IF(F833&gt;0,VLOOKUP(F833,КВР!A$1:B$5001,2),IF(E833&gt;0,VLOOKUP(E833,Направление!A$1:B$4816,2))))))</f>
        <v>Муниципальная программа "Социальная поддержка населения Тутаевского муниципального района"</v>
      </c>
      <c r="B833" s="760"/>
      <c r="C833" s="820"/>
      <c r="D833" s="767" t="s">
        <v>376</v>
      </c>
      <c r="E833" s="767"/>
      <c r="F833" s="763"/>
      <c r="G833" s="812">
        <v>5976848</v>
      </c>
      <c r="H833" s="812">
        <f>H835</f>
        <v>-41266</v>
      </c>
      <c r="I833" s="805">
        <f>I835</f>
        <v>5935582</v>
      </c>
    </row>
    <row r="834" spans="1:9" s="119" customFormat="1" ht="47.25" x14ac:dyDescent="0.25">
      <c r="A834" s="826" t="str">
        <f>IF(B834&gt;0,VLOOKUP(B834,КВСР!A243:B1408,2),IF(C834&gt;0,VLOOKUP(C834,КФСР!A243:B1755,2),IF(D834&gt;0,VLOOKUP(D834,Программа!A$1:B$5124,2),IF(F834&gt;0,VLOOKUP(F834,КВР!A$1:B$5001,2),IF(E834&gt;0,VLOOKUP(E834,Направление!A$1:B$4816,2))))))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34" s="760"/>
      <c r="C834" s="820"/>
      <c r="D834" s="767" t="s">
        <v>446</v>
      </c>
      <c r="E834" s="767"/>
      <c r="F834" s="763"/>
      <c r="G834" s="812">
        <v>5976848</v>
      </c>
      <c r="H834" s="812">
        <f>H835</f>
        <v>-41266</v>
      </c>
      <c r="I834" s="805">
        <f>I835</f>
        <v>5935582</v>
      </c>
    </row>
    <row r="835" spans="1:9" s="119" customFormat="1" ht="47.25" x14ac:dyDescent="0.25">
      <c r="A835" s="826" t="str">
        <f>IF(B835&gt;0,VLOOKUP(B835,КВСР!A244:B1409,2),IF(C835&gt;0,VLOOKUP(C835,КФСР!A244:B1756,2),IF(D835&gt;0,VLOOKUP(D835,Программа!A$1:B$5124,2),IF(F835&gt;0,VLOOKUP(F835,КВР!A$1:B$5001,2),IF(E835&gt;0,VLOOKUP(E835,Направление!A$1:B$4816,2))))))</f>
        <v>Исполнение публичных обязательств по предоставлению выплат, пособий и компенсаций</v>
      </c>
      <c r="B835" s="760"/>
      <c r="C835" s="820"/>
      <c r="D835" s="767" t="s">
        <v>448</v>
      </c>
      <c r="E835" s="767"/>
      <c r="F835" s="763"/>
      <c r="G835" s="812">
        <v>5976848</v>
      </c>
      <c r="H835" s="812">
        <f t="shared" ref="H835" si="188">H836+H839</f>
        <v>-41266</v>
      </c>
      <c r="I835" s="805">
        <f t="shared" ref="I835" si="189">I836+I839</f>
        <v>5935582</v>
      </c>
    </row>
    <row r="836" spans="1:9" s="119" customFormat="1" ht="31.5" x14ac:dyDescent="0.25">
      <c r="A836" s="826" t="str">
        <f>IF(B836&gt;0,VLOOKUP(B836,КВСР!A245:B1410,2),IF(C836&gt;0,VLOOKUP(C836,КФСР!A245:B1757,2),IF(D836&gt;0,VLOOKUP(D836,Программа!A$1:B$5124,2),IF(F836&gt;0,VLOOKUP(F836,КВР!A$1:B$5001,2),IF(E836&gt;0,VLOOKUP(E836,Направление!A$1:B$4816,2))))))</f>
        <v>Доплаты к пенсиям муниципальных служащих</v>
      </c>
      <c r="B836" s="760"/>
      <c r="C836" s="820"/>
      <c r="D836" s="760"/>
      <c r="E836" s="760">
        <v>16010</v>
      </c>
      <c r="F836" s="763"/>
      <c r="G836" s="812">
        <v>5389726</v>
      </c>
      <c r="H836" s="812">
        <f>H838+H837</f>
        <v>-41266</v>
      </c>
      <c r="I836" s="805">
        <f>I838+I837</f>
        <v>5348460</v>
      </c>
    </row>
    <row r="837" spans="1:9" s="119" customFormat="1" ht="63" x14ac:dyDescent="0.25">
      <c r="A837" s="826" t="str">
        <f>IF(B837&gt;0,VLOOKUP(B837,КВСР!A244:B1409,2),IF(C837&gt;0,VLOOKUP(C837,КФСР!A244:B1756,2),IF(D837&gt;0,VLOOKUP(D837,Программа!A$1:B$5124,2),IF(F837&gt;0,VLOOKUP(F837,КВР!A$1:B$5001,2),IF(E837&gt;0,VLOOKUP(E837,Направление!A$1:B$4816,2))))))</f>
        <v xml:space="preserve">Закупка товаров, работ и услуг для обеспечения государственных (муниципальных) нужд
</v>
      </c>
      <c r="B837" s="760"/>
      <c r="C837" s="820"/>
      <c r="D837" s="760"/>
      <c r="E837" s="760"/>
      <c r="F837" s="763">
        <v>200</v>
      </c>
      <c r="G837" s="812">
        <v>67560</v>
      </c>
      <c r="H837" s="812">
        <v>-490</v>
      </c>
      <c r="I837" s="805">
        <f t="shared" si="179"/>
        <v>67070</v>
      </c>
    </row>
    <row r="838" spans="1:9" s="119" customFormat="1" ht="31.5" x14ac:dyDescent="0.25">
      <c r="A838" s="826" t="str">
        <f>IF(B838&gt;0,VLOOKUP(B838,КВСР!A244:B1409,2),IF(C838&gt;0,VLOOKUP(C838,КФСР!A244:B1756,2),IF(D838&gt;0,VLOOKUP(D838,Программа!A$1:B$5124,2),IF(F838&gt;0,VLOOKUP(F838,КВР!A$1:B$5001,2),IF(E838&gt;0,VLOOKUP(E838,Направление!A$1:B$4816,2))))))</f>
        <v>Социальное обеспечение и иные выплаты населению</v>
      </c>
      <c r="B838" s="760"/>
      <c r="C838" s="820"/>
      <c r="D838" s="760"/>
      <c r="E838" s="760"/>
      <c r="F838" s="763">
        <v>300</v>
      </c>
      <c r="G838" s="812">
        <v>5322166</v>
      </c>
      <c r="H838" s="812">
        <v>-40776</v>
      </c>
      <c r="I838" s="805">
        <f t="shared" si="179"/>
        <v>5281390</v>
      </c>
    </row>
    <row r="839" spans="1:9" s="119" customFormat="1" ht="31.5" x14ac:dyDescent="0.25">
      <c r="A839" s="826" t="str">
        <f>IF(B839&gt;0,VLOOKUP(B839,КВСР!A245:B1410,2),IF(C839&gt;0,VLOOKUP(C839,КФСР!A245:B1757,2),IF(D839&gt;0,VLOOKUP(D839,Программа!A$1:B$5124,2),IF(F839&gt;0,VLOOKUP(F839,КВР!A$1:B$5001,2),IF(E839&gt;0,VLOOKUP(E839,Направление!A$1:B$4816,2))))))</f>
        <v>Доплаты к пенсиям муниципальным служащим поселений</v>
      </c>
      <c r="B839" s="760"/>
      <c r="C839" s="820"/>
      <c r="D839" s="760"/>
      <c r="E839" s="760">
        <v>29756</v>
      </c>
      <c r="F839" s="763"/>
      <c r="G839" s="812">
        <v>587122</v>
      </c>
      <c r="H839" s="812">
        <f t="shared" ref="H839:I839" si="190">H840+H841</f>
        <v>0</v>
      </c>
      <c r="I839" s="805">
        <f t="shared" si="190"/>
        <v>587122</v>
      </c>
    </row>
    <row r="840" spans="1:9" s="119" customFormat="1" ht="63" x14ac:dyDescent="0.25">
      <c r="A840" s="826" t="str">
        <f>IF(B840&gt;0,VLOOKUP(B840,КВСР!A246:B1411,2),IF(C840&gt;0,VLOOKUP(C840,КФСР!A246:B1758,2),IF(D840&gt;0,VLOOKUP(D840,Программа!A$1:B$5124,2),IF(F840&gt;0,VLOOKUP(F840,КВР!A$1:B$5001,2),IF(E840&gt;0,VLOOKUP(E840,Направление!A$1:B$4816,2))))))</f>
        <v xml:space="preserve">Закупка товаров, работ и услуг для обеспечения государственных (муниципальных) нужд
</v>
      </c>
      <c r="B840" s="760"/>
      <c r="C840" s="820"/>
      <c r="D840" s="760"/>
      <c r="E840" s="760"/>
      <c r="F840" s="763">
        <v>200</v>
      </c>
      <c r="G840" s="812">
        <v>7535</v>
      </c>
      <c r="H840" s="812"/>
      <c r="I840" s="805">
        <f>G840+H840</f>
        <v>7535</v>
      </c>
    </row>
    <row r="841" spans="1:9" s="119" customFormat="1" ht="31.5" x14ac:dyDescent="0.25">
      <c r="A841" s="826" t="str">
        <f>IF(B841&gt;0,VLOOKUP(B841,КВСР!A247:B1412,2),IF(C841&gt;0,VLOOKUP(C841,КФСР!A247:B1759,2),IF(D841&gt;0,VLOOKUP(D841,Программа!A$1:B$5124,2),IF(F841&gt;0,VLOOKUP(F841,КВР!A$1:B$5001,2),IF(E841&gt;0,VLOOKUP(E841,Направление!A$1:B$4816,2))))))</f>
        <v>Социальное обеспечение и иные выплаты населению</v>
      </c>
      <c r="B841" s="760"/>
      <c r="C841" s="820"/>
      <c r="D841" s="760"/>
      <c r="E841" s="760"/>
      <c r="F841" s="763">
        <v>300</v>
      </c>
      <c r="G841" s="812">
        <v>579587</v>
      </c>
      <c r="H841" s="812"/>
      <c r="I841" s="805">
        <f>G841+H841</f>
        <v>579587</v>
      </c>
    </row>
    <row r="842" spans="1:9" s="119" customFormat="1" x14ac:dyDescent="0.25">
      <c r="A842" s="826" t="str">
        <f>IF(B842&gt;0,VLOOKUP(B842,КВСР!A245:B1410,2),IF(C842&gt;0,VLOOKUP(C842,КФСР!A245:B1757,2),IF(D842&gt;0,VLOOKUP(D842,Программа!A$1:B$5124,2),IF(F842&gt;0,VLOOKUP(F842,КВР!A$1:B$5001,2),IF(E842&gt;0,VLOOKUP(E842,Направление!A$1:B$4816,2))))))</f>
        <v>Социальное обслуживание населения</v>
      </c>
      <c r="B842" s="760"/>
      <c r="C842" s="820">
        <v>1002</v>
      </c>
      <c r="D842" s="760"/>
      <c r="E842" s="760"/>
      <c r="F842" s="763"/>
      <c r="G842" s="812">
        <v>89229652</v>
      </c>
      <c r="H842" s="812">
        <f>H843</f>
        <v>-666095</v>
      </c>
      <c r="I842" s="805">
        <f>I843</f>
        <v>88563557</v>
      </c>
    </row>
    <row r="843" spans="1:9" s="119" customFormat="1" ht="47.25" x14ac:dyDescent="0.25">
      <c r="A843" s="826" t="str">
        <f>IF(B843&gt;0,VLOOKUP(B843,КВСР!A246:B1411,2),IF(C843&gt;0,VLOOKUP(C843,КФСР!A246:B1758,2),IF(D843&gt;0,VLOOKUP(D843,Программа!A$1:B$5124,2),IF(F843&gt;0,VLOOKUP(F843,КВР!A$1:B$5001,2),IF(E843&gt;0,VLOOKUP(E843,Направление!A$1:B$4816,2))))))</f>
        <v>Муниципальная программа "Социальная поддержка населения Тутаевского муниципального района"</v>
      </c>
      <c r="B843" s="760"/>
      <c r="C843" s="820"/>
      <c r="D843" s="760" t="s">
        <v>376</v>
      </c>
      <c r="E843" s="760"/>
      <c r="F843" s="763"/>
      <c r="G843" s="812">
        <v>89229652</v>
      </c>
      <c r="H843" s="812">
        <f t="shared" ref="H843:I843" si="191">H844</f>
        <v>-666095</v>
      </c>
      <c r="I843" s="805">
        <f t="shared" si="191"/>
        <v>88563557</v>
      </c>
    </row>
    <row r="844" spans="1:9" s="119" customFormat="1" ht="47.25" x14ac:dyDescent="0.25">
      <c r="A844" s="826" t="str">
        <f>IF(B844&gt;0,VLOOKUP(B844,КВСР!A247:B1412,2),IF(C844&gt;0,VLOOKUP(C844,КФСР!A247:B1759,2),IF(D844&gt;0,VLOOKUP(D844,Программа!A$1:B$5124,2),IF(F844&gt;0,VLOOKUP(F844,КВР!A$1:B$5001,2),IF(E844&gt;0,VLOOKUP(E844,Направление!A$1:B$4816,2))))))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44" s="760"/>
      <c r="C844" s="820"/>
      <c r="D844" s="760" t="s">
        <v>446</v>
      </c>
      <c r="E844" s="760"/>
      <c r="F844" s="763"/>
      <c r="G844" s="812">
        <v>89229652</v>
      </c>
      <c r="H844" s="812">
        <f t="shared" ref="H844:I844" si="192">H845+H848</f>
        <v>-666095</v>
      </c>
      <c r="I844" s="805">
        <f t="shared" si="192"/>
        <v>88563557</v>
      </c>
    </row>
    <row r="845" spans="1:9" s="119" customFormat="1" ht="63" x14ac:dyDescent="0.25">
      <c r="A845" s="826" t="str">
        <f>IF(B845&gt;0,VLOOKUP(B845,КВСР!A248:B1413,2),IF(C845&gt;0,VLOOKUP(C845,КФСР!A248:B1760,2),IF(D845&gt;0,VLOOKUP(D845,Программа!A$1:B$5124,2),IF(F845&gt;0,VLOOKUP(F845,КВР!A$1:B$5001,2),IF(E845&gt;0,VLOOKUP(E845,Направление!A$1:B$4816,2))))))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45" s="760"/>
      <c r="C845" s="820"/>
      <c r="D845" s="760" t="s">
        <v>451</v>
      </c>
      <c r="E845" s="760"/>
      <c r="F845" s="763"/>
      <c r="G845" s="812">
        <v>89229652</v>
      </c>
      <c r="H845" s="812">
        <f t="shared" ref="H845:I846" si="193">H846</f>
        <v>-666095</v>
      </c>
      <c r="I845" s="805">
        <f t="shared" si="193"/>
        <v>88563557</v>
      </c>
    </row>
    <row r="846" spans="1:9" s="119" customFormat="1" ht="141.75" x14ac:dyDescent="0.25">
      <c r="A846" s="826" t="str">
        <f>IF(B846&gt;0,VLOOKUP(B846,КВСР!A248:B1413,2),IF(C846&gt;0,VLOOKUP(C846,КФСР!A248:B1760,2),IF(D846&gt;0,VLOOKUP(D846,Программа!A$1:B$5124,2),IF(F846&gt;0,VLOOKUP(F846,КВР!A$1:B$5001,2),IF(E846&gt;0,VLOOKUP(E846,Направление!A$1:B$4816,2))))))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46" s="760"/>
      <c r="C846" s="820"/>
      <c r="D846" s="760"/>
      <c r="E846" s="760">
        <v>70850</v>
      </c>
      <c r="F846" s="763"/>
      <c r="G846" s="812">
        <v>89229652</v>
      </c>
      <c r="H846" s="812">
        <f t="shared" si="193"/>
        <v>-666095</v>
      </c>
      <c r="I846" s="805">
        <f t="shared" si="193"/>
        <v>88563557</v>
      </c>
    </row>
    <row r="847" spans="1:9" s="119" customFormat="1" ht="47.25" x14ac:dyDescent="0.25">
      <c r="A847" s="826" t="str">
        <f>IF(B847&gt;0,VLOOKUP(B847,КВСР!A249:B1414,2),IF(C847&gt;0,VLOOKUP(C847,КФСР!A249:B1761,2),IF(D847&gt;0,VLOOKUP(D847,Программа!A$1:B$5124,2),IF(F847&gt;0,VLOOKUP(F847,КВР!A$1:B$5001,2),IF(E847&gt;0,VLOOKUP(E847,Направление!A$1:B$4816,2))))))</f>
        <v>Предоставление субсидий бюджетным, автономным учреждениям и иным некоммерческим организациям</v>
      </c>
      <c r="B847" s="760"/>
      <c r="C847" s="820"/>
      <c r="D847" s="760"/>
      <c r="E847" s="760"/>
      <c r="F847" s="763">
        <v>600</v>
      </c>
      <c r="G847" s="812">
        <v>89229652</v>
      </c>
      <c r="H847" s="812">
        <v>-666095</v>
      </c>
      <c r="I847" s="805">
        <f t="shared" si="179"/>
        <v>88563557</v>
      </c>
    </row>
    <row r="848" spans="1:9" s="119" customFormat="1" ht="31.5" hidden="1" x14ac:dyDescent="0.25">
      <c r="A848" s="826" t="str">
        <f>IF(B848&gt;0,VLOOKUP(B848,КВСР!A250:B1415,2),IF(C848&gt;0,VLOOKUP(C848,КФСР!A250:B1762,2),IF(D848&gt;0,VLOOKUP(D848,Программа!A$1:B$5124,2),IF(F848&gt;0,VLOOKUP(F848,КВР!A$1:B$5001,2),IF(E848&gt;0,VLOOKUP(E848,Направление!A$1:B$4816,2))))))</f>
        <v>Федеральный проект "Старшее поколение"</v>
      </c>
      <c r="B848" s="760"/>
      <c r="C848" s="820"/>
      <c r="D848" s="760" t="s">
        <v>1324</v>
      </c>
      <c r="E848" s="760"/>
      <c r="F848" s="763"/>
      <c r="G848" s="812">
        <v>0</v>
      </c>
      <c r="H848" s="812">
        <f t="shared" ref="H848:I849" si="194">H849</f>
        <v>0</v>
      </c>
      <c r="I848" s="805">
        <f t="shared" si="194"/>
        <v>0</v>
      </c>
    </row>
    <row r="849" spans="1:9" s="119" customFormat="1" ht="63" hidden="1" x14ac:dyDescent="0.25">
      <c r="A849" s="826" t="str">
        <f>IF(B849&gt;0,VLOOKUP(B849,КВСР!A251:B1416,2),IF(C849&gt;0,VLOOKUP(C849,КФСР!A251:B1763,2),IF(D849&gt;0,VLOOKUP(D849,Программа!A$1:B$5124,2),IF(F849&gt;0,VLOOKUP(F849,КВР!A$1:B$5001,2),IF(E849&gt;0,VLOOKUP(E849,Направление!A$1:B$4816,2))))))</f>
        <v>Расходы на приобретение автотранспорта в рамках реализации федерального проекта  "Старшее поколение"</v>
      </c>
      <c r="B849" s="760"/>
      <c r="C849" s="820"/>
      <c r="D849" s="760"/>
      <c r="E849" s="760">
        <v>52930</v>
      </c>
      <c r="F849" s="763"/>
      <c r="G849" s="812">
        <v>0</v>
      </c>
      <c r="H849" s="812">
        <f t="shared" si="194"/>
        <v>0</v>
      </c>
      <c r="I849" s="805">
        <f t="shared" si="194"/>
        <v>0</v>
      </c>
    </row>
    <row r="850" spans="1:9" s="119" customFormat="1" ht="47.25" hidden="1" x14ac:dyDescent="0.25">
      <c r="A850" s="826" t="str">
        <f>IF(B850&gt;0,VLOOKUP(B850,КВСР!A252:B1417,2),IF(C850&gt;0,VLOOKUP(C850,КФСР!A252:B1764,2),IF(D850&gt;0,VLOOKUP(D850,Программа!A$1:B$5124,2),IF(F850&gt;0,VLOOKUP(F850,КВР!A$1:B$5001,2),IF(E850&gt;0,VLOOKUP(E850,Направление!A$1:B$4816,2))))))</f>
        <v>Предоставление субсидий бюджетным, автономным учреждениям и иным некоммерческим организациям</v>
      </c>
      <c r="B850" s="760"/>
      <c r="C850" s="820"/>
      <c r="D850" s="760"/>
      <c r="E850" s="760"/>
      <c r="F850" s="763">
        <v>600</v>
      </c>
      <c r="G850" s="812">
        <v>0</v>
      </c>
      <c r="H850" s="812"/>
      <c r="I850" s="805">
        <f>G850+H850</f>
        <v>0</v>
      </c>
    </row>
    <row r="851" spans="1:9" s="119" customFormat="1" x14ac:dyDescent="0.25">
      <c r="A851" s="826" t="str">
        <f>IF(B851&gt;0,VLOOKUP(B851,КВСР!A250:B1415,2),IF(C851&gt;0,VLOOKUP(C851,КФСР!A250:B1762,2),IF(D851&gt;0,VLOOKUP(D851,Программа!A$1:B$5124,2),IF(F851&gt;0,VLOOKUP(F851,КВР!A$1:B$5001,2),IF(E851&gt;0,VLOOKUP(E851,Направление!A$1:B$4816,2))))))</f>
        <v>Социальное обеспечение населения</v>
      </c>
      <c r="B851" s="760"/>
      <c r="C851" s="820">
        <v>1003</v>
      </c>
      <c r="D851" s="760"/>
      <c r="E851" s="760"/>
      <c r="F851" s="763"/>
      <c r="G851" s="812">
        <v>221210313</v>
      </c>
      <c r="H851" s="812">
        <f>H852+H911</f>
        <v>-2913470</v>
      </c>
      <c r="I851" s="805">
        <f>I852+I911</f>
        <v>218296843</v>
      </c>
    </row>
    <row r="852" spans="1:9" s="119" customFormat="1" ht="47.25" x14ac:dyDescent="0.25">
      <c r="A852" s="826" t="str">
        <f>IF(B852&gt;0,VLOOKUP(B852,КВСР!A251:B1416,2),IF(C852&gt;0,VLOOKUP(C852,КФСР!A251:B1763,2),IF(D852&gt;0,VLOOKUP(D852,Программа!A$1:B$5124,2),IF(F852&gt;0,VLOOKUP(F852,КВР!A$1:B$5001,2),IF(E852&gt;0,VLOOKUP(E852,Направление!A$1:B$4816,2))))))</f>
        <v>Муниципальная программа "Социальная поддержка населения Тутаевского муниципального района"</v>
      </c>
      <c r="B852" s="760"/>
      <c r="C852" s="820"/>
      <c r="D852" s="760" t="s">
        <v>376</v>
      </c>
      <c r="E852" s="760"/>
      <c r="F852" s="763"/>
      <c r="G852" s="812">
        <v>221070823</v>
      </c>
      <c r="H852" s="812">
        <f t="shared" ref="H852:I852" si="195">H853</f>
        <v>-2913470</v>
      </c>
      <c r="I852" s="805">
        <f t="shared" si="195"/>
        <v>218157353</v>
      </c>
    </row>
    <row r="853" spans="1:9" s="119" customFormat="1" ht="47.25" x14ac:dyDescent="0.25">
      <c r="A853" s="826" t="str">
        <f>IF(B853&gt;0,VLOOKUP(B853,КВСР!A251:B1416,2),IF(C853&gt;0,VLOOKUP(C853,КФСР!A251:B1763,2),IF(D853&gt;0,VLOOKUP(D853,Программа!A$1:B$5124,2),IF(F853&gt;0,VLOOKUP(F853,КВР!A$1:B$5001,2),IF(E853&gt;0,VLOOKUP(E853,Направление!A$1:B$4816,2))))))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53" s="760"/>
      <c r="C853" s="820"/>
      <c r="D853" s="760" t="s">
        <v>446</v>
      </c>
      <c r="E853" s="760"/>
      <c r="F853" s="763"/>
      <c r="G853" s="812">
        <v>221070823</v>
      </c>
      <c r="H853" s="812">
        <f>H854+H897</f>
        <v>-2913470</v>
      </c>
      <c r="I853" s="805">
        <f t="shared" ref="I853" si="196">I854+I897</f>
        <v>218157353</v>
      </c>
    </row>
    <row r="854" spans="1:9" s="119" customFormat="1" ht="47.25" x14ac:dyDescent="0.25">
      <c r="A854" s="826" t="str">
        <f>IF(B854&gt;0,VLOOKUP(B854,КВСР!A252:B1417,2),IF(C854&gt;0,VLOOKUP(C854,КФСР!A252:B1764,2),IF(D854&gt;0,VLOOKUP(D854,Программа!A$1:B$5124,2),IF(F854&gt;0,VLOOKUP(F854,КВР!A$1:B$5001,2),IF(E854&gt;0,VLOOKUP(E854,Направление!A$1:B$4816,2))))))</f>
        <v>Исполнение публичных обязательств по предоставлению выплат, пособий и компенсаций</v>
      </c>
      <c r="B854" s="760"/>
      <c r="C854" s="820"/>
      <c r="D854" s="760" t="s">
        <v>448</v>
      </c>
      <c r="E854" s="760"/>
      <c r="F854" s="763"/>
      <c r="G854" s="812">
        <v>198366776</v>
      </c>
      <c r="H854" s="812">
        <f>H855+H858+H861+H863+H866+H868+H870+H873+H876+H879+H882+H890+H893+H895+H885+H887</f>
        <v>-3521237</v>
      </c>
      <c r="I854" s="805">
        <f>I855+I858+I861+I863+I866+I868+I870+I873+I876+I879+I882+I890+I893+I895+I885+I887</f>
        <v>194845539</v>
      </c>
    </row>
    <row r="855" spans="1:9" s="119" customFormat="1" ht="47.25" hidden="1" x14ac:dyDescent="0.25">
      <c r="A855" s="826" t="str">
        <f>IF(B855&gt;0,VLOOKUP(B855,КВСР!A254:B1419,2),IF(C855&gt;0,VLOOKUP(C855,КФСР!A254:B1766,2),IF(D855&gt;0,VLOOKUP(D855,Программа!A$1:B$5124,2),IF(F855&gt;0,VLOOKUP(F855,КВР!A$1:B$5001,2),IF(E855&gt;0,VLOOKUP(E855,Направление!A$1:B$4816,2))))))</f>
        <v>Субвенция на социальную поддержку граждан, подвергшихся воздействию радиации</v>
      </c>
      <c r="B855" s="760"/>
      <c r="C855" s="820"/>
      <c r="D855" s="760"/>
      <c r="E855" s="760">
        <v>51370</v>
      </c>
      <c r="F855" s="763"/>
      <c r="G855" s="812">
        <v>0</v>
      </c>
      <c r="H855" s="812">
        <f>H856+H857</f>
        <v>0</v>
      </c>
      <c r="I855" s="805">
        <f>I856+I857</f>
        <v>0</v>
      </c>
    </row>
    <row r="856" spans="1:9" s="119" customFormat="1" ht="63" hidden="1" x14ac:dyDescent="0.25">
      <c r="A856" s="826" t="str">
        <f>IF(B856&gt;0,VLOOKUP(B856,КВСР!A255:B1420,2),IF(C856&gt;0,VLOOKUP(C856,КФСР!A255:B1767,2),IF(D856&gt;0,VLOOKUP(D856,Программа!A$1:B$5124,2),IF(F856&gt;0,VLOOKUP(F856,КВР!A$1:B$5001,2),IF(E856&gt;0,VLOOKUP(E856,Направление!A$1:B$4816,2))))))</f>
        <v xml:space="preserve">Закупка товаров, работ и услуг для обеспечения государственных (муниципальных) нужд
</v>
      </c>
      <c r="B856" s="760"/>
      <c r="C856" s="820"/>
      <c r="D856" s="760"/>
      <c r="E856" s="760"/>
      <c r="F856" s="763">
        <v>200</v>
      </c>
      <c r="G856" s="812">
        <v>0</v>
      </c>
      <c r="H856" s="812"/>
      <c r="I856" s="805">
        <f t="shared" si="179"/>
        <v>0</v>
      </c>
    </row>
    <row r="857" spans="1:9" s="119" customFormat="1" ht="31.5" hidden="1" x14ac:dyDescent="0.25">
      <c r="A857" s="826" t="str">
        <f>IF(B857&gt;0,VLOOKUP(B857,КВСР!A256:B1421,2),IF(C857&gt;0,VLOOKUP(C857,КФСР!A256:B1768,2),IF(D857&gt;0,VLOOKUP(D857,Программа!A$1:B$5124,2),IF(F857&gt;0,VLOOKUP(F857,КВР!A$1:B$5001,2),IF(E857&gt;0,VLOOKUP(E857,Направление!A$1:B$4816,2))))))</f>
        <v>Социальное обеспечение и иные выплаты населению</v>
      </c>
      <c r="B857" s="760"/>
      <c r="C857" s="820"/>
      <c r="D857" s="760"/>
      <c r="E857" s="760"/>
      <c r="F857" s="763">
        <v>300</v>
      </c>
      <c r="G857" s="812">
        <v>0</v>
      </c>
      <c r="H857" s="812"/>
      <c r="I857" s="805">
        <f t="shared" si="179"/>
        <v>0</v>
      </c>
    </row>
    <row r="858" spans="1:9" s="119" customFormat="1" ht="110.25" x14ac:dyDescent="0.25">
      <c r="A858" s="826" t="str">
        <f>IF(B858&gt;0,VLOOKUP(B858,КВСР!A252:B1417,2),IF(C858&gt;0,VLOOKUP(C858,КФСР!A252:B1764,2),IF(D858&gt;0,VLOOKUP(D858,Программа!A$1:B$5124,2),IF(F858&gt;0,VLOOKUP(F858,КВР!A$1:B$5001,2),IF(E858&gt;0,VLOOKUP(E858,Направление!A$1:B$4816,2))))))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58" s="760"/>
      <c r="C858" s="820"/>
      <c r="D858" s="760"/>
      <c r="E858" s="760">
        <v>52200</v>
      </c>
      <c r="F858" s="763"/>
      <c r="G858" s="812">
        <v>6519152</v>
      </c>
      <c r="H858" s="812">
        <f>H859+H860</f>
        <v>0</v>
      </c>
      <c r="I858" s="805">
        <f>I859+I860</f>
        <v>6519152</v>
      </c>
    </row>
    <row r="859" spans="1:9" s="119" customFormat="1" ht="63" x14ac:dyDescent="0.25">
      <c r="A859" s="826" t="str">
        <f>IF(B859&gt;0,VLOOKUP(B859,КВСР!A253:B1418,2),IF(C859&gt;0,VLOOKUP(C859,КФСР!A253:B1765,2),IF(D859&gt;0,VLOOKUP(D859,Программа!A$1:B$5124,2),IF(F859&gt;0,VLOOKUP(F859,КВР!A$1:B$5001,2),IF(E859&gt;0,VLOOKUP(E859,Направление!A$1:B$4816,2))))))</f>
        <v xml:space="preserve">Закупка товаров, работ и услуг для обеспечения государственных (муниципальных) нужд
</v>
      </c>
      <c r="B859" s="760"/>
      <c r="C859" s="820"/>
      <c r="D859" s="760"/>
      <c r="E859" s="760"/>
      <c r="F859" s="763">
        <v>200</v>
      </c>
      <c r="G859" s="812">
        <v>80707.679999999993</v>
      </c>
      <c r="H859" s="812"/>
      <c r="I859" s="805">
        <f t="shared" si="179"/>
        <v>80707.679999999993</v>
      </c>
    </row>
    <row r="860" spans="1:9" s="119" customFormat="1" ht="31.5" x14ac:dyDescent="0.25">
      <c r="A860" s="826" t="str">
        <f>IF(B860&gt;0,VLOOKUP(B860,КВСР!A254:B1419,2),IF(C860&gt;0,VLOOKUP(C860,КФСР!A254:B1766,2),IF(D860&gt;0,VLOOKUP(D860,Программа!A$1:B$5124,2),IF(F860&gt;0,VLOOKUP(F860,КВР!A$1:B$5001,2),IF(E860&gt;0,VLOOKUP(E860,Направление!A$1:B$4816,2))))))</f>
        <v>Социальное обеспечение и иные выплаты населению</v>
      </c>
      <c r="B860" s="760"/>
      <c r="C860" s="820"/>
      <c r="D860" s="760"/>
      <c r="E860" s="760"/>
      <c r="F860" s="763">
        <v>300</v>
      </c>
      <c r="G860" s="812">
        <v>6438444.3200000003</v>
      </c>
      <c r="H860" s="812"/>
      <c r="I860" s="805">
        <f t="shared" si="179"/>
        <v>6438444.3200000003</v>
      </c>
    </row>
    <row r="861" spans="1:9" s="119" customFormat="1" ht="78.75" hidden="1" x14ac:dyDescent="0.25">
      <c r="A861" s="826" t="str">
        <f>IF(B861&gt;0,VLOOKUP(B861,КВСР!A255:B1420,2),IF(C861&gt;0,VLOOKUP(C861,КФСР!A255:B1767,2),IF(D861&gt;0,VLOOKUP(D861,Программа!A$1:B$5124,2),IF(F861&gt;0,VLOOKUP(F861,КВР!A$1:B$5001,2),IF(E861&gt;0,VLOOKUP(E861,Направление!A$1:B$4816,2))))))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61" s="760"/>
      <c r="C861" s="820"/>
      <c r="D861" s="760"/>
      <c r="E861" s="760">
        <v>52400</v>
      </c>
      <c r="F861" s="763"/>
      <c r="G861" s="812">
        <v>0</v>
      </c>
      <c r="H861" s="812">
        <f>H862</f>
        <v>0</v>
      </c>
      <c r="I861" s="805">
        <f>I862</f>
        <v>0</v>
      </c>
    </row>
    <row r="862" spans="1:9" s="119" customFormat="1" ht="31.5" hidden="1" x14ac:dyDescent="0.25">
      <c r="A862" s="826" t="str">
        <f>IF(B862&gt;0,VLOOKUP(B862,КВСР!A256:B1421,2),IF(C862&gt;0,VLOOKUP(C862,КФСР!A256:B1768,2),IF(D862&gt;0,VLOOKUP(D862,Программа!A$1:B$5124,2),IF(F862&gt;0,VLOOKUP(F862,КВР!A$1:B$5001,2),IF(E862&gt;0,VLOOKUP(E862,Направление!A$1:B$4816,2))))))</f>
        <v>Социальное обеспечение и иные выплаты населению</v>
      </c>
      <c r="B862" s="760"/>
      <c r="C862" s="820"/>
      <c r="D862" s="760"/>
      <c r="E862" s="760"/>
      <c r="F862" s="763">
        <v>300</v>
      </c>
      <c r="G862" s="812">
        <v>0</v>
      </c>
      <c r="H862" s="812"/>
      <c r="I862" s="805">
        <f t="shared" si="179"/>
        <v>0</v>
      </c>
    </row>
    <row r="863" spans="1:9" s="119" customFormat="1" ht="47.25" x14ac:dyDescent="0.25">
      <c r="A863" s="826" t="str">
        <f>IF(B863&gt;0,VLOOKUP(B863,КВСР!A252:B1417,2),IF(C863&gt;0,VLOOKUP(C863,КФСР!A252:B1764,2),IF(D863&gt;0,VLOOKUP(D863,Программа!A$1:B$5124,2),IF(F863&gt;0,VLOOKUP(F863,КВР!A$1:B$5001,2),IF(E863&gt;0,VLOOKUP(E863,Направление!A$1:B$4816,2))))))</f>
        <v>Оплата жилищно-коммунальных услуг отдельным категориям граждан за счет средств федерального бюджета</v>
      </c>
      <c r="B863" s="760"/>
      <c r="C863" s="820"/>
      <c r="D863" s="760"/>
      <c r="E863" s="760">
        <v>52500</v>
      </c>
      <c r="F863" s="763"/>
      <c r="G863" s="812">
        <v>33985534</v>
      </c>
      <c r="H863" s="812">
        <f>H865+H864</f>
        <v>-1553000</v>
      </c>
      <c r="I863" s="805">
        <f>I865+I864</f>
        <v>32432534</v>
      </c>
    </row>
    <row r="864" spans="1:9" s="119" customFormat="1" ht="63" x14ac:dyDescent="0.25">
      <c r="A864" s="826" t="str">
        <f>IF(B864&gt;0,VLOOKUP(B864,КВСР!A252:B1417,2),IF(C864&gt;0,VLOOKUP(C864,КФСР!A252:B1764,2),IF(D864&gt;0,VLOOKUP(D864,Программа!A$1:B$5124,2),IF(F864&gt;0,VLOOKUP(F864,КВР!A$1:B$5001,2),IF(E864&gt;0,VLOOKUP(E864,Направление!A$1:B$4816,2))))))</f>
        <v xml:space="preserve">Закупка товаров, работ и услуг для обеспечения государственных (муниципальных) нужд
</v>
      </c>
      <c r="B864" s="760"/>
      <c r="C864" s="820"/>
      <c r="D864" s="760"/>
      <c r="E864" s="760"/>
      <c r="F864" s="763">
        <v>200</v>
      </c>
      <c r="G864" s="812">
        <v>549200</v>
      </c>
      <c r="H864" s="812"/>
      <c r="I864" s="805">
        <f t="shared" si="179"/>
        <v>549200</v>
      </c>
    </row>
    <row r="865" spans="1:9" s="119" customFormat="1" ht="31.5" x14ac:dyDescent="0.25">
      <c r="A865" s="826" t="str">
        <f>IF(B865&gt;0,VLOOKUP(B865,КВСР!A253:B1418,2),IF(C865&gt;0,VLOOKUP(C865,КФСР!A253:B1765,2),IF(D865&gt;0,VLOOKUP(D865,Программа!A$1:B$5124,2),IF(F865&gt;0,VLOOKUP(F865,КВР!A$1:B$5001,2),IF(E865&gt;0,VLOOKUP(E865,Направление!A$1:B$4816,2))))))</f>
        <v>Социальное обеспечение и иные выплаты населению</v>
      </c>
      <c r="B865" s="760"/>
      <c r="C865" s="820"/>
      <c r="D865" s="760"/>
      <c r="E865" s="760"/>
      <c r="F865" s="763">
        <v>300</v>
      </c>
      <c r="G865" s="812">
        <v>33436334</v>
      </c>
      <c r="H865" s="812">
        <v>-1553000</v>
      </c>
      <c r="I865" s="805">
        <f t="shared" si="179"/>
        <v>31883334</v>
      </c>
    </row>
    <row r="866" spans="1:9" s="119" customFormat="1" ht="63" hidden="1" x14ac:dyDescent="0.25">
      <c r="A866" s="826" t="str">
        <f>IF(B866&gt;0,VLOOKUP(B866,КВСР!A254:B1419,2),IF(C866&gt;0,VLOOKUP(C866,КФСР!A254:B1766,2),IF(D866&gt;0,VLOOKUP(D866,Программа!A$1:B$5124,2),IF(F866&gt;0,VLOOKUP(F866,КВР!A$1:B$5001,2),IF(E866&gt;0,VLOOKUP(E866,Направление!A$1:B$4816,2))))))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66" s="760"/>
      <c r="C866" s="820"/>
      <c r="D866" s="760"/>
      <c r="E866" s="760">
        <v>54620</v>
      </c>
      <c r="F866" s="763"/>
      <c r="G866" s="812">
        <v>0</v>
      </c>
      <c r="H866" s="812">
        <f>H867</f>
        <v>0</v>
      </c>
      <c r="I866" s="805">
        <f t="shared" si="179"/>
        <v>0</v>
      </c>
    </row>
    <row r="867" spans="1:9" s="119" customFormat="1" ht="31.5" hidden="1" x14ac:dyDescent="0.25">
      <c r="A867" s="826" t="str">
        <f>IF(B867&gt;0,VLOOKUP(B867,КВСР!A255:B1420,2),IF(C867&gt;0,VLOOKUP(C867,КФСР!A255:B1767,2),IF(D867&gt;0,VLOOKUP(D867,Программа!A$1:B$5124,2),IF(F867&gt;0,VLOOKUP(F867,КВР!A$1:B$5001,2),IF(E867&gt;0,VLOOKUP(E867,Направление!A$1:B$4816,2))))))</f>
        <v>Социальное обеспечение и иные выплаты населению</v>
      </c>
      <c r="B867" s="760"/>
      <c r="C867" s="820"/>
      <c r="D867" s="760"/>
      <c r="E867" s="760"/>
      <c r="F867" s="763">
        <v>300</v>
      </c>
      <c r="G867" s="812">
        <v>0</v>
      </c>
      <c r="H867" s="812"/>
      <c r="I867" s="805">
        <f t="shared" si="179"/>
        <v>0</v>
      </c>
    </row>
    <row r="868" spans="1:9" s="119" customFormat="1" ht="94.5" hidden="1" x14ac:dyDescent="0.25">
      <c r="A868" s="826" t="str">
        <f>IF(B868&gt;0,VLOOKUP(B868,КВСР!A256:B1421,2),IF(C868&gt;0,VLOOKUP(C868,КФСР!A256:B1768,2),IF(D868&gt;0,VLOOKUP(D868,Программа!A$1:B$5124,2),IF(F868&gt;0,VLOOKUP(F868,КВР!A$1:B$5001,2),IF(E868&gt;0,VLOOKUP(E868,Направление!A$1:B$4816,2))))))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68" s="760"/>
      <c r="C868" s="820"/>
      <c r="D868" s="760"/>
      <c r="E868" s="760">
        <v>53850</v>
      </c>
      <c r="F868" s="763"/>
      <c r="G868" s="812">
        <v>0</v>
      </c>
      <c r="H868" s="812">
        <f>H869</f>
        <v>0</v>
      </c>
      <c r="I868" s="805">
        <f t="shared" si="179"/>
        <v>0</v>
      </c>
    </row>
    <row r="869" spans="1:9" s="119" customFormat="1" ht="31.5" hidden="1" x14ac:dyDescent="0.25">
      <c r="A869" s="826" t="str">
        <f>IF(B869&gt;0,VLOOKUP(B869,КВСР!A257:B1422,2),IF(C869&gt;0,VLOOKUP(C869,КФСР!A257:B1769,2),IF(D869&gt;0,VLOOKUP(D869,Программа!A$1:B$5124,2),IF(F869&gt;0,VLOOKUP(F869,КВР!A$1:B$5001,2),IF(E869&gt;0,VLOOKUP(E869,Направление!A$1:B$4816,2))))))</f>
        <v>Социальное обеспечение и иные выплаты населению</v>
      </c>
      <c r="B869" s="760"/>
      <c r="C869" s="820"/>
      <c r="D869" s="760"/>
      <c r="E869" s="760"/>
      <c r="F869" s="763">
        <v>300</v>
      </c>
      <c r="G869" s="812">
        <v>0</v>
      </c>
      <c r="H869" s="812"/>
      <c r="I869" s="805">
        <f t="shared" si="179"/>
        <v>0</v>
      </c>
    </row>
    <row r="870" spans="1:9" s="119" customFormat="1" ht="63" x14ac:dyDescent="0.25">
      <c r="A870" s="826" t="str">
        <f>IF(B870&gt;0,VLOOKUP(B870,КВСР!A258:B1423,2),IF(C870&gt;0,VLOOKUP(C870,КФСР!A258:B1770,2),IF(D870&gt;0,VLOOKUP(D870,Программа!A$1:B$5124,2),IF(F870&gt;0,VLOOKUP(F870,КВР!A$1:B$5001,2),IF(E870&gt;0,VLOOKUP(E870,Направление!A$1:B$4816,2))))))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870" s="760"/>
      <c r="C870" s="820"/>
      <c r="D870" s="760"/>
      <c r="E870" s="760">
        <v>70740</v>
      </c>
      <c r="F870" s="763"/>
      <c r="G870" s="812">
        <v>28658000</v>
      </c>
      <c r="H870" s="812">
        <f>SUM(H871:H872)</f>
        <v>0</v>
      </c>
      <c r="I870" s="805">
        <f>SUM(I871:I872)</f>
        <v>28658000</v>
      </c>
    </row>
    <row r="871" spans="1:9" s="119" customFormat="1" ht="63" x14ac:dyDescent="0.25">
      <c r="A871" s="826" t="str">
        <f>IF(B871&gt;0,VLOOKUP(B871,КВСР!A258:B1423,2),IF(C871&gt;0,VLOOKUP(C871,КФСР!A258:B1770,2),IF(D871&gt;0,VLOOKUP(D871,Программа!A$1:B$5124,2),IF(F871&gt;0,VLOOKUP(F871,КВР!A$1:B$5001,2),IF(E871&gt;0,VLOOKUP(E871,Направление!A$1:B$4816,2))))))</f>
        <v xml:space="preserve">Закупка товаров, работ и услуг для обеспечения государственных (муниципальных) нужд
</v>
      </c>
      <c r="B871" s="760"/>
      <c r="C871" s="820"/>
      <c r="D871" s="760"/>
      <c r="E871" s="760"/>
      <c r="F871" s="763">
        <v>200</v>
      </c>
      <c r="G871" s="812">
        <v>403600</v>
      </c>
      <c r="H871" s="812"/>
      <c r="I871" s="805">
        <f t="shared" si="179"/>
        <v>403600</v>
      </c>
    </row>
    <row r="872" spans="1:9" s="119" customFormat="1" ht="31.5" x14ac:dyDescent="0.25">
      <c r="A872" s="826" t="str">
        <f>IF(B872&gt;0,VLOOKUP(B872,КВСР!A259:B1424,2),IF(C872&gt;0,VLOOKUP(C872,КФСР!A259:B1771,2),IF(D872&gt;0,VLOOKUP(D872,Программа!A$1:B$5124,2),IF(F872&gt;0,VLOOKUP(F872,КВР!A$1:B$5001,2),IF(E872&gt;0,VLOOKUP(E872,Направление!A$1:B$4816,2))))))</f>
        <v>Социальное обеспечение и иные выплаты населению</v>
      </c>
      <c r="B872" s="760"/>
      <c r="C872" s="820"/>
      <c r="D872" s="760"/>
      <c r="E872" s="760"/>
      <c r="F872" s="763">
        <v>300</v>
      </c>
      <c r="G872" s="812">
        <v>28254400</v>
      </c>
      <c r="H872" s="812"/>
      <c r="I872" s="805">
        <f t="shared" si="179"/>
        <v>28254400</v>
      </c>
    </row>
    <row r="873" spans="1:9" s="119" customFormat="1" ht="78.75" x14ac:dyDescent="0.25">
      <c r="A873" s="826" t="str">
        <f>IF(B873&gt;0,VLOOKUP(B873,КВСР!A260:B1425,2),IF(C873&gt;0,VLOOKUP(C873,КФСР!A260:B1772,2),IF(D873&gt;0,VLOOKUP(D873,Программа!A$1:B$5124,2),IF(F873&gt;0,VLOOKUP(F873,КВР!A$1:B$5001,2),IF(E873&gt;0,VLOOKUP(E873,Направление!A$1:B$4816,2))))))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73" s="760"/>
      <c r="C873" s="820"/>
      <c r="D873" s="760"/>
      <c r="E873" s="760">
        <v>70750</v>
      </c>
      <c r="F873" s="763"/>
      <c r="G873" s="812">
        <v>37253000</v>
      </c>
      <c r="H873" s="812">
        <f>H874+H875</f>
        <v>-280000</v>
      </c>
      <c r="I873" s="805">
        <f>I874+I875</f>
        <v>36973000</v>
      </c>
    </row>
    <row r="874" spans="1:9" s="119" customFormat="1" ht="63" x14ac:dyDescent="0.25">
      <c r="A874" s="826" t="str">
        <f>IF(B874&gt;0,VLOOKUP(B874,КВСР!A261:B1426,2),IF(C874&gt;0,VLOOKUP(C874,КФСР!A261:B1773,2),IF(D874&gt;0,VLOOKUP(D874,Программа!A$1:B$5124,2),IF(F874&gt;0,VLOOKUP(F874,КВР!A$1:B$5001,2),IF(E874&gt;0,VLOOKUP(E874,Направление!A$1:B$4816,2))))))</f>
        <v xml:space="preserve">Закупка товаров, работ и услуг для обеспечения государственных (муниципальных) нужд
</v>
      </c>
      <c r="B874" s="760"/>
      <c r="C874" s="820"/>
      <c r="D874" s="760"/>
      <c r="E874" s="760"/>
      <c r="F874" s="763">
        <v>200</v>
      </c>
      <c r="G874" s="812">
        <v>597800</v>
      </c>
      <c r="H874" s="812">
        <v>-15000</v>
      </c>
      <c r="I874" s="805">
        <f t="shared" si="179"/>
        <v>582800</v>
      </c>
    </row>
    <row r="875" spans="1:9" s="119" customFormat="1" ht="31.5" x14ac:dyDescent="0.25">
      <c r="A875" s="826" t="str">
        <f>IF(B875&gt;0,VLOOKUP(B875,КВСР!A261:B1426,2),IF(C875&gt;0,VLOOKUP(C875,КФСР!A261:B1773,2),IF(D875&gt;0,VLOOKUP(D875,Программа!A$1:B$5124,2),IF(F875&gt;0,VLOOKUP(F875,КВР!A$1:B$5001,2),IF(E875&gt;0,VLOOKUP(E875,Направление!A$1:B$4816,2))))))</f>
        <v>Социальное обеспечение и иные выплаты населению</v>
      </c>
      <c r="B875" s="760"/>
      <c r="C875" s="820"/>
      <c r="D875" s="760"/>
      <c r="E875" s="760"/>
      <c r="F875" s="763">
        <v>300</v>
      </c>
      <c r="G875" s="812">
        <v>36655200</v>
      </c>
      <c r="H875" s="812">
        <v>-265000</v>
      </c>
      <c r="I875" s="805">
        <f t="shared" si="179"/>
        <v>36390200</v>
      </c>
    </row>
    <row r="876" spans="1:9" s="119" customFormat="1" ht="110.25" x14ac:dyDescent="0.25">
      <c r="A876" s="826" t="str">
        <f>IF(B876&gt;0,VLOOKUP(B876,КВСР!A254:B1419,2),IF(C876&gt;0,VLOOKUP(C876,КФСР!A254:B1766,2),IF(D876&gt;0,VLOOKUP(D876,Программа!A$1:B$5124,2),IF(F876&gt;0,VLOOKUP(F876,КВР!A$1:B$5001,2),IF(E876&gt;0,VLOOKUP(E876,Направление!A$1:B$4816,2))))))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76" s="760"/>
      <c r="C876" s="820"/>
      <c r="D876" s="760"/>
      <c r="E876" s="760">
        <v>70840</v>
      </c>
      <c r="F876" s="763"/>
      <c r="G876" s="812">
        <v>68101000</v>
      </c>
      <c r="H876" s="812">
        <f>H878+H877</f>
        <v>-1372537</v>
      </c>
      <c r="I876" s="805">
        <f>I878+I877</f>
        <v>66728463</v>
      </c>
    </row>
    <row r="877" spans="1:9" s="119" customFormat="1" ht="63" x14ac:dyDescent="0.25">
      <c r="A877" s="826" t="str">
        <f>IF(B877&gt;0,VLOOKUP(B877,КВСР!A254:B1419,2),IF(C877&gt;0,VLOOKUP(C877,КФСР!A254:B1766,2),IF(D877&gt;0,VLOOKUP(D877,Программа!A$1:B$5124,2),IF(F877&gt;0,VLOOKUP(F877,КВР!A$1:B$5001,2),IF(E877&gt;0,VLOOKUP(E877,Направление!A$1:B$4816,2))))))</f>
        <v xml:space="preserve">Закупка товаров, работ и услуг для обеспечения государственных (муниципальных) нужд
</v>
      </c>
      <c r="B877" s="760"/>
      <c r="C877" s="820"/>
      <c r="D877" s="760"/>
      <c r="E877" s="760"/>
      <c r="F877" s="763">
        <v>200</v>
      </c>
      <c r="G877" s="812">
        <v>1028000</v>
      </c>
      <c r="H877" s="812"/>
      <c r="I877" s="805">
        <f t="shared" si="179"/>
        <v>1028000</v>
      </c>
    </row>
    <row r="878" spans="1:9" s="119" customFormat="1" ht="31.5" x14ac:dyDescent="0.25">
      <c r="A878" s="826" t="str">
        <f>IF(B878&gt;0,VLOOKUP(B878,КВСР!A255:B1420,2),IF(C878&gt;0,VLOOKUP(C878,КФСР!A255:B1767,2),IF(D878&gt;0,VLOOKUP(D878,Программа!A$1:B$5124,2),IF(F878&gt;0,VLOOKUP(F878,КВР!A$1:B$5001,2),IF(E878&gt;0,VLOOKUP(E878,Направление!A$1:B$4816,2))))))</f>
        <v>Социальное обеспечение и иные выплаты населению</v>
      </c>
      <c r="B878" s="760"/>
      <c r="C878" s="820"/>
      <c r="D878" s="760"/>
      <c r="E878" s="760"/>
      <c r="F878" s="763">
        <v>300</v>
      </c>
      <c r="G878" s="812">
        <v>67073000</v>
      </c>
      <c r="H878" s="812">
        <v>-1372537</v>
      </c>
      <c r="I878" s="805">
        <f t="shared" si="179"/>
        <v>65700463</v>
      </c>
    </row>
    <row r="879" spans="1:9" s="119" customFormat="1" ht="31.5" x14ac:dyDescent="0.25">
      <c r="A879" s="826" t="str">
        <f>IF(B879&gt;0,VLOOKUP(B879,КВСР!A256:B1421,2),IF(C879&gt;0,VLOOKUP(C879,КФСР!A256:B1768,2),IF(D879&gt;0,VLOOKUP(D879,Программа!A$1:B$5124,2),IF(F879&gt;0,VLOOKUP(F879,КВР!A$1:B$5001,2),IF(E879&gt;0,VLOOKUP(E879,Направление!A$1:B$4816,2))))))</f>
        <v>Денежные выплаты за счет средств областного бюджета</v>
      </c>
      <c r="B879" s="760"/>
      <c r="C879" s="820"/>
      <c r="D879" s="760"/>
      <c r="E879" s="760">
        <v>70860</v>
      </c>
      <c r="F879" s="763"/>
      <c r="G879" s="812">
        <v>19156800</v>
      </c>
      <c r="H879" s="812">
        <f>H880+H881</f>
        <v>-315000</v>
      </c>
      <c r="I879" s="805">
        <f>I880+I881</f>
        <v>18841800</v>
      </c>
    </row>
    <row r="880" spans="1:9" s="119" customFormat="1" ht="63" x14ac:dyDescent="0.25">
      <c r="A880" s="826" t="str">
        <f>IF(B880&gt;0,VLOOKUP(B880,КВСР!A257:B1422,2),IF(C880&gt;0,VLOOKUP(C880,КФСР!A257:B1769,2),IF(D880&gt;0,VLOOKUP(D880,Программа!A$1:B$5124,2),IF(F880&gt;0,VLOOKUP(F880,КВР!A$1:B$5001,2),IF(E880&gt;0,VLOOKUP(E880,Направление!A$1:B$4816,2))))))</f>
        <v xml:space="preserve">Закупка товаров, работ и услуг для обеспечения государственных (муниципальных) нужд
</v>
      </c>
      <c r="B880" s="760"/>
      <c r="C880" s="820"/>
      <c r="D880" s="760"/>
      <c r="E880" s="760"/>
      <c r="F880" s="763">
        <v>200</v>
      </c>
      <c r="G880" s="812">
        <v>282050</v>
      </c>
      <c r="H880" s="812">
        <v>-30000</v>
      </c>
      <c r="I880" s="805">
        <f t="shared" si="179"/>
        <v>252050</v>
      </c>
    </row>
    <row r="881" spans="1:9" s="119" customFormat="1" ht="31.5" x14ac:dyDescent="0.25">
      <c r="A881" s="826" t="str">
        <f>IF(B881&gt;0,VLOOKUP(B881,КВСР!A258:B1423,2),IF(C881&gt;0,VLOOKUP(C881,КФСР!A258:B1770,2),IF(D881&gt;0,VLOOKUP(D881,Программа!A$1:B$5124,2),IF(F881&gt;0,VLOOKUP(F881,КВР!A$1:B$5001,2),IF(E881&gt;0,VLOOKUP(E881,Направление!A$1:B$4816,2))))))</f>
        <v>Социальное обеспечение и иные выплаты населению</v>
      </c>
      <c r="B881" s="760"/>
      <c r="C881" s="820"/>
      <c r="D881" s="760"/>
      <c r="E881" s="760"/>
      <c r="F881" s="763">
        <v>300</v>
      </c>
      <c r="G881" s="812">
        <v>18874750</v>
      </c>
      <c r="H881" s="812">
        <v>-285000</v>
      </c>
      <c r="I881" s="805">
        <f t="shared" si="179"/>
        <v>18589750</v>
      </c>
    </row>
    <row r="882" spans="1:9" s="119" customFormat="1" ht="47.25" hidden="1" x14ac:dyDescent="0.25">
      <c r="A882" s="826" t="str">
        <f>IF(B882&gt;0,VLOOKUP(B882,КВСР!A259:B1424,2),IF(C882&gt;0,VLOOKUP(C882,КФСР!A259:B1771,2),IF(D882&gt;0,VLOOKUP(D882,Программа!A$1:B$5124,2),IF(F882&gt;0,VLOOKUP(F882,КВР!A$1:B$5001,2),IF(E882&gt;0,VLOOKUP(E882,Направление!A$1:B$4816,2))))))</f>
        <v>Оказание социальной помощи отдельным категориям граждан за счет средств областного бюджета</v>
      </c>
      <c r="B882" s="760"/>
      <c r="C882" s="820"/>
      <c r="D882" s="760"/>
      <c r="E882" s="760">
        <v>70890</v>
      </c>
      <c r="F882" s="763"/>
      <c r="G882" s="812">
        <v>0</v>
      </c>
      <c r="H882" s="812">
        <f>H883+H884</f>
        <v>0</v>
      </c>
      <c r="I882" s="805">
        <f t="shared" si="179"/>
        <v>0</v>
      </c>
    </row>
    <row r="883" spans="1:9" s="119" customFormat="1" ht="63" hidden="1" x14ac:dyDescent="0.25">
      <c r="A883" s="826" t="str">
        <f>IF(B883&gt;0,VLOOKUP(B883,КВСР!A260:B1425,2),IF(C883&gt;0,VLOOKUP(C883,КФСР!A260:B1772,2),IF(D883&gt;0,VLOOKUP(D883,Программа!A$1:B$5124,2),IF(F883&gt;0,VLOOKUP(F883,КВР!A$1:B$5001,2),IF(E883&gt;0,VLOOKUP(E883,Направление!A$1:B$4816,2))))))</f>
        <v xml:space="preserve">Закупка товаров, работ и услуг для обеспечения государственных (муниципальных) нужд
</v>
      </c>
      <c r="B883" s="760"/>
      <c r="C883" s="820"/>
      <c r="D883" s="760"/>
      <c r="E883" s="760"/>
      <c r="F883" s="763">
        <v>200</v>
      </c>
      <c r="G883" s="812">
        <v>0</v>
      </c>
      <c r="H883" s="812"/>
      <c r="I883" s="805">
        <f t="shared" si="179"/>
        <v>0</v>
      </c>
    </row>
    <row r="884" spans="1:9" s="119" customFormat="1" ht="31.5" hidden="1" x14ac:dyDescent="0.25">
      <c r="A884" s="826" t="str">
        <f>IF(B884&gt;0,VLOOKUP(B884,КВСР!A261:B1426,2),IF(C884&gt;0,VLOOKUP(C884,КФСР!A261:B1773,2),IF(D884&gt;0,VLOOKUP(D884,Программа!A$1:B$5124,2),IF(F884&gt;0,VLOOKUP(F884,КВР!A$1:B$5001,2),IF(E884&gt;0,VLOOKUP(E884,Направление!A$1:B$4816,2))))))</f>
        <v>Социальное обеспечение и иные выплаты населению</v>
      </c>
      <c r="B884" s="760"/>
      <c r="C884" s="820"/>
      <c r="D884" s="760"/>
      <c r="E884" s="760"/>
      <c r="F884" s="763">
        <v>300</v>
      </c>
      <c r="G884" s="812">
        <v>0</v>
      </c>
      <c r="H884" s="812"/>
      <c r="I884" s="805">
        <f t="shared" si="179"/>
        <v>0</v>
      </c>
    </row>
    <row r="885" spans="1:9" s="119" customFormat="1" ht="78.75" x14ac:dyDescent="0.25">
      <c r="A885" s="826" t="str">
        <f>IF(B885&gt;0,VLOOKUP(B885,КВСР!A262:B1427,2),IF(C885&gt;0,VLOOKUP(C885,КФСР!A262:B1774,2),IF(D885&gt;0,VLOOKUP(D885,Программа!A$1:B$5124,2),IF(F885&gt;0,VLOOKUP(F885,КВР!A$1:B$5001,2),IF(E885&gt;0,VLOOKUP(E885,Направление!A$1:B$4816,2))))))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85" s="760"/>
      <c r="C885" s="820"/>
      <c r="D885" s="760"/>
      <c r="E885" s="760">
        <v>72550</v>
      </c>
      <c r="F885" s="763"/>
      <c r="G885" s="812">
        <v>13435</v>
      </c>
      <c r="H885" s="812">
        <f>H886</f>
        <v>0</v>
      </c>
      <c r="I885" s="805">
        <f>I886</f>
        <v>13435</v>
      </c>
    </row>
    <row r="886" spans="1:9" s="119" customFormat="1" ht="31.5" x14ac:dyDescent="0.25">
      <c r="A886" s="826" t="str">
        <f>IF(B886&gt;0,VLOOKUP(B886,КВСР!A263:B1428,2),IF(C886&gt;0,VLOOKUP(C886,КФСР!A263:B1775,2),IF(D886&gt;0,VLOOKUP(D886,Программа!A$1:B$5124,2),IF(F886&gt;0,VLOOKUP(F886,КВР!A$1:B$5001,2),IF(E886&gt;0,VLOOKUP(E886,Направление!A$1:B$4816,2))))))</f>
        <v>Социальное обеспечение и иные выплаты населению</v>
      </c>
      <c r="B886" s="760"/>
      <c r="C886" s="820"/>
      <c r="D886" s="760"/>
      <c r="E886" s="760"/>
      <c r="F886" s="763">
        <v>300</v>
      </c>
      <c r="G886" s="812">
        <v>13435</v>
      </c>
      <c r="H886" s="812"/>
      <c r="I886" s="805">
        <f t="shared" si="179"/>
        <v>13435</v>
      </c>
    </row>
    <row r="887" spans="1:9" s="119" customFormat="1" ht="78.75" x14ac:dyDescent="0.25">
      <c r="A887" s="826" t="str">
        <f>IF(B887&gt;0,VLOOKUP(B887,КВСР!A264:B1429,2),IF(C887&gt;0,VLOOKUP(C887,КФСР!A264:B1776,2),IF(D887&gt;0,VLOOKUP(D887,Программа!A$1:B$5124,2),IF(F887&gt;0,VLOOKUP(F887,КВР!A$1:B$5001,2),IF(E887&gt;0,VLOOKUP(E887,Направление!A$1:B$4816,2))))))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7" s="760"/>
      <c r="C887" s="820"/>
      <c r="D887" s="760"/>
      <c r="E887" s="760">
        <v>72560</v>
      </c>
      <c r="F887" s="763"/>
      <c r="G887" s="812">
        <v>2843334</v>
      </c>
      <c r="H887" s="812">
        <f>H888+H889</f>
        <v>0</v>
      </c>
      <c r="I887" s="805">
        <f>I888+I889</f>
        <v>2843334</v>
      </c>
    </row>
    <row r="888" spans="1:9" s="119" customFormat="1" ht="63" hidden="1" x14ac:dyDescent="0.25">
      <c r="A888" s="826" t="str">
        <f>IF(B888&gt;0,VLOOKUP(B888,КВСР!A265:B1430,2),IF(C888&gt;0,VLOOKUP(C888,КФСР!A265:B1777,2),IF(D888&gt;0,VLOOKUP(D888,Программа!A$1:B$5124,2),IF(F888&gt;0,VLOOKUP(F888,КВР!A$1:B$5001,2),IF(E888&gt;0,VLOOKUP(E888,Направление!A$1:B$4816,2))))))</f>
        <v xml:space="preserve">Закупка товаров, работ и услуг для обеспечения государственных (муниципальных) нужд
</v>
      </c>
      <c r="B888" s="760"/>
      <c r="C888" s="820"/>
      <c r="D888" s="760"/>
      <c r="E888" s="760"/>
      <c r="F888" s="763">
        <v>200</v>
      </c>
      <c r="G888" s="812">
        <v>0</v>
      </c>
      <c r="H888" s="812"/>
      <c r="I888" s="805">
        <f t="shared" si="179"/>
        <v>0</v>
      </c>
    </row>
    <row r="889" spans="1:9" s="119" customFormat="1" ht="31.5" x14ac:dyDescent="0.25">
      <c r="A889" s="826" t="str">
        <f>IF(B889&gt;0,VLOOKUP(B889,КВСР!A265:B1430,2),IF(C889&gt;0,VLOOKUP(C889,КФСР!A265:B1777,2),IF(D889&gt;0,VLOOKUP(D889,Программа!A$1:B$5124,2),IF(F889&gt;0,VLOOKUP(F889,КВР!A$1:B$5001,2),IF(E889&gt;0,VLOOKUP(E889,Направление!A$1:B$4816,2))))))</f>
        <v>Социальное обеспечение и иные выплаты населению</v>
      </c>
      <c r="B889" s="760"/>
      <c r="C889" s="820"/>
      <c r="D889" s="760"/>
      <c r="E889" s="760"/>
      <c r="F889" s="763">
        <v>300</v>
      </c>
      <c r="G889" s="812">
        <v>2843334</v>
      </c>
      <c r="H889" s="812"/>
      <c r="I889" s="805">
        <f t="shared" si="179"/>
        <v>2843334</v>
      </c>
    </row>
    <row r="890" spans="1:9" s="119" customFormat="1" ht="47.25" hidden="1" x14ac:dyDescent="0.25">
      <c r="A890" s="826" t="str">
        <f>IF(B890&gt;0,VLOOKUP(B890,КВСР!A256:B1421,2),IF(C890&gt;0,VLOOKUP(C890,КФСР!A256:B1768,2),IF(D890&gt;0,VLOOKUP(D890,Программа!A$1:B$5124,2),IF(F890&gt;0,VLOOKUP(F890,КВР!A$1:B$5001,2),IF(E890&gt;0,VLOOKUP(E890,Направление!A$1:B$4816,2))))))</f>
        <v>Расходы на социальную поддержку отдельных категорий граждан в части ежемесячного пособия на ребенка</v>
      </c>
      <c r="B890" s="760"/>
      <c r="C890" s="820"/>
      <c r="D890" s="760"/>
      <c r="E890" s="760">
        <v>73040</v>
      </c>
      <c r="F890" s="763"/>
      <c r="G890" s="812">
        <v>0</v>
      </c>
      <c r="H890" s="812">
        <f>H892+H891</f>
        <v>0</v>
      </c>
      <c r="I890" s="805">
        <f t="shared" si="179"/>
        <v>0</v>
      </c>
    </row>
    <row r="891" spans="1:9" s="119" customFormat="1" ht="63" hidden="1" x14ac:dyDescent="0.25">
      <c r="A891" s="826" t="str">
        <f>IF(B891&gt;0,VLOOKUP(B891,КВСР!A257:B1422,2),IF(C891&gt;0,VLOOKUP(C891,КФСР!A257:B1769,2),IF(D891&gt;0,VLOOKUP(D891,Программа!A$1:B$5124,2),IF(F891&gt;0,VLOOKUP(F891,КВР!A$1:B$5001,2),IF(E891&gt;0,VLOOKUP(E891,Направление!A$1:B$4816,2))))))</f>
        <v xml:space="preserve">Закупка товаров, работ и услуг для обеспечения государственных (муниципальных) нужд
</v>
      </c>
      <c r="B891" s="760"/>
      <c r="C891" s="820"/>
      <c r="D891" s="760"/>
      <c r="E891" s="760"/>
      <c r="F891" s="763">
        <v>200</v>
      </c>
      <c r="G891" s="812">
        <v>0</v>
      </c>
      <c r="H891" s="812"/>
      <c r="I891" s="805">
        <f t="shared" si="179"/>
        <v>0</v>
      </c>
    </row>
    <row r="892" spans="1:9" s="119" customFormat="1" ht="31.5" hidden="1" x14ac:dyDescent="0.25">
      <c r="A892" s="826" t="str">
        <f>IF(B892&gt;0,VLOOKUP(B892,КВСР!A264:B1429,2),IF(C892&gt;0,VLOOKUP(C892,КФСР!A264:B1776,2),IF(D892&gt;0,VLOOKUP(D892,Программа!A$1:B$5124,2),IF(F892&gt;0,VLOOKUP(F892,КВР!A$1:B$5001,2),IF(E892&gt;0,VLOOKUP(E892,Направление!A$1:B$4816,2))))))</f>
        <v>Социальное обеспечение и иные выплаты населению</v>
      </c>
      <c r="B892" s="760"/>
      <c r="C892" s="820"/>
      <c r="D892" s="760"/>
      <c r="E892" s="760"/>
      <c r="F892" s="763">
        <v>300</v>
      </c>
      <c r="G892" s="812">
        <v>0</v>
      </c>
      <c r="H892" s="812"/>
      <c r="I892" s="805">
        <f t="shared" si="179"/>
        <v>0</v>
      </c>
    </row>
    <row r="893" spans="1:9" s="119" customFormat="1" ht="63" x14ac:dyDescent="0.25">
      <c r="A893" s="826" t="str">
        <f>IF(B893&gt;0,VLOOKUP(B893,КВСР!A265:B1430,2),IF(C893&gt;0,VLOOKUP(C893,КФСР!A265:B1777,2),IF(D893&gt;0,VLOOKUP(D893,Программа!A$1:B$5124,2),IF(F893&gt;0,VLOOKUP(F893,КВР!A$1:B$5001,2),IF(E893&gt;0,VLOOKUP(E893,Направление!A$1:B$4816,2))))))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93" s="760"/>
      <c r="C893" s="820"/>
      <c r="D893" s="760"/>
      <c r="E893" s="760" t="s">
        <v>1146</v>
      </c>
      <c r="F893" s="763"/>
      <c r="G893" s="812">
        <v>1806204</v>
      </c>
      <c r="H893" s="812">
        <f t="shared" ref="H893:I893" si="197">H894</f>
        <v>0</v>
      </c>
      <c r="I893" s="806">
        <f t="shared" si="197"/>
        <v>1806204</v>
      </c>
    </row>
    <row r="894" spans="1:9" s="119" customFormat="1" ht="31.5" x14ac:dyDescent="0.25">
      <c r="A894" s="826" t="str">
        <f>IF(B894&gt;0,VLOOKUP(B894,КВСР!A266:B1431,2),IF(C894&gt;0,VLOOKUP(C894,КФСР!A266:B1778,2),IF(D894&gt;0,VLOOKUP(D894,Программа!A$1:B$5124,2),IF(F894&gt;0,VLOOKUP(F894,КВР!A$1:B$5001,2),IF(E894&gt;0,VLOOKUP(E894,Направление!A$1:B$4816,2))))))</f>
        <v>Социальное обеспечение и иные выплаты населению</v>
      </c>
      <c r="B894" s="760"/>
      <c r="C894" s="820"/>
      <c r="D894" s="760"/>
      <c r="E894" s="760"/>
      <c r="F894" s="763">
        <v>300</v>
      </c>
      <c r="G894" s="812">
        <v>1806204</v>
      </c>
      <c r="H894" s="812"/>
      <c r="I894" s="805">
        <f>SUM(G894:H894)</f>
        <v>1806204</v>
      </c>
    </row>
    <row r="895" spans="1:9" s="119" customFormat="1" ht="94.5" x14ac:dyDescent="0.25">
      <c r="A895" s="826" t="str">
        <f>IF(B895&gt;0,VLOOKUP(B895,КВСР!A267:B1432,2),IF(C895&gt;0,VLOOKUP(C895,КФСР!A267:B1779,2),IF(D895&gt;0,VLOOKUP(D895,Программа!A$1:B$5124,2),IF(F895&gt;0,VLOOKUP(F895,КВР!A$1:B$5001,2),IF(E895&gt;0,VLOOKUP(E895,Направление!A$1:B$4816,2))))))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95" s="760"/>
      <c r="C895" s="820"/>
      <c r="D895" s="760"/>
      <c r="E895" s="760">
        <v>75490</v>
      </c>
      <c r="F895" s="763"/>
      <c r="G895" s="812">
        <v>30317</v>
      </c>
      <c r="H895" s="812">
        <f t="shared" ref="H895:I895" si="198">H896</f>
        <v>-700</v>
      </c>
      <c r="I895" s="806">
        <f t="shared" si="198"/>
        <v>29617</v>
      </c>
    </row>
    <row r="896" spans="1:9" s="119" customFormat="1" ht="63" x14ac:dyDescent="0.25">
      <c r="A896" s="826" t="str">
        <f>IF(B896&gt;0,VLOOKUP(B896,КВСР!A268:B1433,2),IF(C896&gt;0,VLOOKUP(C896,КФСР!A268:B1780,2),IF(D896&gt;0,VLOOKUP(D896,Программа!A$1:B$5124,2),IF(F896&gt;0,VLOOKUP(F896,КВР!A$1:B$5001,2),IF(E896&gt;0,VLOOKUP(E896,Направление!A$1:B$4816,2))))))</f>
        <v xml:space="preserve">Закупка товаров, работ и услуг для обеспечения государственных (муниципальных) нужд
</v>
      </c>
      <c r="B896" s="760"/>
      <c r="C896" s="820"/>
      <c r="D896" s="760"/>
      <c r="E896" s="760"/>
      <c r="F896" s="763">
        <v>200</v>
      </c>
      <c r="G896" s="812">
        <v>30317</v>
      </c>
      <c r="H896" s="812">
        <v>-700</v>
      </c>
      <c r="I896" s="805">
        <f>SUM(G896:H896)</f>
        <v>29617</v>
      </c>
    </row>
    <row r="897" spans="1:9" s="119" customFormat="1" ht="63" x14ac:dyDescent="0.25">
      <c r="A897" s="826" t="str">
        <f>IF(B897&gt;0,VLOOKUP(B897,КВСР!A258:B1423,2),IF(C897&gt;0,VLOOKUP(C897,КФСР!A258:B1770,2),IF(D897&gt;0,VLOOKUP(D897,Программа!A$1:B$5124,2),IF(F897&gt;0,VLOOKUP(F897,КВР!A$1:B$5001,2),IF(E897&gt;0,VLOOKUP(E897,Направление!A$1:B$4816,2))))))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897" s="760"/>
      <c r="C897" s="820"/>
      <c r="D897" s="760" t="s">
        <v>466</v>
      </c>
      <c r="E897" s="760"/>
      <c r="F897" s="763"/>
      <c r="G897" s="812">
        <v>22704047</v>
      </c>
      <c r="H897" s="812">
        <f>H898+H900+H903+H907+H905+H909</f>
        <v>607767</v>
      </c>
      <c r="I897" s="805">
        <f>I898+I900+I903+I907+I905+I909</f>
        <v>23311814</v>
      </c>
    </row>
    <row r="898" spans="1:9" s="119" customFormat="1" ht="47.25" x14ac:dyDescent="0.25">
      <c r="A898" s="826" t="str">
        <f>IF(B898&gt;0,VLOOKUP(B898,КВСР!A261:B1426,2),IF(C898&gt;0,VLOOKUP(C898,КФСР!A261:B1773,2),IF(D898&gt;0,VLOOKUP(D898,Программа!A$1:B$5124,2),IF(F898&gt;0,VLOOKUP(F898,КВР!A$1:B$5001,2),IF(E898&gt;0,VLOOKUP(E898,Направление!A$1:B$4816,2))))))</f>
        <v>Организация перевозок больных, нуждающихся в амбулаторном гемодиализе</v>
      </c>
      <c r="B898" s="760"/>
      <c r="C898" s="820"/>
      <c r="D898" s="760"/>
      <c r="E898" s="760">
        <v>16210</v>
      </c>
      <c r="F898" s="763"/>
      <c r="G898" s="812">
        <v>385000</v>
      </c>
      <c r="H898" s="812">
        <f>H899</f>
        <v>0</v>
      </c>
      <c r="I898" s="805">
        <f>I899</f>
        <v>385000</v>
      </c>
    </row>
    <row r="899" spans="1:9" s="119" customFormat="1" ht="31.5" x14ac:dyDescent="0.25">
      <c r="A899" s="826" t="str">
        <f>IF(B899&gt;0,VLOOKUP(B899,КВСР!A262:B1427,2),IF(C899&gt;0,VLOOKUP(C899,КФСР!A262:B1774,2),IF(D899&gt;0,VLOOKUP(D899,Программа!A$1:B$5124,2),IF(F899&gt;0,VLOOKUP(F899,КВР!A$1:B$5001,2),IF(E899&gt;0,VLOOKUP(E899,Направление!A$1:B$4816,2))))))</f>
        <v>Социальное обеспечение и иные выплаты населению</v>
      </c>
      <c r="B899" s="760"/>
      <c r="C899" s="820"/>
      <c r="D899" s="760"/>
      <c r="E899" s="760"/>
      <c r="F899" s="763">
        <v>300</v>
      </c>
      <c r="G899" s="812">
        <v>385000</v>
      </c>
      <c r="H899" s="812"/>
      <c r="I899" s="805">
        <f>SUM(G899:H899)</f>
        <v>385000</v>
      </c>
    </row>
    <row r="900" spans="1:9" s="119" customFormat="1" ht="47.25" x14ac:dyDescent="0.25">
      <c r="A900" s="826" t="str">
        <f>IF(B900&gt;0,VLOOKUP(B900,КВСР!A264:B1429,2),IF(C900&gt;0,VLOOKUP(C900,КФСР!A264:B1776,2),IF(D900&gt;0,VLOOKUP(D900,Программа!A$1:B$5124,2),IF(F900&gt;0,VLOOKUP(F900,КВР!A$1:B$5001,2),IF(E900&gt;0,VLOOKUP(E900,Направление!A$1:B$4816,2))))))</f>
        <v>Оказание социальной помощи отдельным категориям граждан за счет средств областного бюджета</v>
      </c>
      <c r="B900" s="760"/>
      <c r="C900" s="820"/>
      <c r="D900" s="760"/>
      <c r="E900" s="760">
        <v>70890</v>
      </c>
      <c r="F900" s="763"/>
      <c r="G900" s="812">
        <v>4398600</v>
      </c>
      <c r="H900" s="812">
        <f>H901+H902</f>
        <v>586240</v>
      </c>
      <c r="I900" s="805">
        <f>I901+I902</f>
        <v>4984840</v>
      </c>
    </row>
    <row r="901" spans="1:9" s="119" customFormat="1" ht="63" x14ac:dyDescent="0.25">
      <c r="A901" s="826" t="str">
        <f>IF(B901&gt;0,VLOOKUP(B901,КВСР!A265:B1430,2),IF(C901&gt;0,VLOOKUP(C901,КФСР!A265:B1777,2),IF(D901&gt;0,VLOOKUP(D901,Программа!A$1:B$5124,2),IF(F901&gt;0,VLOOKUP(F901,КВР!A$1:B$5001,2),IF(E901&gt;0,VLOOKUP(E901,Направление!A$1:B$4816,2))))))</f>
        <v xml:space="preserve">Закупка товаров, работ и услуг для обеспечения государственных (муниципальных) нужд
</v>
      </c>
      <c r="B901" s="760"/>
      <c r="C901" s="820"/>
      <c r="D901" s="760"/>
      <c r="E901" s="760"/>
      <c r="F901" s="763">
        <v>200</v>
      </c>
      <c r="G901" s="812">
        <v>52028</v>
      </c>
      <c r="H901" s="812">
        <v>4464.7700000000004</v>
      </c>
      <c r="I901" s="805">
        <f t="shared" ref="I901:I988" si="199">SUM(G901:H901)</f>
        <v>56492.770000000004</v>
      </c>
    </row>
    <row r="902" spans="1:9" s="119" customFormat="1" ht="31.5" x14ac:dyDescent="0.25">
      <c r="A902" s="826" t="str">
        <f>IF(B902&gt;0,VLOOKUP(B902,КВСР!A266:B1431,2),IF(C902&gt;0,VLOOKUP(C902,КФСР!A266:B1778,2),IF(D902&gt;0,VLOOKUP(D902,Программа!A$1:B$5124,2),IF(F902&gt;0,VLOOKUP(F902,КВР!A$1:B$5001,2),IF(E902&gt;0,VLOOKUP(E902,Направление!A$1:B$4816,2))))))</f>
        <v>Социальное обеспечение и иные выплаты населению</v>
      </c>
      <c r="B902" s="760"/>
      <c r="C902" s="820"/>
      <c r="D902" s="760"/>
      <c r="E902" s="760"/>
      <c r="F902" s="763">
        <v>300</v>
      </c>
      <c r="G902" s="812">
        <v>4346572</v>
      </c>
      <c r="H902" s="812">
        <v>581775.23</v>
      </c>
      <c r="I902" s="805">
        <f t="shared" si="199"/>
        <v>4928347.2300000004</v>
      </c>
    </row>
    <row r="903" spans="1:9" s="119" customFormat="1" ht="63" x14ac:dyDescent="0.25">
      <c r="A903" s="826" t="str">
        <f>IF(B903&gt;0,VLOOKUP(B903,КВСР!A267:B1432,2),IF(C903&gt;0,VLOOKUP(C903,КФСР!A267:B1779,2),IF(D903&gt;0,VLOOKUP(D903,Программа!A$1:B$5124,2),IF(F903&gt;0,VLOOKUP(F903,КВР!A$1:B$5001,2),IF(E903&gt;0,VLOOKUP(E903,Направление!A$1:B$4816,2))))))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903" s="760"/>
      <c r="C903" s="820"/>
      <c r="D903" s="760"/>
      <c r="E903" s="760">
        <v>75520</v>
      </c>
      <c r="F903" s="763"/>
      <c r="G903" s="812">
        <v>257038</v>
      </c>
      <c r="H903" s="812">
        <f t="shared" ref="H903:I903" si="200">H904</f>
        <v>-68840</v>
      </c>
      <c r="I903" s="805">
        <f t="shared" si="200"/>
        <v>188198</v>
      </c>
    </row>
    <row r="904" spans="1:9" s="119" customFormat="1" ht="63" x14ac:dyDescent="0.25">
      <c r="A904" s="826" t="str">
        <f>IF(B904&gt;0,VLOOKUP(B904,КВСР!A268:B1433,2),IF(C904&gt;0,VLOOKUP(C904,КФСР!A268:B1780,2),IF(D904&gt;0,VLOOKUP(D904,Программа!A$1:B$5124,2),IF(F904&gt;0,VLOOKUP(F904,КВР!A$1:B$5001,2),IF(E904&gt;0,VLOOKUP(E904,Направление!A$1:B$4816,2))))))</f>
        <v xml:space="preserve">Закупка товаров, работ и услуг для обеспечения государственных (муниципальных) нужд
</v>
      </c>
      <c r="B904" s="760"/>
      <c r="C904" s="820"/>
      <c r="D904" s="760"/>
      <c r="E904" s="760"/>
      <c r="F904" s="763">
        <v>200</v>
      </c>
      <c r="G904" s="812">
        <v>257038</v>
      </c>
      <c r="H904" s="812">
        <v>-68840</v>
      </c>
      <c r="I904" s="805">
        <f>G904+H904</f>
        <v>188198</v>
      </c>
    </row>
    <row r="905" spans="1:9" s="119" customFormat="1" ht="110.25" x14ac:dyDescent="0.25">
      <c r="A905" s="826" t="str">
        <f>IF(B905&gt;0,VLOOKUP(B905,КВСР!A269:B1434,2),IF(C905&gt;0,VLOOKUP(C905,КФСР!A269:B1781,2),IF(D905&gt;0,VLOOKUP(D905,Программа!A$1:B$5124,2),IF(F905&gt;0,VLOOKUP(F905,КВР!A$1:B$5001,2),IF(E905&gt;0,VLOOKUP(E905,Направление!A$1:B$4816,2))))))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905" s="760"/>
      <c r="C905" s="820"/>
      <c r="D905" s="760"/>
      <c r="E905" s="760">
        <v>75880</v>
      </c>
      <c r="F905" s="763"/>
      <c r="G905" s="812">
        <v>370000</v>
      </c>
      <c r="H905" s="812">
        <f t="shared" ref="H905:I905" si="201">H906</f>
        <v>0</v>
      </c>
      <c r="I905" s="805">
        <f t="shared" si="201"/>
        <v>370000</v>
      </c>
    </row>
    <row r="906" spans="1:9" s="119" customFormat="1" ht="31.5" x14ac:dyDescent="0.25">
      <c r="A906" s="826" t="str">
        <f>IF(B906&gt;0,VLOOKUP(B906,КВСР!A270:B1435,2),IF(C906&gt;0,VLOOKUP(C906,КФСР!A270:B1782,2),IF(D906&gt;0,VLOOKUP(D906,Программа!A$1:B$5124,2),IF(F906&gt;0,VLOOKUP(F906,КВР!A$1:B$5001,2),IF(E906&gt;0,VLOOKUP(E906,Направление!A$1:B$4816,2))))))</f>
        <v>Социальное обеспечение и иные выплаты населению</v>
      </c>
      <c r="B906" s="760"/>
      <c r="C906" s="820"/>
      <c r="D906" s="760"/>
      <c r="E906" s="760"/>
      <c r="F906" s="763">
        <v>300</v>
      </c>
      <c r="G906" s="812">
        <v>370000</v>
      </c>
      <c r="H906" s="812"/>
      <c r="I906" s="805">
        <f>G906+H906</f>
        <v>370000</v>
      </c>
    </row>
    <row r="907" spans="1:9" s="119" customFormat="1" ht="63" x14ac:dyDescent="0.25">
      <c r="A907" s="826" t="str">
        <f>IF(B907&gt;0,VLOOKUP(B907,КВСР!A269:B1434,2),IF(C907&gt;0,VLOOKUP(C907,КФСР!A269:B1781,2),IF(D907&gt;0,VLOOKUP(D907,Программа!A$1:B$5124,2),IF(F907&gt;0,VLOOKUP(F907,КВР!A$1:B$5001,2),IF(E907&gt;0,VLOOKUP(E907,Направление!A$1:B$4816,2))))))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907" s="760"/>
      <c r="C907" s="820"/>
      <c r="D907" s="760"/>
      <c r="E907" s="760" t="s">
        <v>1532</v>
      </c>
      <c r="F907" s="763"/>
      <c r="G907" s="812">
        <v>15696961</v>
      </c>
      <c r="H907" s="812">
        <f t="shared" ref="H907:I907" si="202">H908</f>
        <v>11448</v>
      </c>
      <c r="I907" s="805">
        <f t="shared" si="202"/>
        <v>15708409</v>
      </c>
    </row>
    <row r="908" spans="1:9" s="119" customFormat="1" ht="31.5" x14ac:dyDescent="0.25">
      <c r="A908" s="826" t="str">
        <f>IF(B908&gt;0,VLOOKUP(B908,КВСР!A270:B1435,2),IF(C908&gt;0,VLOOKUP(C908,КФСР!A270:B1782,2),IF(D908&gt;0,VLOOKUP(D908,Программа!A$1:B$5124,2),IF(F908&gt;0,VLOOKUP(F908,КВР!A$1:B$5001,2),IF(E908&gt;0,VLOOKUP(E908,Направление!A$1:B$4816,2))))))</f>
        <v>Социальное обеспечение и иные выплаты населению</v>
      </c>
      <c r="B908" s="760"/>
      <c r="C908" s="820"/>
      <c r="D908" s="760"/>
      <c r="E908" s="760"/>
      <c r="F908" s="763">
        <v>300</v>
      </c>
      <c r="G908" s="812">
        <v>15696961</v>
      </c>
      <c r="H908" s="812">
        <v>11448</v>
      </c>
      <c r="I908" s="805">
        <f>G908+H908</f>
        <v>15708409</v>
      </c>
    </row>
    <row r="909" spans="1:9" s="119" customFormat="1" ht="84.75" customHeight="1" x14ac:dyDescent="0.25">
      <c r="A909" s="826" t="str">
        <f>IF(B909&gt;0,VLOOKUP(B909,КВСР!A271:B1436,2),IF(C909&gt;0,VLOOKUP(C909,КФСР!A271:B1783,2),IF(D909&gt;0,VLOOKUP(D909,Программа!A$1:B$5124,2),IF(F909&gt;0,VLOOKUP(F909,КВР!A$1:B$5001,2),IF(E909&gt;0,VLOOKUP(E909,Направление!A$1:B$4816,2))))))</f>
        <v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v>
      </c>
      <c r="B909" s="760"/>
      <c r="C909" s="820"/>
      <c r="D909" s="760"/>
      <c r="E909" s="760" t="s">
        <v>1797</v>
      </c>
      <c r="F909" s="763"/>
      <c r="G909" s="812">
        <v>1596448</v>
      </c>
      <c r="H909" s="812">
        <f t="shared" ref="H909:I909" si="203">H910</f>
        <v>78919</v>
      </c>
      <c r="I909" s="805">
        <f t="shared" si="203"/>
        <v>1675367</v>
      </c>
    </row>
    <row r="910" spans="1:9" s="119" customFormat="1" ht="38.25" customHeight="1" x14ac:dyDescent="0.25">
      <c r="A910" s="826" t="str">
        <f>IF(B910&gt;0,VLOOKUP(B910,КВСР!A272:B1437,2),IF(C910&gt;0,VLOOKUP(C910,КФСР!A272:B1784,2),IF(D910&gt;0,VLOOKUP(D910,Программа!A$1:B$5124,2),IF(F910&gt;0,VLOOKUP(F910,КВР!A$1:B$5001,2),IF(E910&gt;0,VLOOKUP(E910,Направление!A$1:B$4816,2))))))</f>
        <v>Социальное обеспечение и иные выплаты населению</v>
      </c>
      <c r="B910" s="760"/>
      <c r="C910" s="820"/>
      <c r="D910" s="760"/>
      <c r="E910" s="760"/>
      <c r="F910" s="763">
        <v>300</v>
      </c>
      <c r="G910" s="812">
        <v>1596448</v>
      </c>
      <c r="H910" s="812">
        <v>78919</v>
      </c>
      <c r="I910" s="805">
        <f>SUM(G910:H910)</f>
        <v>1675367</v>
      </c>
    </row>
    <row r="911" spans="1:9" s="119" customFormat="1" x14ac:dyDescent="0.25">
      <c r="A911" s="826" t="str">
        <f>IF(B911&gt;0,VLOOKUP(B911,КВСР!A267:B1432,2),IF(C911&gt;0,VLOOKUP(C911,КФСР!A267:B1779,2),IF(D911&gt;0,VLOOKUP(D911,Программа!A$1:B$5124,2),IF(F911&gt;0,VLOOKUP(F911,КВР!A$1:B$5001,2),IF(E911&gt;0,VLOOKUP(E911,Направление!A$1:B$4816,2))))))</f>
        <v>Непрограммные расходы бюджета</v>
      </c>
      <c r="B911" s="760"/>
      <c r="C911" s="820"/>
      <c r="D911" s="760" t="s">
        <v>311</v>
      </c>
      <c r="E911" s="760"/>
      <c r="F911" s="763"/>
      <c r="G911" s="812">
        <v>139490</v>
      </c>
      <c r="H911" s="812">
        <f t="shared" ref="H911" si="204">H912+H914</f>
        <v>0</v>
      </c>
      <c r="I911" s="805">
        <f>I912+I914</f>
        <v>139490</v>
      </c>
    </row>
    <row r="912" spans="1:9" s="119" customFormat="1" ht="31.5" x14ac:dyDescent="0.25">
      <c r="A912" s="826" t="str">
        <f>IF(B912&gt;0,VLOOKUP(B912,КВСР!A267:B1432,2),IF(C912&gt;0,VLOOKUP(C912,КФСР!A267:B1779,2),IF(D912&gt;0,VLOOKUP(D912,Программа!A$1:B$5124,2),IF(F912&gt;0,VLOOKUP(F912,КВР!A$1:B$5001,2),IF(E912&gt;0,VLOOKUP(E912,Направление!A$1:B$4816,2))))))</f>
        <v>Резервные фонды местных администраций</v>
      </c>
      <c r="B912" s="760"/>
      <c r="C912" s="820"/>
      <c r="D912" s="760"/>
      <c r="E912" s="760">
        <v>12900</v>
      </c>
      <c r="F912" s="763"/>
      <c r="G912" s="812">
        <v>65000</v>
      </c>
      <c r="H912" s="812">
        <f t="shared" ref="H912:I912" si="205">H913</f>
        <v>0</v>
      </c>
      <c r="I912" s="805">
        <f t="shared" si="205"/>
        <v>65000</v>
      </c>
    </row>
    <row r="913" spans="1:15" s="119" customFormat="1" ht="31.5" x14ac:dyDescent="0.25">
      <c r="A913" s="826" t="str">
        <f>IF(B913&gt;0,VLOOKUP(B913,КВСР!A268:B1433,2),IF(C913&gt;0,VLOOKUP(C913,КФСР!A268:B1780,2),IF(D913&gt;0,VLOOKUP(D913,Программа!A$1:B$5124,2),IF(F913&gt;0,VLOOKUP(F913,КВР!A$1:B$5001,2),IF(E913&gt;0,VLOOKUP(E913,Направление!A$1:B$4816,2))))))</f>
        <v>Социальное обеспечение и иные выплаты населению</v>
      </c>
      <c r="B913" s="760"/>
      <c r="C913" s="820"/>
      <c r="D913" s="760"/>
      <c r="E913" s="760"/>
      <c r="F913" s="763">
        <v>300</v>
      </c>
      <c r="G913" s="812">
        <v>65000</v>
      </c>
      <c r="H913" s="812"/>
      <c r="I913" s="805">
        <f>G913+H913</f>
        <v>65000</v>
      </c>
    </row>
    <row r="914" spans="1:15" s="119" customFormat="1" ht="47.25" x14ac:dyDescent="0.25">
      <c r="A914" s="826" t="str">
        <f>IF(B914&gt;0,VLOOKUP(B914,КВСР!A269:B1434,2),IF(C914&gt;0,VLOOKUP(C914,КФСР!A269:B1781,2),IF(D914&gt;0,VLOOKUP(D914,Программа!A$1:B$5124,2),IF(F914&gt;0,VLOOKUP(F914,КВР!A$1:B$5001,2),IF(E914&gt;0,VLOOKUP(E914,Направление!A$1:B$4816,2))))))</f>
        <v>Резервные фонды исполнительных органов государственной власти субъектов Российской Федерации</v>
      </c>
      <c r="B914" s="760"/>
      <c r="C914" s="820"/>
      <c r="D914" s="760"/>
      <c r="E914" s="760">
        <v>80120</v>
      </c>
      <c r="F914" s="763"/>
      <c r="G914" s="812">
        <v>74490</v>
      </c>
      <c r="H914" s="812">
        <f t="shared" ref="H914:I914" si="206">H915</f>
        <v>0</v>
      </c>
      <c r="I914" s="805">
        <f t="shared" si="206"/>
        <v>74490</v>
      </c>
    </row>
    <row r="915" spans="1:15" s="119" customFormat="1" ht="31.5" x14ac:dyDescent="0.25">
      <c r="A915" s="826" t="str">
        <f>IF(B915&gt;0,VLOOKUP(B915,КВСР!A270:B1435,2),IF(C915&gt;0,VLOOKUP(C915,КФСР!A270:B1782,2),IF(D915&gt;0,VLOOKUP(D915,Программа!A$1:B$5124,2),IF(F915&gt;0,VLOOKUP(F915,КВР!A$1:B$5001,2),IF(E915&gt;0,VLOOKUP(E915,Направление!A$1:B$4816,2))))))</f>
        <v>Социальное обеспечение и иные выплаты населению</v>
      </c>
      <c r="B915" s="760"/>
      <c r="C915" s="820"/>
      <c r="D915" s="760"/>
      <c r="E915" s="760"/>
      <c r="F915" s="763">
        <v>300</v>
      </c>
      <c r="G915" s="812">
        <v>74490</v>
      </c>
      <c r="H915" s="812"/>
      <c r="I915" s="805">
        <f>G915+H915</f>
        <v>74490</v>
      </c>
    </row>
    <row r="916" spans="1:15" s="109" customFormat="1" x14ac:dyDescent="0.25">
      <c r="A916" s="826" t="str">
        <f>IF(B916&gt;0,VLOOKUP(B916,КВСР!A303:B1468,2),IF(C916&gt;0,VLOOKUP(C916,КФСР!A303:B1815,2),IF(D916&gt;0,VLOOKUP(D916,Программа!A$1:B$5124,2),IF(F916&gt;0,VLOOKUP(F916,КВР!A$1:B$5001,2),IF(E916&gt;0,VLOOKUP(E916,Направление!A$1:B$4816,2))))))</f>
        <v>Охрана семьи и детства</v>
      </c>
      <c r="B916" s="760"/>
      <c r="C916" s="820">
        <v>1004</v>
      </c>
      <c r="D916" s="760"/>
      <c r="E916" s="760"/>
      <c r="F916" s="763"/>
      <c r="G916" s="812">
        <v>242970158</v>
      </c>
      <c r="H916" s="812">
        <f>H917</f>
        <v>12586353.23</v>
      </c>
      <c r="I916" s="805">
        <f>I917</f>
        <v>255556511.22999999</v>
      </c>
    </row>
    <row r="917" spans="1:15" s="109" customFormat="1" ht="47.25" x14ac:dyDescent="0.25">
      <c r="A917" s="826" t="str">
        <f>IF(B917&gt;0,VLOOKUP(B917,КВСР!A304:B1469,2),IF(C917&gt;0,VLOOKUP(C917,КФСР!A304:B1816,2),IF(D917&gt;0,VLOOKUP(D917,Программа!A$1:B$5124,2),IF(F917&gt;0,VLOOKUP(F917,КВР!A$1:B$5001,2),IF(E917&gt;0,VLOOKUP(E917,Направление!A$1:B$4816,2))))))</f>
        <v>Муниципальная программа "Социальная поддержка населения Тутаевского муниципального района"</v>
      </c>
      <c r="B917" s="760"/>
      <c r="C917" s="820"/>
      <c r="D917" s="760" t="s">
        <v>376</v>
      </c>
      <c r="E917" s="760"/>
      <c r="F917" s="763"/>
      <c r="G917" s="812">
        <v>242970158</v>
      </c>
      <c r="H917" s="812">
        <f>H918</f>
        <v>12586353.23</v>
      </c>
      <c r="I917" s="805">
        <f>I918</f>
        <v>255556511.22999999</v>
      </c>
    </row>
    <row r="918" spans="1:15" s="109" customFormat="1" ht="47.25" x14ac:dyDescent="0.25">
      <c r="A918" s="826" t="str">
        <f>IF(B918&gt;0,VLOOKUP(B918,КВСР!A305:B1470,2),IF(C918&gt;0,VLOOKUP(C918,КФСР!A305:B1817,2),IF(D918&gt;0,VLOOKUP(D918,Программа!A$1:B$5124,2),IF(F918&gt;0,VLOOKUP(F918,КВР!A$1:B$5001,2),IF(E918&gt;0,VLOOKUP(E918,Направление!A$1:B$4816,2))))))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18" s="760"/>
      <c r="C918" s="820"/>
      <c r="D918" s="760" t="s">
        <v>446</v>
      </c>
      <c r="E918" s="760"/>
      <c r="F918" s="763"/>
      <c r="G918" s="812">
        <v>242970158</v>
      </c>
      <c r="H918" s="812">
        <f>H919+H943+H946</f>
        <v>12586353.23</v>
      </c>
      <c r="I918" s="805">
        <f>I919+I943+I946</f>
        <v>255556511.22999999</v>
      </c>
    </row>
    <row r="919" spans="1:15" s="109" customFormat="1" ht="47.25" x14ac:dyDescent="0.25">
      <c r="A919" s="826" t="str">
        <f>IF(B919&gt;0,VLOOKUP(B919,КВСР!A306:B1471,2),IF(C919&gt;0,VLOOKUP(C919,КФСР!A306:B1818,2),IF(D919&gt;0,VLOOKUP(D919,Программа!A$1:B$5124,2),IF(F919&gt;0,VLOOKUP(F919,КВР!A$1:B$5001,2),IF(E919&gt;0,VLOOKUP(E919,Направление!A$1:B$4816,2))))))</f>
        <v>Исполнение публичных обязательств по предоставлению выплат, пособий и компенсаций</v>
      </c>
      <c r="B919" s="760"/>
      <c r="C919" s="820"/>
      <c r="D919" s="760" t="s">
        <v>448</v>
      </c>
      <c r="E919" s="760"/>
      <c r="F919" s="763"/>
      <c r="G919" s="812">
        <v>156435190</v>
      </c>
      <c r="H919" s="812">
        <f>H931+H933+H936+H941</f>
        <v>9009876.2300000004</v>
      </c>
      <c r="I919" s="805">
        <f>I922+I920+I928+I924+I938+I941+I926+I936+I931+I933</f>
        <v>165445066.22999999</v>
      </c>
      <c r="K919" s="761"/>
      <c r="L919" s="761"/>
      <c r="M919" s="761"/>
      <c r="N919" s="761"/>
      <c r="O919" s="761"/>
    </row>
    <row r="920" spans="1:15" s="109" customFormat="1" hidden="1" x14ac:dyDescent="0.25">
      <c r="A920" s="826" t="str">
        <f>IF(B920&gt;0,VLOOKUP(B920,КВСР!A308:B1473,2),IF(C920&gt;0,VLOOKUP(C920,КФСР!A308:B1820,2),IF(D920&gt;0,VLOOKUP(D920,Программа!A$1:B$5124,2),IF(F920&gt;0,VLOOKUP(F920,КВР!A$1:B$5001,2),IF(E920&gt;0,VLOOKUP(E920,Направление!A$1:B$4816,2))))))</f>
        <v>Содержание центрального аппарата</v>
      </c>
      <c r="B920" s="760"/>
      <c r="C920" s="820"/>
      <c r="D920" s="760"/>
      <c r="E920" s="760">
        <v>12010</v>
      </c>
      <c r="F920" s="763"/>
      <c r="G920" s="812">
        <v>0</v>
      </c>
      <c r="H920" s="812"/>
      <c r="I920" s="805">
        <f>I921</f>
        <v>0</v>
      </c>
    </row>
    <row r="921" spans="1:15" s="109" customFormat="1" ht="110.25" hidden="1" x14ac:dyDescent="0.25">
      <c r="A921" s="826" t="str">
        <f>IF(B921&gt;0,VLOOKUP(B921,КВСР!A309:B1474,2),IF(C921&gt;0,VLOOKUP(C921,КФСР!A309:B1821,2),IF(D921&gt;0,VLOOKUP(D921,Программа!A$1:B$5124,2),IF(F921&gt;0,VLOOKUP(F921,КВР!A$1:B$5001,2),IF(E921&gt;0,VLOOKUP(E921,Направление!A$1:B$4816,2))))))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1" s="760"/>
      <c r="C921" s="820"/>
      <c r="D921" s="760"/>
      <c r="E921" s="760"/>
      <c r="F921" s="763">
        <v>100</v>
      </c>
      <c r="G921" s="812">
        <v>0</v>
      </c>
      <c r="H921" s="812"/>
      <c r="I921" s="805">
        <f t="shared" si="199"/>
        <v>0</v>
      </c>
    </row>
    <row r="922" spans="1:15" s="109" customFormat="1" ht="126" hidden="1" x14ac:dyDescent="0.25">
      <c r="A922" s="826" t="str">
        <f>IF(B922&gt;0,VLOOKUP(B922,КВСР!A308:B1473,2),IF(C922&gt;0,VLOOKUP(C922,КФСР!A308:B1820,2),IF(D922&gt;0,VLOOKUP(D922,Программа!A$1:B$5124,2),IF(F922&gt;0,VLOOKUP(F922,КВР!A$1:B$5001,2),IF(E922&gt;0,VLOOKUP(E922,Направление!A$1:B$4816,2))))))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22" s="760"/>
      <c r="C922" s="820"/>
      <c r="D922" s="760"/>
      <c r="E922" s="760">
        <v>52700</v>
      </c>
      <c r="F922" s="763"/>
      <c r="G922" s="812">
        <v>0</v>
      </c>
      <c r="H922" s="812">
        <f>H923</f>
        <v>0</v>
      </c>
      <c r="I922" s="805">
        <f>I923</f>
        <v>0</v>
      </c>
    </row>
    <row r="923" spans="1:15" s="109" customFormat="1" ht="31.5" hidden="1" x14ac:dyDescent="0.25">
      <c r="A923" s="826" t="str">
        <f>IF(B923&gt;0,VLOOKUP(B923,КВСР!A309:B1474,2),IF(C923&gt;0,VLOOKUP(C923,КФСР!A309:B1821,2),IF(D923&gt;0,VLOOKUP(D923,Программа!A$1:B$5124,2),IF(F923&gt;0,VLOOKUP(F923,КВР!A$1:B$5001,2),IF(E923&gt;0,VLOOKUP(E923,Направление!A$1:B$4816,2))))))</f>
        <v>Социальное обеспечение и иные выплаты населению</v>
      </c>
      <c r="B923" s="760"/>
      <c r="C923" s="820"/>
      <c r="D923" s="760"/>
      <c r="E923" s="760"/>
      <c r="F923" s="763">
        <v>300</v>
      </c>
      <c r="G923" s="812">
        <v>0</v>
      </c>
      <c r="H923" s="812"/>
      <c r="I923" s="805">
        <f t="shared" si="199"/>
        <v>0</v>
      </c>
    </row>
    <row r="924" spans="1:15" s="109" customFormat="1" ht="141.75" hidden="1" x14ac:dyDescent="0.25">
      <c r="A924" s="826" t="str">
        <f>IF(B924&gt;0,VLOOKUP(B924,КВСР!A310:B1475,2),IF(C924&gt;0,VLOOKUP(C924,КФСР!A310:B1822,2),IF(D924&gt;0,VLOOKUP(D924,Программа!A$1:B$5124,2),IF(F924&gt;0,VLOOKUP(F924,КВР!A$1:B$5001,2),IF(E924&gt;0,VLOOKUP(E924,Направление!A$1:B$4816,2))))))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24" s="760"/>
      <c r="C924" s="820"/>
      <c r="D924" s="760"/>
      <c r="E924" s="760">
        <v>53800</v>
      </c>
      <c r="F924" s="763"/>
      <c r="G924" s="812">
        <v>0</v>
      </c>
      <c r="H924" s="812">
        <f>H925</f>
        <v>0</v>
      </c>
      <c r="I924" s="805">
        <f>I925</f>
        <v>0</v>
      </c>
    </row>
    <row r="925" spans="1:15" s="109" customFormat="1" ht="31.5" hidden="1" x14ac:dyDescent="0.25">
      <c r="A925" s="826" t="str">
        <f>IF(B925&gt;0,VLOOKUP(B925,КВСР!A311:B1476,2),IF(C925&gt;0,VLOOKUP(C925,КФСР!A311:B1823,2),IF(D925&gt;0,VLOOKUP(D925,Программа!A$1:B$5124,2),IF(F925&gt;0,VLOOKUP(F925,КВР!A$1:B$5001,2),IF(E925&gt;0,VLOOKUP(E925,Направление!A$1:B$4816,2))))))</f>
        <v>Социальное обеспечение и иные выплаты населению</v>
      </c>
      <c r="B925" s="760"/>
      <c r="C925" s="820"/>
      <c r="D925" s="760"/>
      <c r="E925" s="760"/>
      <c r="F925" s="763">
        <v>300</v>
      </c>
      <c r="G925" s="812">
        <v>0</v>
      </c>
      <c r="H925" s="812"/>
      <c r="I925" s="805">
        <f t="shared" si="199"/>
        <v>0</v>
      </c>
    </row>
    <row r="926" spans="1:15" s="109" customFormat="1" ht="78.75" hidden="1" x14ac:dyDescent="0.25">
      <c r="A926" s="826" t="str">
        <f>IF(B926&gt;0,VLOOKUP(B926,КВСР!A312:B1477,2),IF(C926&gt;0,VLOOKUP(C926,КФСР!A312:B1824,2),IF(D926&gt;0,VLOOKUP(D926,Программа!A$1:B$5124,2),IF(F926&gt;0,VLOOKUP(F926,КВР!A$1:B$5001,2),IF(E926&gt;0,VLOOKUP(E926,Направление!A$1:B$4816,2))))))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26" s="760"/>
      <c r="C926" s="820"/>
      <c r="D926" s="760"/>
      <c r="E926" s="760" t="s">
        <v>1528</v>
      </c>
      <c r="F926" s="763"/>
      <c r="G926" s="812">
        <v>0</v>
      </c>
      <c r="H926" s="812">
        <f>H927</f>
        <v>0</v>
      </c>
      <c r="I926" s="805">
        <f t="shared" si="199"/>
        <v>0</v>
      </c>
    </row>
    <row r="927" spans="1:15" s="109" customFormat="1" ht="31.5" hidden="1" x14ac:dyDescent="0.25">
      <c r="A927" s="826" t="str">
        <f>IF(B927&gt;0,VLOOKUP(B927,КВСР!A313:B1478,2),IF(C927&gt;0,VLOOKUP(C927,КФСР!A313:B1825,2),IF(D927&gt;0,VLOOKUP(D927,Программа!A$1:B$5124,2),IF(F927&gt;0,VLOOKUP(F927,КВР!A$1:B$5001,2),IF(E927&gt;0,VLOOKUP(E927,Направление!A$1:B$4816,2))))))</f>
        <v>Социальное обеспечение и иные выплаты населению</v>
      </c>
      <c r="B927" s="760"/>
      <c r="C927" s="820"/>
      <c r="D927" s="760"/>
      <c r="E927" s="760"/>
      <c r="F927" s="763">
        <v>300</v>
      </c>
      <c r="G927" s="812">
        <v>0</v>
      </c>
      <c r="H927" s="812"/>
      <c r="I927" s="805">
        <f t="shared" si="199"/>
        <v>0</v>
      </c>
    </row>
    <row r="928" spans="1:15" s="109" customFormat="1" ht="63" hidden="1" x14ac:dyDescent="0.25">
      <c r="A928" s="826" t="str">
        <f>IF(B928&gt;0,VLOOKUP(B928,КВСР!A310:B1475,2),IF(C928&gt;0,VLOOKUP(C928,КФСР!A310:B1822,2),IF(D928&gt;0,VLOOKUP(D928,Программа!A$1:B$5124,2),IF(F928&gt;0,VLOOKUP(F928,КВР!A$1:B$5001,2),IF(E928&gt;0,VLOOKUP(E928,Направление!A$1:B$4816,2))))))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28" s="760"/>
      <c r="C928" s="820"/>
      <c r="D928" s="760"/>
      <c r="E928" s="760">
        <v>55730</v>
      </c>
      <c r="F928" s="763"/>
      <c r="G928" s="812">
        <v>0</v>
      </c>
      <c r="H928" s="812">
        <f>H929+H930</f>
        <v>0</v>
      </c>
      <c r="I928" s="805">
        <f t="shared" si="199"/>
        <v>0</v>
      </c>
    </row>
    <row r="929" spans="1:9" s="109" customFormat="1" ht="63" hidden="1" x14ac:dyDescent="0.25">
      <c r="A929" s="826" t="str">
        <f>IF(B929&gt;0,VLOOKUP(B929,КВСР!A311:B1476,2),IF(C929&gt;0,VLOOKUP(C929,КФСР!A311:B1823,2),IF(D929&gt;0,VLOOKUP(D929,Программа!A$1:B$5124,2),IF(F929&gt;0,VLOOKUP(F929,КВР!A$1:B$5001,2),IF(E929&gt;0,VLOOKUP(E929,Направление!A$1:B$4816,2))))))</f>
        <v xml:space="preserve">Закупка товаров, работ и услуг для обеспечения государственных (муниципальных) нужд
</v>
      </c>
      <c r="B929" s="760"/>
      <c r="C929" s="820"/>
      <c r="D929" s="760"/>
      <c r="E929" s="760"/>
      <c r="F929" s="763">
        <v>200</v>
      </c>
      <c r="G929" s="812">
        <v>0</v>
      </c>
      <c r="H929" s="812"/>
      <c r="I929" s="805">
        <f t="shared" si="199"/>
        <v>0</v>
      </c>
    </row>
    <row r="930" spans="1:9" s="109" customFormat="1" ht="31.5" hidden="1" x14ac:dyDescent="0.25">
      <c r="A930" s="826" t="str">
        <f>IF(B930&gt;0,VLOOKUP(B930,КВСР!A312:B1477,2),IF(C930&gt;0,VLOOKUP(C930,КФСР!A312:B1824,2),IF(D930&gt;0,VLOOKUP(D930,Программа!A$1:B$5124,2),IF(F930&gt;0,VLOOKUP(F930,КВР!A$1:B$5001,2),IF(E930&gt;0,VLOOKUP(E930,Направление!A$1:B$4816,2))))))</f>
        <v>Социальное обеспечение и иные выплаты населению</v>
      </c>
      <c r="B930" s="760"/>
      <c r="C930" s="820"/>
      <c r="D930" s="760"/>
      <c r="E930" s="760"/>
      <c r="F930" s="763">
        <v>300</v>
      </c>
      <c r="G930" s="812">
        <v>0</v>
      </c>
      <c r="H930" s="812"/>
      <c r="I930" s="805">
        <f t="shared" si="199"/>
        <v>0</v>
      </c>
    </row>
    <row r="931" spans="1:9" s="109" customFormat="1" ht="63" x14ac:dyDescent="0.25">
      <c r="A931" s="826" t="str">
        <f>IF(B931&gt;0,VLOOKUP(B931,КВСР!A313:B1478,2),IF(C931&gt;0,VLOOKUP(C931,КФСР!A313:B1825,2),IF(D931&gt;0,VLOOKUP(D931,Программа!A$1:B$5124,2),IF(F931&gt;0,VLOOKUP(F931,КВР!A$1:B$5001,2),IF(E931&gt;0,VLOOKUP(E931,Направление!A$1:B$4816,2))))))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31" s="760"/>
      <c r="C931" s="820"/>
      <c r="D931" s="760"/>
      <c r="E931" s="760">
        <v>70870</v>
      </c>
      <c r="F931" s="763"/>
      <c r="G931" s="812">
        <v>260</v>
      </c>
      <c r="H931" s="812">
        <f t="shared" ref="H931:I931" si="207">H932</f>
        <v>-6.77</v>
      </c>
      <c r="I931" s="805">
        <f t="shared" si="207"/>
        <v>253.23</v>
      </c>
    </row>
    <row r="932" spans="1:9" s="109" customFormat="1" ht="110.25" x14ac:dyDescent="0.25">
      <c r="A932" s="826" t="str">
        <f>IF(B932&gt;0,VLOOKUP(B932,КВСР!A314:B1479,2),IF(C932&gt;0,VLOOKUP(C932,КФСР!A314:B1826,2),IF(D932&gt;0,VLOOKUP(D932,Программа!A$1:B$5124,2),IF(F932&gt;0,VLOOKUP(F932,КВР!A$1:B$5001,2),IF(E932&gt;0,VLOOKUP(E932,Направление!A$1:B$4816,2))))))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2" s="760"/>
      <c r="C932" s="820"/>
      <c r="D932" s="760"/>
      <c r="E932" s="760"/>
      <c r="F932" s="763">
        <v>100</v>
      </c>
      <c r="G932" s="812">
        <v>260</v>
      </c>
      <c r="H932" s="812">
        <v>-6.77</v>
      </c>
      <c r="I932" s="805">
        <f>G932+H932</f>
        <v>253.23</v>
      </c>
    </row>
    <row r="933" spans="1:9" s="109" customFormat="1" ht="47.25" x14ac:dyDescent="0.25">
      <c r="A933" s="826" t="str">
        <f>IF(B933&gt;0,VLOOKUP(B933,КВСР!A315:B1480,2),IF(C933&gt;0,VLOOKUP(C933,КФСР!A315:B1827,2),IF(D933&gt;0,VLOOKUP(D933,Программа!A$1:B$5124,2),IF(F933&gt;0,VLOOKUP(F933,КВР!A$1:B$5001,2),IF(E933&gt;0,VLOOKUP(E933,Направление!A$1:B$4816,2))))))</f>
        <v>Расходы на социальную поддержку отдельных категорий граждан в части ежемесячного пособия на ребенка</v>
      </c>
      <c r="B933" s="760"/>
      <c r="C933" s="820"/>
      <c r="D933" s="760"/>
      <c r="E933" s="760">
        <v>73040</v>
      </c>
      <c r="F933" s="763"/>
      <c r="G933" s="812">
        <v>20140000</v>
      </c>
      <c r="H933" s="812">
        <f t="shared" ref="H933:I933" si="208">H934+H935</f>
        <v>0</v>
      </c>
      <c r="I933" s="805">
        <f t="shared" si="208"/>
        <v>20140000</v>
      </c>
    </row>
    <row r="934" spans="1:9" s="109" customFormat="1" ht="63" x14ac:dyDescent="0.25">
      <c r="A934" s="826" t="str">
        <f>IF(B934&gt;0,VLOOKUP(B934,КВСР!A316:B1481,2),IF(C934&gt;0,VLOOKUP(C934,КФСР!A316:B1828,2),IF(D934&gt;0,VLOOKUP(D934,Программа!A$1:B$5124,2),IF(F934&gt;0,VLOOKUP(F934,КВР!A$1:B$5001,2),IF(E934&gt;0,VLOOKUP(E934,Направление!A$1:B$4816,2))))))</f>
        <v xml:space="preserve">Закупка товаров, работ и услуг для обеспечения государственных (муниципальных) нужд
</v>
      </c>
      <c r="B934" s="760"/>
      <c r="C934" s="820"/>
      <c r="D934" s="760"/>
      <c r="E934" s="760"/>
      <c r="F934" s="763">
        <v>200</v>
      </c>
      <c r="G934" s="812">
        <v>2100</v>
      </c>
      <c r="H934" s="812"/>
      <c r="I934" s="805">
        <f>G934+H934</f>
        <v>2100</v>
      </c>
    </row>
    <row r="935" spans="1:9" s="109" customFormat="1" ht="31.5" x14ac:dyDescent="0.25">
      <c r="A935" s="826" t="str">
        <f>IF(B935&gt;0,VLOOKUP(B935,КВСР!A317:B1482,2),IF(C935&gt;0,VLOOKUP(C935,КФСР!A317:B1829,2),IF(D935&gt;0,VLOOKUP(D935,Программа!A$1:B$5124,2),IF(F935&gt;0,VLOOKUP(F935,КВР!A$1:B$5001,2),IF(E935&gt;0,VLOOKUP(E935,Направление!A$1:B$4816,2))))))</f>
        <v>Социальное обеспечение и иные выплаты населению</v>
      </c>
      <c r="B935" s="760"/>
      <c r="C935" s="820"/>
      <c r="D935" s="760"/>
      <c r="E935" s="760"/>
      <c r="F935" s="763">
        <v>300</v>
      </c>
      <c r="G935" s="812">
        <v>20137900</v>
      </c>
      <c r="H935" s="812"/>
      <c r="I935" s="805">
        <f>G935+H935</f>
        <v>20137900</v>
      </c>
    </row>
    <row r="936" spans="1:9" s="109" customFormat="1" ht="63" x14ac:dyDescent="0.25">
      <c r="A936" s="826" t="str">
        <f>IF(B936&gt;0,VLOOKUP(B936,КВСР!A313:B1478,2),IF(C936&gt;0,VLOOKUP(C936,КФСР!A313:B1825,2),IF(D936&gt;0,VLOOKUP(D936,Программа!A$1:B$5124,2),IF(F936&gt;0,VLOOKUP(F936,КВР!A$1:B$5001,2),IF(E936&gt;0,VLOOKUP(E936,Направление!A$1:B$4816,2))))))</f>
        <v>Ежемесячная выплата на детей в возрасте от трех до семи лет включительно в части расходов по доставке</v>
      </c>
      <c r="B936" s="760"/>
      <c r="C936" s="820"/>
      <c r="D936" s="760"/>
      <c r="E936" s="760">
        <v>75510</v>
      </c>
      <c r="F936" s="763"/>
      <c r="G936" s="812">
        <v>1815852</v>
      </c>
      <c r="H936" s="812">
        <f t="shared" ref="H936:I936" si="209">H937</f>
        <v>-30800</v>
      </c>
      <c r="I936" s="806">
        <f t="shared" si="209"/>
        <v>1785052</v>
      </c>
    </row>
    <row r="937" spans="1:9" s="109" customFormat="1" ht="63" x14ac:dyDescent="0.25">
      <c r="A937" s="826" t="str">
        <f>IF(B937&gt;0,VLOOKUP(B937,КВСР!A314:B1479,2),IF(C937&gt;0,VLOOKUP(C937,КФСР!A314:B1826,2),IF(D937&gt;0,VLOOKUP(D937,Программа!A$1:B$5124,2),IF(F937&gt;0,VLOOKUP(F937,КВР!A$1:B$5001,2),IF(E937&gt;0,VLOOKUP(E937,Направление!A$1:B$4816,2))))))</f>
        <v xml:space="preserve">Закупка товаров, работ и услуг для обеспечения государственных (муниципальных) нужд
</v>
      </c>
      <c r="B937" s="760"/>
      <c r="C937" s="820"/>
      <c r="D937" s="760"/>
      <c r="E937" s="760"/>
      <c r="F937" s="763">
        <v>200</v>
      </c>
      <c r="G937" s="812">
        <v>1815852</v>
      </c>
      <c r="H937" s="812">
        <v>-30800</v>
      </c>
      <c r="I937" s="805">
        <f>G937+H937</f>
        <v>1785052</v>
      </c>
    </row>
    <row r="938" spans="1:9" s="109" customFormat="1" ht="31.5" x14ac:dyDescent="0.25">
      <c r="A938" s="826" t="str">
        <f>IF(B938&gt;0,VLOOKUP(B938,КВСР!A313:B1478,2),IF(C938&gt;0,VLOOKUP(C938,КФСР!A313:B1825,2),IF(D938&gt;0,VLOOKUP(D938,Программа!A$1:B$5124,2),IF(F938&gt;0,VLOOKUP(F938,КВР!A$1:B$5001,2),IF(E938&gt;0,VLOOKUP(E938,Направление!A$1:B$4816,2))))))</f>
        <v>Ежемесячная выплата на детей в возрасте от 3 до 7 лет включительно</v>
      </c>
      <c r="B938" s="760"/>
      <c r="C938" s="820"/>
      <c r="D938" s="760"/>
      <c r="E938" s="760" t="s">
        <v>1514</v>
      </c>
      <c r="F938" s="763"/>
      <c r="G938" s="812">
        <v>134479078</v>
      </c>
      <c r="H938" s="812">
        <f>H939+H940</f>
        <v>0</v>
      </c>
      <c r="I938" s="805">
        <f>I939+I940</f>
        <v>134479078</v>
      </c>
    </row>
    <row r="939" spans="1:9" s="109" customFormat="1" ht="63" hidden="1" customHeight="1" x14ac:dyDescent="0.25">
      <c r="A939" s="826" t="str">
        <f>IF(B939&gt;0,VLOOKUP(B939,КВСР!A314:B1479,2),IF(C939&gt;0,VLOOKUP(C939,КФСР!A314:B1826,2),IF(D939&gt;0,VLOOKUP(D939,Программа!A$1:B$5124,2),IF(F939&gt;0,VLOOKUP(F939,КВР!A$1:B$5001,2),IF(E939&gt;0,VLOOKUP(E939,Направление!A$1:B$4816,2))))))</f>
        <v xml:space="preserve">Закупка товаров, работ и услуг для обеспечения государственных (муниципальных) нужд
</v>
      </c>
      <c r="B939" s="760"/>
      <c r="C939" s="820"/>
      <c r="D939" s="760"/>
      <c r="E939" s="760"/>
      <c r="F939" s="763">
        <v>200</v>
      </c>
      <c r="G939" s="812">
        <v>0</v>
      </c>
      <c r="H939" s="812"/>
      <c r="I939" s="805">
        <f t="shared" si="199"/>
        <v>0</v>
      </c>
    </row>
    <row r="940" spans="1:9" s="109" customFormat="1" ht="31.5" x14ac:dyDescent="0.25">
      <c r="A940" s="826" t="str">
        <f>IF(B940&gt;0,VLOOKUP(B940,КВСР!A315:B1480,2),IF(C940&gt;0,VLOOKUP(C940,КФСР!A315:B1827,2),IF(D940&gt;0,VLOOKUP(D940,Программа!A$1:B$5124,2),IF(F940&gt;0,VLOOKUP(F940,КВР!A$1:B$5001,2),IF(E940&gt;0,VLOOKUP(E940,Направление!A$1:B$4816,2))))))</f>
        <v>Социальное обеспечение и иные выплаты населению</v>
      </c>
      <c r="B940" s="760"/>
      <c r="C940" s="820"/>
      <c r="D940" s="760"/>
      <c r="E940" s="760"/>
      <c r="F940" s="763">
        <v>300</v>
      </c>
      <c r="G940" s="812">
        <v>134479078</v>
      </c>
      <c r="H940" s="812"/>
      <c r="I940" s="805">
        <f t="shared" si="199"/>
        <v>134479078</v>
      </c>
    </row>
    <row r="941" spans="1:9" s="109" customFormat="1" ht="63" x14ac:dyDescent="0.25">
      <c r="A941" s="826" t="s">
        <v>1801</v>
      </c>
      <c r="B941" s="760"/>
      <c r="C941" s="820"/>
      <c r="D941" s="760"/>
      <c r="E941" s="760" t="s">
        <v>1802</v>
      </c>
      <c r="F941" s="763"/>
      <c r="G941" s="812"/>
      <c r="H941" s="812">
        <v>9040683</v>
      </c>
      <c r="I941" s="805">
        <f>G941+H941</f>
        <v>9040683</v>
      </c>
    </row>
    <row r="942" spans="1:9" s="109" customFormat="1" ht="31.5" x14ac:dyDescent="0.25">
      <c r="A942" s="826" t="s">
        <v>343</v>
      </c>
      <c r="B942" s="760"/>
      <c r="C942" s="820"/>
      <c r="D942" s="760"/>
      <c r="E942" s="760"/>
      <c r="F942" s="763">
        <v>300</v>
      </c>
      <c r="G942" s="812"/>
      <c r="H942" s="812">
        <v>9040683</v>
      </c>
      <c r="I942" s="805">
        <f>G942+H942</f>
        <v>9040683</v>
      </c>
    </row>
    <row r="943" spans="1:9" s="109" customFormat="1" ht="63" hidden="1" x14ac:dyDescent="0.25">
      <c r="A943" s="826" t="str">
        <f>IF(B943&gt;0,VLOOKUP(B943,КВСР!A308:B1473,2),IF(C943&gt;0,VLOOKUP(C943,КФСР!A308:B1820,2),IF(D943&gt;0,VLOOKUP(D943,Программа!A$1:B$5124,2),IF(F943&gt;0,VLOOKUP(F943,КВР!A$1:B$5001,2),IF(E943&gt;0,VLOOKUP(E943,Направление!A$1:B$4816,2))))))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943" s="760"/>
      <c r="C943" s="820"/>
      <c r="D943" s="760" t="s">
        <v>466</v>
      </c>
      <c r="E943" s="760"/>
      <c r="F943" s="763"/>
      <c r="G943" s="812">
        <v>0</v>
      </c>
      <c r="H943" s="812">
        <f t="shared" ref="H943:I943" si="210">H944</f>
        <v>0</v>
      </c>
      <c r="I943" s="805">
        <f t="shared" si="210"/>
        <v>0</v>
      </c>
    </row>
    <row r="944" spans="1:9" s="109" customFormat="1" ht="31.5" hidden="1" x14ac:dyDescent="0.25">
      <c r="A944" s="826" t="str">
        <f>IF(B944&gt;0,VLOOKUP(B944,КВСР!A309:B1474,2),IF(C944&gt;0,VLOOKUP(C944,КФСР!A309:B1821,2),IF(D944&gt;0,VLOOKUP(D944,Программа!A$1:B$5124,2),IF(F944&gt;0,VLOOKUP(F944,КВР!A$1:B$5001,2),IF(E944&gt;0,VLOOKUP(E944,Направление!A$1:B$4816,2))))))</f>
        <v>Оказание адресной материальной помощи</v>
      </c>
      <c r="B944" s="760"/>
      <c r="C944" s="820"/>
      <c r="D944" s="760"/>
      <c r="E944" s="760">
        <v>16220</v>
      </c>
      <c r="F944" s="763"/>
      <c r="G944" s="812">
        <v>0</v>
      </c>
      <c r="H944" s="812">
        <f>H945</f>
        <v>0</v>
      </c>
      <c r="I944" s="805">
        <f t="shared" si="199"/>
        <v>0</v>
      </c>
    </row>
    <row r="945" spans="1:9" s="109" customFormat="1" ht="31.5" hidden="1" x14ac:dyDescent="0.25">
      <c r="A945" s="826" t="str">
        <f>IF(B945&gt;0,VLOOKUP(B945,КВСР!A310:B1475,2),IF(C945&gt;0,VLOOKUP(C945,КФСР!A310:B1822,2),IF(D945&gt;0,VLOOKUP(D945,Программа!A$1:B$5124,2),IF(F945&gt;0,VLOOKUP(F945,КВР!A$1:B$5001,2),IF(E945&gt;0,VLOOKUP(E945,Направление!A$1:B$4816,2))))))</f>
        <v>Социальное обеспечение и иные выплаты населению</v>
      </c>
      <c r="B945" s="760"/>
      <c r="C945" s="820"/>
      <c r="D945" s="760"/>
      <c r="E945" s="760"/>
      <c r="F945" s="763">
        <v>300</v>
      </c>
      <c r="G945" s="812">
        <v>0</v>
      </c>
      <c r="H945" s="812"/>
      <c r="I945" s="805">
        <f t="shared" si="199"/>
        <v>0</v>
      </c>
    </row>
    <row r="946" spans="1:9" s="109" customFormat="1" ht="31.5" x14ac:dyDescent="0.25">
      <c r="A946" s="826" t="str">
        <f>IF(B946&gt;0,VLOOKUP(B946,КВСР!A311:B1476,2),IF(C946&gt;0,VLOOKUP(C946,КФСР!A311:B1823,2),IF(D946&gt;0,VLOOKUP(D946,Программа!A$1:B$5124,2),IF(F946&gt;0,VLOOKUP(F946,КВР!A$1:B$5001,2),IF(E946&gt;0,VLOOKUP(E946,Направление!A$1:B$4816,2))))))</f>
        <v>Федеральный проект "Финансовая поддержка семей при рождении детей"</v>
      </c>
      <c r="B946" s="760"/>
      <c r="C946" s="820"/>
      <c r="D946" s="760" t="s">
        <v>1323</v>
      </c>
      <c r="E946" s="760"/>
      <c r="F946" s="763"/>
      <c r="G946" s="812">
        <v>86534968</v>
      </c>
      <c r="H946" s="812">
        <f>H947+H951+H953+H949</f>
        <v>3576477</v>
      </c>
      <c r="I946" s="805">
        <f>I947+I949+I951+I953</f>
        <v>90111445</v>
      </c>
    </row>
    <row r="947" spans="1:9" s="109" customFormat="1" ht="63" x14ac:dyDescent="0.25">
      <c r="A947" s="826" t="str">
        <f>IF(B947&gt;0,VLOOKUP(B947,КВСР!A312:B1477,2),IF(C947&gt;0,VLOOKUP(C947,КФСР!A312:B1824,2),IF(D947&gt;0,VLOOKUP(D947,Программа!A$1:B$5124,2),IF(F947&gt;0,VLOOKUP(F947,КВР!A$1:B$5001,2),IF(E947&gt;0,VLOOKUP(E947,Направление!A$1:B$4816,2))))))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47" s="760"/>
      <c r="C947" s="820"/>
      <c r="D947" s="760"/>
      <c r="E947" s="760">
        <v>50840</v>
      </c>
      <c r="F947" s="763"/>
      <c r="G947" s="812">
        <v>45225900</v>
      </c>
      <c r="H947" s="812">
        <f>H948</f>
        <v>0</v>
      </c>
      <c r="I947" s="805">
        <f>I948</f>
        <v>45225900</v>
      </c>
    </row>
    <row r="948" spans="1:9" s="109" customFormat="1" ht="31.5" x14ac:dyDescent="0.25">
      <c r="A948" s="826" t="str">
        <f>IF(B948&gt;0,VLOOKUP(B948,КВСР!A312:B1477,2),IF(C948&gt;0,VLOOKUP(C948,КФСР!A312:B1824,2),IF(D948&gt;0,VLOOKUP(D948,Программа!A$1:B$5124,2),IF(F948&gt;0,VLOOKUP(F948,КВР!A$1:B$5001,2),IF(E948&gt;0,VLOOKUP(E948,Направление!A$1:B$4816,2))))))</f>
        <v>Социальное обеспечение и иные выплаты населению</v>
      </c>
      <c r="B948" s="760"/>
      <c r="C948" s="820"/>
      <c r="D948" s="760"/>
      <c r="E948" s="760"/>
      <c r="F948" s="763">
        <v>300</v>
      </c>
      <c r="G948" s="812">
        <v>45225900</v>
      </c>
      <c r="H948" s="812"/>
      <c r="I948" s="805">
        <f t="shared" si="199"/>
        <v>45225900</v>
      </c>
    </row>
    <row r="949" spans="1:9" s="109" customFormat="1" ht="94.5" x14ac:dyDescent="0.25">
      <c r="A949" s="826" t="s">
        <v>1803</v>
      </c>
      <c r="B949" s="760"/>
      <c r="C949" s="820"/>
      <c r="D949" s="760"/>
      <c r="E949" s="760" t="s">
        <v>1804</v>
      </c>
      <c r="F949" s="763"/>
      <c r="G949" s="812"/>
      <c r="H949" s="812">
        <f t="shared" ref="H949:I949" si="211">H950</f>
        <v>3586477</v>
      </c>
      <c r="I949" s="805">
        <f t="shared" si="211"/>
        <v>3586477</v>
      </c>
    </row>
    <row r="950" spans="1:9" s="109" customFormat="1" ht="31.5" x14ac:dyDescent="0.25">
      <c r="A950" s="826" t="s">
        <v>343</v>
      </c>
      <c r="B950" s="760"/>
      <c r="C950" s="820"/>
      <c r="D950" s="760"/>
      <c r="E950" s="760"/>
      <c r="F950" s="763">
        <v>300</v>
      </c>
      <c r="G950" s="812"/>
      <c r="H950" s="812">
        <v>3586477</v>
      </c>
      <c r="I950" s="805">
        <f>G950+H950</f>
        <v>3586477</v>
      </c>
    </row>
    <row r="951" spans="1:9" s="109" customFormat="1" ht="63" x14ac:dyDescent="0.25">
      <c r="A951" s="826" t="str">
        <f>IF(B951&gt;0,VLOOKUP(B951,КВСР!A313:B1478,2),IF(C951&gt;0,VLOOKUP(C951,КФСР!A313:B1825,2),IF(D951&gt;0,VLOOKUP(D951,Программа!A$1:B$5124,2),IF(F951&gt;0,VLOOKUP(F951,КВР!A$1:B$5001,2),IF(E951&gt;0,VLOOKUP(E951,Направление!A$1:B$4816,2))))))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51" s="760"/>
      <c r="C951" s="820"/>
      <c r="D951" s="760"/>
      <c r="E951" s="760">
        <v>55730</v>
      </c>
      <c r="F951" s="763"/>
      <c r="G951" s="812">
        <v>40679068</v>
      </c>
      <c r="H951" s="812">
        <f t="shared" ref="H951:I951" si="212">H952</f>
        <v>0</v>
      </c>
      <c r="I951" s="805">
        <f t="shared" si="212"/>
        <v>40679068</v>
      </c>
    </row>
    <row r="952" spans="1:9" s="109" customFormat="1" ht="31.5" x14ac:dyDescent="0.25">
      <c r="A952" s="826" t="str">
        <f>IF(B952&gt;0,VLOOKUP(B952,КВСР!A314:B1479,2),IF(C952&gt;0,VLOOKUP(C952,КФСР!A314:B1826,2),IF(D952&gt;0,VLOOKUP(D952,Программа!A$1:B$5124,2),IF(F952&gt;0,VLOOKUP(F952,КВР!A$1:B$5001,2),IF(E952&gt;0,VLOOKUP(E952,Направление!A$1:B$4816,2))))))</f>
        <v>Социальное обеспечение и иные выплаты населению</v>
      </c>
      <c r="B952" s="760"/>
      <c r="C952" s="820"/>
      <c r="D952" s="760"/>
      <c r="E952" s="760"/>
      <c r="F952" s="763">
        <v>300</v>
      </c>
      <c r="G952" s="812">
        <v>40679068</v>
      </c>
      <c r="H952" s="812"/>
      <c r="I952" s="805">
        <f>G952+H952</f>
        <v>40679068</v>
      </c>
    </row>
    <row r="953" spans="1:9" s="109" customFormat="1" ht="94.5" x14ac:dyDescent="0.25">
      <c r="A953" s="826" t="str">
        <f>IF(B953&gt;0,VLOOKUP(B953,КВСР!A315:B1480,2),IF(C953&gt;0,VLOOKUP(C953,КФСР!A315:B1827,2),IF(D953&gt;0,VLOOKUP(D953,Программа!A$1:B$5124,2),IF(F953&gt;0,VLOOKUP(F953,КВР!A$1:B$5001,2),IF(E953&gt;0,VLOOKUP(E953,Направление!A$1:B$4816,2))))))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53" s="760"/>
      <c r="C953" s="820"/>
      <c r="D953" s="760"/>
      <c r="E953" s="760">
        <v>75480</v>
      </c>
      <c r="F953" s="763"/>
      <c r="G953" s="812">
        <v>630000</v>
      </c>
      <c r="H953" s="812">
        <f t="shared" ref="H953:I953" si="213">H954</f>
        <v>-10000</v>
      </c>
      <c r="I953" s="805">
        <f t="shared" si="213"/>
        <v>620000</v>
      </c>
    </row>
    <row r="954" spans="1:9" s="109" customFormat="1" ht="63" x14ac:dyDescent="0.25">
      <c r="A954" s="826" t="str">
        <f>IF(B954&gt;0,VLOOKUP(B954,КВСР!A316:B1481,2),IF(C954&gt;0,VLOOKUP(C954,КФСР!A316:B1828,2),IF(D954&gt;0,VLOOKUP(D954,Программа!A$1:B$5124,2),IF(F954&gt;0,VLOOKUP(F954,КВР!A$1:B$5001,2),IF(E954&gt;0,VLOOKUP(E954,Направление!A$1:B$4816,2))))))</f>
        <v xml:space="preserve">Закупка товаров, работ и услуг для обеспечения государственных (муниципальных) нужд
</v>
      </c>
      <c r="B954" s="760"/>
      <c r="C954" s="820"/>
      <c r="D954" s="760"/>
      <c r="E954" s="760"/>
      <c r="F954" s="763">
        <v>200</v>
      </c>
      <c r="G954" s="812">
        <v>630000</v>
      </c>
      <c r="H954" s="812">
        <v>-10000</v>
      </c>
      <c r="I954" s="805">
        <f>G954+H954</f>
        <v>620000</v>
      </c>
    </row>
    <row r="955" spans="1:9" s="109" customFormat="1" ht="31.5" x14ac:dyDescent="0.25">
      <c r="A955" s="826" t="str">
        <f>IF(B955&gt;0,VLOOKUP(B955,КВСР!A308:B1473,2),IF(C955&gt;0,VLOOKUP(C955,КФСР!A308:B1820,2),IF(D955&gt;0,VLOOKUP(D955,Программа!A$1:B$5124,2),IF(F955&gt;0,VLOOKUP(F955,КВР!A$1:B$5001,2),IF(E955&gt;0,VLOOKUP(E955,Направление!A$1:B$4816,2))))))</f>
        <v>Другие вопросы в области социальной политики</v>
      </c>
      <c r="B955" s="760"/>
      <c r="C955" s="820">
        <v>1006</v>
      </c>
      <c r="D955" s="760"/>
      <c r="E955" s="760"/>
      <c r="F955" s="763"/>
      <c r="G955" s="812">
        <v>17693713</v>
      </c>
      <c r="H955" s="812">
        <f>H956+H973+H977</f>
        <v>-395727.23</v>
      </c>
      <c r="I955" s="805">
        <f>I956+I973+I977</f>
        <v>17297985.769999996</v>
      </c>
    </row>
    <row r="956" spans="1:9" s="109" customFormat="1" ht="47.25" x14ac:dyDescent="0.25">
      <c r="A956" s="826" t="str">
        <f>IF(B956&gt;0,VLOOKUP(B956,КВСР!A309:B1474,2),IF(C956&gt;0,VLOOKUP(C956,КФСР!A309:B1821,2),IF(D956&gt;0,VLOOKUP(D956,Программа!A$1:B$5124,2),IF(F956&gt;0,VLOOKUP(F956,КВР!A$1:B$5001,2),IF(E956&gt;0,VLOOKUP(E956,Направление!A$1:B$4816,2))))))</f>
        <v>Муниципальная программа "Социальная поддержка населения Тутаевского муниципального района"</v>
      </c>
      <c r="B956" s="760"/>
      <c r="C956" s="820"/>
      <c r="D956" s="760" t="s">
        <v>376</v>
      </c>
      <c r="E956" s="760"/>
      <c r="F956" s="763"/>
      <c r="G956" s="812">
        <v>17542894</v>
      </c>
      <c r="H956" s="812">
        <f>H957</f>
        <v>-391170.23</v>
      </c>
      <c r="I956" s="805">
        <f>I957</f>
        <v>17151723.769999996</v>
      </c>
    </row>
    <row r="957" spans="1:9" s="109" customFormat="1" ht="47.25" x14ac:dyDescent="0.25">
      <c r="A957" s="826" t="str">
        <f>IF(B957&gt;0,VLOOKUP(B957,КВСР!A310:B1475,2),IF(C957&gt;0,VLOOKUP(C957,КФСР!A310:B1822,2),IF(D957&gt;0,VLOOKUP(D957,Программа!A$1:B$5124,2),IF(F957&gt;0,VLOOKUP(F957,КВР!A$1:B$5001,2),IF(E957&gt;0,VLOOKUP(E957,Направление!A$1:B$4816,2))))))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57" s="760"/>
      <c r="C957" s="820"/>
      <c r="D957" s="760" t="s">
        <v>446</v>
      </c>
      <c r="E957" s="760"/>
      <c r="F957" s="763"/>
      <c r="G957" s="812">
        <v>17542894</v>
      </c>
      <c r="H957" s="812">
        <f>H958+H970</f>
        <v>-391170.23</v>
      </c>
      <c r="I957" s="805">
        <f>I958+I970</f>
        <v>17151723.769999996</v>
      </c>
    </row>
    <row r="958" spans="1:9" s="109" customFormat="1" ht="47.25" x14ac:dyDescent="0.25">
      <c r="A958" s="826" t="str">
        <f>IF(B958&gt;0,VLOOKUP(B958,КВСР!A311:B1476,2),IF(C958&gt;0,VLOOKUP(C958,КФСР!A311:B1823,2),IF(D958&gt;0,VLOOKUP(D958,Программа!A$1:B$5124,2),IF(F958&gt;0,VLOOKUP(F958,КВР!A$1:B$5001,2),IF(E958&gt;0,VLOOKUP(E958,Направление!A$1:B$4816,2))))))</f>
        <v>Исполнение публичных обязательств по предоставлению выплат, пособий и компенсаций</v>
      </c>
      <c r="B958" s="760"/>
      <c r="C958" s="820"/>
      <c r="D958" s="760" t="s">
        <v>448</v>
      </c>
      <c r="E958" s="760"/>
      <c r="F958" s="763"/>
      <c r="G958" s="812">
        <v>16811894</v>
      </c>
      <c r="H958" s="812">
        <f>H959+H966+H962+H964</f>
        <v>-114032.72999999998</v>
      </c>
      <c r="I958" s="805">
        <f>I959+I966+I962+I964</f>
        <v>16697861.269999998</v>
      </c>
    </row>
    <row r="959" spans="1:9" s="109" customFormat="1" x14ac:dyDescent="0.25">
      <c r="A959" s="826" t="str">
        <f>IF(B959&gt;0,VLOOKUP(B959,КВСР!A312:B1477,2),IF(C959&gt;0,VLOOKUP(C959,КФСР!A312:B1824,2),IF(D959&gt;0,VLOOKUP(D959,Программа!A$1:B$5124,2),IF(F959&gt;0,VLOOKUP(F959,КВР!A$1:B$5001,2),IF(E959&gt;0,VLOOKUP(E959,Направление!A$1:B$4816,2))))))</f>
        <v>Содержание центрального аппарата</v>
      </c>
      <c r="B959" s="760"/>
      <c r="C959" s="820"/>
      <c r="D959" s="760"/>
      <c r="E959" s="760">
        <v>12010</v>
      </c>
      <c r="F959" s="763"/>
      <c r="G959" s="812">
        <v>538053</v>
      </c>
      <c r="H959" s="812">
        <f>H960+H961</f>
        <v>45823</v>
      </c>
      <c r="I959" s="805">
        <f>I960+I961</f>
        <v>583876</v>
      </c>
    </row>
    <row r="960" spans="1:9" s="109" customFormat="1" ht="110.25" x14ac:dyDescent="0.25">
      <c r="A960" s="826" t="str">
        <f>IF(B960&gt;0,VLOOKUP(B960,КВСР!A312:B1477,2),IF(C960&gt;0,VLOOKUP(C960,КФСР!A312:B1824,2),IF(D960&gt;0,VLOOKUP(D960,Программа!A$1:B$5124,2),IF(F960&gt;0,VLOOKUP(F960,КВР!A$1:B$5001,2),IF(E960&gt;0,VLOOKUP(E960,Направление!A$1:B$4816,2))))))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0" s="760"/>
      <c r="C960" s="820"/>
      <c r="D960" s="760"/>
      <c r="E960" s="760"/>
      <c r="F960" s="763">
        <v>100</v>
      </c>
      <c r="G960" s="812">
        <v>538053</v>
      </c>
      <c r="H960" s="812">
        <v>45823</v>
      </c>
      <c r="I960" s="805">
        <f t="shared" si="199"/>
        <v>583876</v>
      </c>
    </row>
    <row r="961" spans="1:9" s="109" customFormat="1" ht="63" x14ac:dyDescent="0.25">
      <c r="A961" s="826" t="str">
        <f>IF(B961&gt;0,VLOOKUP(B961,КВСР!A313:B1478,2),IF(C961&gt;0,VLOOKUP(C961,КФСР!A313:B1825,2),IF(D961&gt;0,VLOOKUP(D961,Программа!A$1:B$5124,2),IF(F961&gt;0,VLOOKUP(F961,КВР!A$1:B$5001,2),IF(E961&gt;0,VLOOKUP(E961,Направление!A$1:B$4816,2))))))</f>
        <v xml:space="preserve">Закупка товаров, работ и услуг для обеспечения государственных (муниципальных) нужд
</v>
      </c>
      <c r="B961" s="760"/>
      <c r="C961" s="820"/>
      <c r="D961" s="760"/>
      <c r="E961" s="760"/>
      <c r="F961" s="763">
        <v>200</v>
      </c>
      <c r="G961" s="812">
        <v>0</v>
      </c>
      <c r="H961" s="812"/>
      <c r="I961" s="805">
        <f t="shared" si="199"/>
        <v>0</v>
      </c>
    </row>
    <row r="962" spans="1:9" s="109" customFormat="1" ht="31.5" x14ac:dyDescent="0.25">
      <c r="A962" s="826" t="str">
        <f>IF(B962&gt;0,VLOOKUP(B962,КВСР!A314:B1479,2),IF(C962&gt;0,VLOOKUP(C962,КФСР!A314:B1826,2),IF(D962&gt;0,VLOOKUP(D962,Программа!A$1:B$5124,2),IF(F962&gt;0,VLOOKUP(F962,КВР!A$1:B$5001,2),IF(E962&gt;0,VLOOKUP(E962,Направление!A$1:B$4816,2))))))</f>
        <v>Выполнение других обязательств органов местного самоуправления</v>
      </c>
      <c r="B962" s="760"/>
      <c r="C962" s="820"/>
      <c r="D962" s="760"/>
      <c r="E962" s="760">
        <v>12080</v>
      </c>
      <c r="F962" s="763"/>
      <c r="G962" s="812">
        <v>215000</v>
      </c>
      <c r="H962" s="812">
        <f>H963</f>
        <v>0</v>
      </c>
      <c r="I962" s="805">
        <f>I963</f>
        <v>215000</v>
      </c>
    </row>
    <row r="963" spans="1:9" s="109" customFormat="1" ht="63" x14ac:dyDescent="0.25">
      <c r="A963" s="826" t="str">
        <f>IF(B963&gt;0,VLOOKUP(B963,КВСР!A315:B1480,2),IF(C963&gt;0,VLOOKUP(C963,КФСР!A315:B1827,2),IF(D963&gt;0,VLOOKUP(D963,Программа!A$1:B$5124,2),IF(F963&gt;0,VLOOKUP(F963,КВР!A$1:B$5001,2),IF(E963&gt;0,VLOOKUP(E963,Направление!A$1:B$4816,2))))))</f>
        <v xml:space="preserve">Закупка товаров, работ и услуг для обеспечения государственных (муниципальных) нужд
</v>
      </c>
      <c r="B963" s="760"/>
      <c r="C963" s="820"/>
      <c r="D963" s="760"/>
      <c r="E963" s="760"/>
      <c r="F963" s="763">
        <v>200</v>
      </c>
      <c r="G963" s="812">
        <v>215000</v>
      </c>
      <c r="H963" s="812"/>
      <c r="I963" s="805">
        <f t="shared" si="199"/>
        <v>215000</v>
      </c>
    </row>
    <row r="964" spans="1:9" s="109" customFormat="1" ht="63" x14ac:dyDescent="0.25">
      <c r="A964" s="826" t="str">
        <f>IF(B964&gt;0,VLOOKUP(B964,КВСР!A316:B1481,2),IF(C964&gt;0,VLOOKUP(C964,КФСР!A316:B1828,2),IF(D964&gt;0,VLOOKUP(D964,Программа!A$1:B$5124,2),IF(F964&gt;0,VLOOKUP(F964,КВР!A$1:B$5001,2),IF(E964&gt;0,VLOOKUP(E964,Направление!A$1:B$4816,2))))))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64" s="760"/>
      <c r="C964" s="820"/>
      <c r="D964" s="760"/>
      <c r="E964" s="760">
        <v>55490</v>
      </c>
      <c r="F964" s="763"/>
      <c r="G964" s="812">
        <v>339822</v>
      </c>
      <c r="H964" s="812">
        <f t="shared" ref="H964:I964" si="214">H965</f>
        <v>0</v>
      </c>
      <c r="I964" s="805">
        <f t="shared" si="214"/>
        <v>339822</v>
      </c>
    </row>
    <row r="965" spans="1:9" s="109" customFormat="1" ht="110.25" x14ac:dyDescent="0.25">
      <c r="A965" s="826" t="str">
        <f>IF(B965&gt;0,VLOOKUP(B965,КВСР!A317:B1482,2),IF(C965&gt;0,VLOOKUP(C965,КФСР!A317:B1829,2),IF(D965&gt;0,VLOOKUP(D965,Программа!A$1:B$5124,2),IF(F965&gt;0,VLOOKUP(F965,КВР!A$1:B$5001,2),IF(E965&gt;0,VLOOKUP(E965,Направление!A$1:B$4816,2))))))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5" s="760"/>
      <c r="C965" s="820"/>
      <c r="D965" s="760"/>
      <c r="E965" s="760"/>
      <c r="F965" s="763">
        <v>100</v>
      </c>
      <c r="G965" s="812">
        <v>339822</v>
      </c>
      <c r="H965" s="812"/>
      <c r="I965" s="805">
        <f>SUM(G965:H965)</f>
        <v>339822</v>
      </c>
    </row>
    <row r="966" spans="1:9" s="109" customFormat="1" ht="63" x14ac:dyDescent="0.25">
      <c r="A966" s="826" t="str">
        <f>IF(B966&gt;0,VLOOKUP(B966,КВСР!A314:B1479,2),IF(C966&gt;0,VLOOKUP(C966,КФСР!A314:B1826,2),IF(D966&gt;0,VLOOKUP(D966,Программа!A$1:B$5124,2),IF(F966&gt;0,VLOOKUP(F966,КВР!A$1:B$5001,2),IF(E966&gt;0,VLOOKUP(E966,Направление!A$1:B$4816,2))))))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66" s="760"/>
      <c r="C966" s="820"/>
      <c r="D966" s="760"/>
      <c r="E966" s="760">
        <v>70870</v>
      </c>
      <c r="F966" s="763"/>
      <c r="G966" s="812">
        <v>15719018.999999998</v>
      </c>
      <c r="H966" s="812">
        <f>H967+H968+H969</f>
        <v>-159855.72999999998</v>
      </c>
      <c r="I966" s="805">
        <f>I967+I968+I969</f>
        <v>15559163.269999998</v>
      </c>
    </row>
    <row r="967" spans="1:9" s="109" customFormat="1" ht="110.25" x14ac:dyDescent="0.25">
      <c r="A967" s="826" t="str">
        <f>IF(B967&gt;0,VLOOKUP(B967,КВСР!A315:B1480,2),IF(C967&gt;0,VLOOKUP(C967,КФСР!A315:B1827,2),IF(D967&gt;0,VLOOKUP(D967,Программа!A$1:B$5124,2),IF(F967&gt;0,VLOOKUP(F967,КВР!A$1:B$5001,2),IF(E967&gt;0,VLOOKUP(E967,Направление!A$1:B$4816,2))))))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7" s="760"/>
      <c r="C967" s="820"/>
      <c r="D967" s="760"/>
      <c r="E967" s="760"/>
      <c r="F967" s="763">
        <v>100</v>
      </c>
      <c r="G967" s="812">
        <v>13547019</v>
      </c>
      <c r="H967" s="812">
        <v>-89993.23</v>
      </c>
      <c r="I967" s="805">
        <f t="shared" si="199"/>
        <v>13457025.77</v>
      </c>
    </row>
    <row r="968" spans="1:9" s="109" customFormat="1" ht="63" x14ac:dyDescent="0.25">
      <c r="A968" s="826" t="str">
        <f>IF(B968&gt;0,VLOOKUP(B968,КВСР!A316:B1481,2),IF(C968&gt;0,VLOOKUP(C968,КФСР!A316:B1828,2),IF(D968&gt;0,VLOOKUP(D968,Программа!A$1:B$5124,2),IF(F968&gt;0,VLOOKUP(F968,КВР!A$1:B$5001,2),IF(E968&gt;0,VLOOKUP(E968,Направление!A$1:B$4816,2))))))</f>
        <v xml:space="preserve">Закупка товаров, работ и услуг для обеспечения государственных (муниципальных) нужд
</v>
      </c>
      <c r="B968" s="760"/>
      <c r="C968" s="820"/>
      <c r="D968" s="760"/>
      <c r="E968" s="760"/>
      <c r="F968" s="763">
        <v>200</v>
      </c>
      <c r="G968" s="812">
        <v>2167603.38</v>
      </c>
      <c r="H968" s="812">
        <v>-69862.5</v>
      </c>
      <c r="I968" s="805">
        <f t="shared" si="199"/>
        <v>2097740.88</v>
      </c>
    </row>
    <row r="969" spans="1:9" s="109" customFormat="1" x14ac:dyDescent="0.25">
      <c r="A969" s="826" t="str">
        <f>IF(B969&gt;0,VLOOKUP(B969,КВСР!A317:B1482,2),IF(C969&gt;0,VLOOKUP(C969,КФСР!A317:B1829,2),IF(D969&gt;0,VLOOKUP(D969,Программа!A$1:B$5124,2),IF(F969&gt;0,VLOOKUP(F969,КВР!A$1:B$5001,2),IF(E969&gt;0,VLOOKUP(E969,Направление!A$1:B$4816,2))))))</f>
        <v>Иные бюджетные ассигнования</v>
      </c>
      <c r="B969" s="760"/>
      <c r="C969" s="820"/>
      <c r="D969" s="760"/>
      <c r="E969" s="760"/>
      <c r="F969" s="763">
        <v>800</v>
      </c>
      <c r="G969" s="812">
        <v>4396.62</v>
      </c>
      <c r="H969" s="812"/>
      <c r="I969" s="805">
        <f t="shared" si="199"/>
        <v>4396.62</v>
      </c>
    </row>
    <row r="970" spans="1:9" s="109" customFormat="1" ht="31.5" x14ac:dyDescent="0.25">
      <c r="A970" s="826" t="str">
        <f>IF(B970&gt;0,VLOOKUP(B970,КВСР!A318:B1483,2),IF(C970&gt;0,VLOOKUP(C970,КФСР!A318:B1830,2),IF(D970&gt;0,VLOOKUP(D970,Программа!A$1:B$5124,2),IF(F970&gt;0,VLOOKUP(F970,КВР!A$1:B$5001,2),IF(E970&gt;0,VLOOKUP(E970,Направление!A$1:B$4816,2))))))</f>
        <v>Информационное обеспечение реализации мероприятий программы</v>
      </c>
      <c r="B970" s="760"/>
      <c r="C970" s="820"/>
      <c r="D970" s="760" t="s">
        <v>1167</v>
      </c>
      <c r="E970" s="760"/>
      <c r="F970" s="763"/>
      <c r="G970" s="812">
        <v>731000</v>
      </c>
      <c r="H970" s="812">
        <f>H971</f>
        <v>-277137.5</v>
      </c>
      <c r="I970" s="805">
        <f>I971</f>
        <v>453862.5</v>
      </c>
    </row>
    <row r="971" spans="1:9" s="109" customFormat="1" ht="63" x14ac:dyDescent="0.25">
      <c r="A971" s="826" t="str">
        <f>IF(B971&gt;0,VLOOKUP(B971,КВСР!A319:B1484,2),IF(C971&gt;0,VLOOKUP(C971,КФСР!A319:B1831,2),IF(D971&gt;0,VLOOKUP(D971,Программа!A$1:B$5124,2),IF(F971&gt;0,VLOOKUP(F971,КВР!A$1:B$5001,2),IF(E971&gt;0,VLOOKUP(E971,Направление!A$1:B$4816,2))))))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1" s="760"/>
      <c r="C971" s="820"/>
      <c r="D971" s="760"/>
      <c r="E971" s="760">
        <v>70870</v>
      </c>
      <c r="F971" s="763"/>
      <c r="G971" s="812">
        <v>731000</v>
      </c>
      <c r="H971" s="812">
        <f>H972</f>
        <v>-277137.5</v>
      </c>
      <c r="I971" s="805">
        <f>I972</f>
        <v>453862.5</v>
      </c>
    </row>
    <row r="972" spans="1:9" s="109" customFormat="1" ht="63" x14ac:dyDescent="0.25">
      <c r="A972" s="826" t="str">
        <f>IF(B972&gt;0,VLOOKUP(B972,КВСР!A320:B1485,2),IF(C972&gt;0,VLOOKUP(C972,КФСР!A320:B1832,2),IF(D972&gt;0,VLOOKUP(D972,Программа!A$1:B$5124,2),IF(F972&gt;0,VLOOKUP(F972,КВР!A$1:B$5001,2),IF(E972&gt;0,VLOOKUP(E972,Направление!A$1:B$4816,2))))))</f>
        <v xml:space="preserve">Закупка товаров, работ и услуг для обеспечения государственных (муниципальных) нужд
</v>
      </c>
      <c r="B972" s="760"/>
      <c r="C972" s="820"/>
      <c r="D972" s="760"/>
      <c r="E972" s="760"/>
      <c r="F972" s="763">
        <v>200</v>
      </c>
      <c r="G972" s="812">
        <v>731000</v>
      </c>
      <c r="H972" s="812">
        <v>-277137.5</v>
      </c>
      <c r="I972" s="805">
        <f t="shared" si="199"/>
        <v>453862.5</v>
      </c>
    </row>
    <row r="973" spans="1:9" s="109" customFormat="1" ht="31.5" x14ac:dyDescent="0.25">
      <c r="A973" s="826" t="str">
        <f>IF(B973&gt;0,VLOOKUP(B973,КВСР!A321:B1486,2),IF(C973&gt;0,VLOOKUP(C973,КФСР!A321:B1833,2),IF(D973&gt;0,VLOOKUP(D973,Программа!A$1:B$5124,2),IF(F973&gt;0,VLOOKUP(F973,КВР!A$1:B$5001,2),IF(E973&gt;0,VLOOKUP(E973,Направление!A$1:B$4816,2))))))</f>
        <v>Муниципальная программа "Доступная среда "</v>
      </c>
      <c r="B973" s="760"/>
      <c r="C973" s="820"/>
      <c r="D973" s="760" t="s">
        <v>508</v>
      </c>
      <c r="E973" s="760"/>
      <c r="F973" s="763"/>
      <c r="G973" s="812">
        <v>34290</v>
      </c>
      <c r="H973" s="812">
        <f t="shared" ref="H973:I975" si="215">H974</f>
        <v>0</v>
      </c>
      <c r="I973" s="806">
        <f t="shared" si="215"/>
        <v>34290</v>
      </c>
    </row>
    <row r="974" spans="1:9" s="109" customFormat="1" ht="94.5" x14ac:dyDescent="0.25">
      <c r="A974" s="826" t="str">
        <f>IF(B974&gt;0,VLOOKUP(B974,КВСР!A322:B1487,2),IF(C974&gt;0,VLOOKUP(C974,КФСР!A322:B1834,2),IF(D974&gt;0,VLOOKUP(D974,Программа!A$1:B$5124,2),IF(F974&gt;0,VLOOKUP(F974,КВР!A$1:B$5001,2),IF(E974&gt;0,VLOOKUP(E974,Направление!A$1:B$4816,2))))))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74" s="760"/>
      <c r="C974" s="820"/>
      <c r="D974" s="760" t="s">
        <v>509</v>
      </c>
      <c r="E974" s="760"/>
      <c r="F974" s="763"/>
      <c r="G974" s="812">
        <v>34290</v>
      </c>
      <c r="H974" s="812">
        <f t="shared" si="215"/>
        <v>0</v>
      </c>
      <c r="I974" s="806">
        <f t="shared" si="215"/>
        <v>34290</v>
      </c>
    </row>
    <row r="975" spans="1:9" s="109" customFormat="1" ht="47.25" x14ac:dyDescent="0.25">
      <c r="A975" s="826" t="str">
        <f>IF(B975&gt;0,VLOOKUP(B975,КВСР!A323:B1488,2),IF(C975&gt;0,VLOOKUP(C975,КФСР!A323:B1835,2),IF(D975&gt;0,VLOOKUP(D975,Программа!A$1:B$5124,2),IF(F975&gt;0,VLOOKUP(F975,КВР!A$1:B$5001,2),IF(E975&gt;0,VLOOKUP(E975,Направление!A$1:B$4816,2))))))</f>
        <v>Расходы на оборудование социально значимых объектов с целью обеспечения доступности для инвалидов</v>
      </c>
      <c r="B975" s="760"/>
      <c r="C975" s="820"/>
      <c r="D975" s="760"/>
      <c r="E975" s="760">
        <v>16250</v>
      </c>
      <c r="F975" s="763"/>
      <c r="G975" s="812">
        <v>34290</v>
      </c>
      <c r="H975" s="812">
        <f t="shared" si="215"/>
        <v>0</v>
      </c>
      <c r="I975" s="806">
        <f t="shared" si="215"/>
        <v>34290</v>
      </c>
    </row>
    <row r="976" spans="1:9" s="109" customFormat="1" ht="63" x14ac:dyDescent="0.25">
      <c r="A976" s="826" t="str">
        <f>IF(B976&gt;0,VLOOKUP(B976,КВСР!A324:B1489,2),IF(C976&gt;0,VLOOKUP(C976,КФСР!A324:B1836,2),IF(D976&gt;0,VLOOKUP(D976,Программа!A$1:B$5124,2),IF(F976&gt;0,VLOOKUP(F976,КВР!A$1:B$5001,2),IF(E976&gt;0,VLOOKUP(E976,Направление!A$1:B$4816,2))))))</f>
        <v xml:space="preserve">Закупка товаров, работ и услуг для обеспечения государственных (муниципальных) нужд
</v>
      </c>
      <c r="B976" s="760"/>
      <c r="C976" s="820"/>
      <c r="D976" s="760"/>
      <c r="E976" s="760"/>
      <c r="F976" s="763">
        <v>200</v>
      </c>
      <c r="G976" s="812">
        <v>34290</v>
      </c>
      <c r="H976" s="812"/>
      <c r="I976" s="805">
        <f>G976+H976</f>
        <v>34290</v>
      </c>
    </row>
    <row r="977" spans="1:9" s="109" customFormat="1" ht="94.5" x14ac:dyDescent="0.25">
      <c r="A977" s="826" t="str">
        <f>IF(B977&gt;0,VLOOKUP(B977,КВСР!A321:B1486,2),IF(C977&gt;0,VLOOKUP(C977,КФСР!A321:B1833,2),IF(D977&gt;0,VLOOKUP(D977,Программа!A$1:B$5124,2),IF(F977&gt;0,VLOOKUP(F977,КВР!A$1:B$5001,2),IF(E977&gt;0,VLOOKUP(E977,Направление!A$1:B$4816,2))))))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77" s="760"/>
      <c r="C977" s="820"/>
      <c r="D977" s="760" t="s">
        <v>322</v>
      </c>
      <c r="E977" s="760"/>
      <c r="F977" s="763"/>
      <c r="G977" s="812">
        <v>116529</v>
      </c>
      <c r="H977" s="812">
        <f t="shared" ref="H977:I978" si="216">H978</f>
        <v>-4557</v>
      </c>
      <c r="I977" s="806">
        <f t="shared" si="216"/>
        <v>111972</v>
      </c>
    </row>
    <row r="978" spans="1:9" s="109" customFormat="1" ht="94.5" x14ac:dyDescent="0.25">
      <c r="A978" s="826" t="str">
        <f>IF(B978&gt;0,VLOOKUP(B978,КВСР!A322:B1487,2),IF(C978&gt;0,VLOOKUP(C978,КФСР!A322:B1834,2),IF(D978&gt;0,VLOOKUP(D978,Программа!A$1:B$5124,2),IF(F978&gt;0,VLOOKUP(F978,КВР!A$1:B$5001,2),IF(E978&gt;0,VLOOKUP(E978,Направление!A$1:B$4816,2))))))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78" s="760"/>
      <c r="C978" s="820"/>
      <c r="D978" s="760" t="s">
        <v>1516</v>
      </c>
      <c r="E978" s="760"/>
      <c r="F978" s="763"/>
      <c r="G978" s="812">
        <v>116529</v>
      </c>
      <c r="H978" s="812">
        <f t="shared" si="216"/>
        <v>-4557</v>
      </c>
      <c r="I978" s="806">
        <f t="shared" si="216"/>
        <v>111972</v>
      </c>
    </row>
    <row r="979" spans="1:9" s="109" customFormat="1" ht="31.5" x14ac:dyDescent="0.25">
      <c r="A979" s="826" t="str">
        <f>IF(B979&gt;0,VLOOKUP(B979,КВСР!A323:B1488,2),IF(C979&gt;0,VLOOKUP(C979,КФСР!A323:B1835,2),IF(D979&gt;0,VLOOKUP(D979,Программа!A$1:B$5124,2),IF(F979&gt;0,VLOOKUP(F979,КВР!A$1:B$5001,2),IF(E979&gt;0,VLOOKUP(E979,Направление!A$1:B$4816,2))))))</f>
        <v>Внедрение проектной деятельности и бережливых технологий</v>
      </c>
      <c r="B979" s="760"/>
      <c r="C979" s="820"/>
      <c r="D979" s="760"/>
      <c r="E979" s="760">
        <v>12300</v>
      </c>
      <c r="F979" s="763"/>
      <c r="G979" s="812">
        <v>116529</v>
      </c>
      <c r="H979" s="812">
        <f t="shared" ref="H979:I979" si="217">H980</f>
        <v>-4557</v>
      </c>
      <c r="I979" s="806">
        <f t="shared" si="217"/>
        <v>111972</v>
      </c>
    </row>
    <row r="980" spans="1:9" s="109" customFormat="1" ht="110.25" x14ac:dyDescent="0.25">
      <c r="A980" s="826" t="str">
        <f>IF(B980&gt;0,VLOOKUP(B980,КВСР!A324:B1489,2),IF(C980&gt;0,VLOOKUP(C980,КФСР!A324:B1836,2),IF(D980&gt;0,VLOOKUP(D980,Программа!A$1:B$5124,2),IF(F980&gt;0,VLOOKUP(F980,КВР!A$1:B$5001,2),IF(E980&gt;0,VLOOKUP(E980,Направление!A$1:B$4816,2))))))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0" s="760"/>
      <c r="C980" s="820"/>
      <c r="D980" s="760"/>
      <c r="E980" s="760"/>
      <c r="F980" s="763">
        <v>100</v>
      </c>
      <c r="G980" s="812">
        <v>116529</v>
      </c>
      <c r="H980" s="812">
        <v>-4557</v>
      </c>
      <c r="I980" s="805">
        <f>G980+H980</f>
        <v>111972</v>
      </c>
    </row>
    <row r="981" spans="1:9" s="109" customFormat="1" ht="31.5" x14ac:dyDescent="0.25">
      <c r="A981" s="824" t="str">
        <f>IF(B981&gt;0,VLOOKUP(B981,КВСР!A318:B1483,2),IF(C981&gt;0,VLOOKUP(C981,КФСР!A318:B1830,2),IF(D981&gt;0,VLOOKUP(D981,Программа!A$1:B$5124,2),IF(F981&gt;0,VLOOKUP(F981,КВР!A$1:B$5001,2),IF(E981&gt;0,VLOOKUP(E981,Направление!A$1:B$4816,2))))))</f>
        <v>Департамент финансов администрации ТМР</v>
      </c>
      <c r="B981" s="758">
        <v>955</v>
      </c>
      <c r="C981" s="820"/>
      <c r="D981" s="760"/>
      <c r="E981" s="760"/>
      <c r="F981" s="763"/>
      <c r="G981" s="811">
        <v>33036790</v>
      </c>
      <c r="H981" s="811">
        <f>H982+H991+H1024+H1028+H1016</f>
        <v>1357880</v>
      </c>
      <c r="I981" s="804">
        <f>I982+I991+I1024+I1028+I1016</f>
        <v>34394670</v>
      </c>
    </row>
    <row r="982" spans="1:9" s="109" customFormat="1" ht="63" x14ac:dyDescent="0.25">
      <c r="A982" s="826" t="str">
        <f>IF(B982&gt;0,VLOOKUP(B982,КВСР!A319:B1484,2),IF(C982&gt;0,VLOOKUP(C982,КФСР!A319:B1831,2),IF(D982&gt;0,VLOOKUP(D982,Программа!A$1:B$5124,2),IF(F982&gt;0,VLOOKUP(F982,КВР!A$1:B$5001,2),IF(E982&gt;0,VLOOKUP(E982,Направление!A$1:B$4816,2))))))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82" s="760"/>
      <c r="C982" s="827">
        <v>106</v>
      </c>
      <c r="D982" s="760"/>
      <c r="E982" s="760"/>
      <c r="F982" s="763"/>
      <c r="G982" s="812">
        <v>19672585</v>
      </c>
      <c r="H982" s="812">
        <f t="shared" ref="H982:I982" si="218">H983</f>
        <v>730896</v>
      </c>
      <c r="I982" s="805">
        <f t="shared" si="218"/>
        <v>20403481</v>
      </c>
    </row>
    <row r="983" spans="1:9" x14ac:dyDescent="0.25">
      <c r="A983" s="826" t="str">
        <f>IF(B983&gt;0,VLOOKUP(B983,КВСР!A328:B1493,2),IF(C983&gt;0,VLOOKUP(C983,КФСР!A328:B1840,2),IF(D983&gt;0,VLOOKUP(D983,Программа!A$1:B$5124,2),IF(F983&gt;0,VLOOKUP(F983,КВР!A$1:B$5001,2),IF(E983&gt;0,VLOOKUP(E983,Направление!A$1:B$4816,2))))))</f>
        <v>Непрограммные расходы бюджета</v>
      </c>
      <c r="B983" s="760"/>
      <c r="C983" s="820"/>
      <c r="D983" s="760" t="s">
        <v>311</v>
      </c>
      <c r="E983" s="760"/>
      <c r="F983" s="763"/>
      <c r="G983" s="812">
        <v>19672585</v>
      </c>
      <c r="H983" s="812">
        <f>H984+H989</f>
        <v>730896</v>
      </c>
      <c r="I983" s="805">
        <f>I984+I989</f>
        <v>20403481</v>
      </c>
    </row>
    <row r="984" spans="1:9" x14ac:dyDescent="0.25">
      <c r="A984" s="826" t="str">
        <f>IF(B984&gt;0,VLOOKUP(B984,КВСР!A329:B1494,2),IF(C984&gt;0,VLOOKUP(C984,КФСР!A329:B1841,2),IF(D984&gt;0,VLOOKUP(D984,Программа!A$1:B$5124,2),IF(F984&gt;0,VLOOKUP(F984,КВР!A$1:B$5001,2),IF(E984&gt;0,VLOOKUP(E984,Направление!A$1:B$4816,2))))))</f>
        <v>Содержание центрального аппарата</v>
      </c>
      <c r="B984" s="760"/>
      <c r="C984" s="820"/>
      <c r="D984" s="760"/>
      <c r="E984" s="760">
        <v>12010</v>
      </c>
      <c r="F984" s="763"/>
      <c r="G984" s="812">
        <v>19354897</v>
      </c>
      <c r="H984" s="812">
        <f>H985+H986+H988+H987</f>
        <v>730896</v>
      </c>
      <c r="I984" s="805">
        <f>I985+I986+I988+I987</f>
        <v>20085793</v>
      </c>
    </row>
    <row r="985" spans="1:9" ht="110.25" x14ac:dyDescent="0.25">
      <c r="A985" s="826" t="str">
        <f>IF(B985&gt;0,VLOOKUP(B985,КВСР!A330:B1495,2),IF(C985&gt;0,VLOOKUP(C985,КФСР!A330:B1842,2),IF(D985&gt;0,VLOOKUP(D985,Программа!A$1:B$5124,2),IF(F985&gt;0,VLOOKUP(F985,КВР!A$1:B$5001,2),IF(E985&gt;0,VLOOKUP(E985,Направление!A$1:B$4816,2))))))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5" s="760"/>
      <c r="C985" s="820"/>
      <c r="D985" s="760"/>
      <c r="E985" s="760"/>
      <c r="F985" s="763">
        <v>100</v>
      </c>
      <c r="G985" s="812">
        <v>17226213</v>
      </c>
      <c r="H985" s="812">
        <f>-114000-33330+510000+161000-3003+42000+150000</f>
        <v>712667</v>
      </c>
      <c r="I985" s="805">
        <f t="shared" si="199"/>
        <v>17938880</v>
      </c>
    </row>
    <row r="986" spans="1:9" ht="63" x14ac:dyDescent="0.25">
      <c r="A986" s="826" t="str">
        <f>IF(B986&gt;0,VLOOKUP(B986,КВСР!A331:B1496,2),IF(C986&gt;0,VLOOKUP(C986,КФСР!A331:B1843,2),IF(D986&gt;0,VLOOKUP(D986,Программа!A$1:B$5124,2),IF(F986&gt;0,VLOOKUP(F986,КВР!A$1:B$5001,2),IF(E986&gt;0,VLOOKUP(E986,Направление!A$1:B$4816,2))))))</f>
        <v xml:space="preserve">Закупка товаров, работ и услуг для обеспечения государственных (муниципальных) нужд
</v>
      </c>
      <c r="B986" s="760"/>
      <c r="C986" s="820"/>
      <c r="D986" s="760"/>
      <c r="E986" s="760"/>
      <c r="F986" s="763">
        <v>200</v>
      </c>
      <c r="G986" s="812">
        <v>2095184</v>
      </c>
      <c r="H986" s="812">
        <f>147330-120120-2594</f>
        <v>24616</v>
      </c>
      <c r="I986" s="805">
        <f t="shared" si="199"/>
        <v>2119800</v>
      </c>
    </row>
    <row r="987" spans="1:9" ht="31.5" x14ac:dyDescent="0.25">
      <c r="A987" s="826" t="str">
        <f>IF(B987&gt;0,VLOOKUP(B987,КВСР!A332:B1497,2),IF(C987&gt;0,VLOOKUP(C987,КФСР!A332:B1844,2),IF(D987&gt;0,VLOOKUP(D987,Программа!A$1:B$5124,2),IF(F987&gt;0,VLOOKUP(F987,КВР!A$1:B$5001,2),IF(E987&gt;0,VLOOKUP(E987,Направление!A$1:B$4816,2))))))</f>
        <v>Социальное обеспечение и иные выплаты населению</v>
      </c>
      <c r="B987" s="760"/>
      <c r="C987" s="820"/>
      <c r="D987" s="760"/>
      <c r="E987" s="760"/>
      <c r="F987" s="763">
        <v>300</v>
      </c>
      <c r="G987" s="812">
        <v>0</v>
      </c>
      <c r="H987" s="812"/>
      <c r="I987" s="805">
        <f t="shared" si="199"/>
        <v>0</v>
      </c>
    </row>
    <row r="988" spans="1:9" x14ac:dyDescent="0.25">
      <c r="A988" s="826" t="str">
        <f>IF(B988&gt;0,VLOOKUP(B988,КВСР!A332:B1497,2),IF(C988&gt;0,VLOOKUP(C988,КФСР!A332:B1844,2),IF(D988&gt;0,VLOOKUP(D988,Программа!A$1:B$5124,2),IF(F988&gt;0,VLOOKUP(F988,КВР!A$1:B$5001,2),IF(E988&gt;0,VLOOKUP(E988,Направление!A$1:B$4816,2))))))</f>
        <v>Иные бюджетные ассигнования</v>
      </c>
      <c r="B988" s="760"/>
      <c r="C988" s="820"/>
      <c r="D988" s="760"/>
      <c r="E988" s="760"/>
      <c r="F988" s="763">
        <v>800</v>
      </c>
      <c r="G988" s="812">
        <v>33500</v>
      </c>
      <c r="H988" s="812">
        <f>-2887-3500</f>
        <v>-6387</v>
      </c>
      <c r="I988" s="805">
        <f t="shared" si="199"/>
        <v>27113</v>
      </c>
    </row>
    <row r="989" spans="1:9" ht="64.150000000000006" customHeight="1" x14ac:dyDescent="0.25">
      <c r="A989" s="826" t="str">
        <f>IF(B989&gt;0,VLOOKUP(B989,КВСР!A333:B1498,2),IF(C989&gt;0,VLOOKUP(C989,КФСР!A333:B1845,2),IF(D989&gt;0,VLOOKUP(D989,Программа!A$1:B$5124,2),IF(F989&gt;0,VLOOKUP(F989,КВР!A$1:B$5001,2),IF(E989&gt;0,VLOOKUP(E989,Направление!A$1:B$4816,2))))))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89" s="760"/>
      <c r="C989" s="820"/>
      <c r="D989" s="760"/>
      <c r="E989" s="760">
        <v>55490</v>
      </c>
      <c r="F989" s="763"/>
      <c r="G989" s="812">
        <v>317688</v>
      </c>
      <c r="H989" s="812">
        <f t="shared" ref="H989:I989" si="219">H990</f>
        <v>0</v>
      </c>
      <c r="I989" s="805">
        <f t="shared" si="219"/>
        <v>317688</v>
      </c>
    </row>
    <row r="990" spans="1:9" ht="74.25" customHeight="1" x14ac:dyDescent="0.25">
      <c r="A990" s="826" t="str">
        <f>IF(B990&gt;0,VLOOKUP(B990,КВСР!A334:B1499,2),IF(C990&gt;0,VLOOKUP(C990,КФСР!A334:B1846,2),IF(D990&gt;0,VLOOKUP(D990,Программа!A$1:B$5124,2),IF(F990&gt;0,VLOOKUP(F990,КВР!A$1:B$5001,2),IF(E990&gt;0,VLOOKUP(E990,Направление!A$1:B$4816,2))))))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0" s="760"/>
      <c r="C990" s="820"/>
      <c r="D990" s="760"/>
      <c r="E990" s="760"/>
      <c r="F990" s="763">
        <v>100</v>
      </c>
      <c r="G990" s="812">
        <v>317688</v>
      </c>
      <c r="H990" s="812"/>
      <c r="I990" s="805">
        <f>SUM(G990:H990)</f>
        <v>317688</v>
      </c>
    </row>
    <row r="991" spans="1:9" x14ac:dyDescent="0.25">
      <c r="A991" s="826" t="str">
        <f>IF(B991&gt;0,VLOOKUP(B991,КВСР!A328:B1493,2),IF(C991&gt;0,VLOOKUP(C991,КФСР!A328:B1840,2),IF(D991&gt;0,VLOOKUP(D991,Программа!A$1:B$5124,2),IF(F991&gt;0,VLOOKUP(F991,КВР!A$1:B$5001,2),IF(E991&gt;0,VLOOKUP(E991,Направление!A$1:B$4816,2))))))</f>
        <v>Другие общегосударственные вопросы</v>
      </c>
      <c r="B991" s="760"/>
      <c r="C991" s="827">
        <v>113</v>
      </c>
      <c r="D991" s="760"/>
      <c r="E991" s="760"/>
      <c r="F991" s="763"/>
      <c r="G991" s="812">
        <v>13064205</v>
      </c>
      <c r="H991" s="812">
        <f t="shared" ref="H991" si="220">H999+H992+H1006</f>
        <v>626984</v>
      </c>
      <c r="I991" s="805">
        <f t="shared" ref="I991" si="221">I999+I992+I1006</f>
        <v>13691189</v>
      </c>
    </row>
    <row r="992" spans="1:9" ht="94.5" x14ac:dyDescent="0.25">
      <c r="A992" s="826" t="str">
        <f>IF(B992&gt;0,VLOOKUP(B992,КВСР!A334:B1499,2),IF(C992&gt;0,VLOOKUP(C992,КФСР!A334:B1846,2),IF(D992&gt;0,VLOOKUP(D992,Программа!A$1:B$5124,2),IF(F992&gt;0,VLOOKUP(F992,КВР!A$1:B$5001,2),IF(E992&gt;0,VLOOKUP(E992,Направление!A$1:B$4816,2))))))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92" s="760"/>
      <c r="C992" s="820"/>
      <c r="D992" s="760" t="s">
        <v>322</v>
      </c>
      <c r="E992" s="760"/>
      <c r="F992" s="763"/>
      <c r="G992" s="812">
        <v>645500</v>
      </c>
      <c r="H992" s="812">
        <f>H993+H996</f>
        <v>-156691</v>
      </c>
      <c r="I992" s="805">
        <f>I993+I996</f>
        <v>488809</v>
      </c>
    </row>
    <row r="993" spans="1:9" ht="78.75" x14ac:dyDescent="0.25">
      <c r="A993" s="826" t="str">
        <f>IF(B993&gt;0,VLOOKUP(B993,КВСР!A335:B1500,2),IF(C993&gt;0,VLOOKUP(C993,КФСР!A335:B1847,2),IF(D993&gt;0,VLOOKUP(D993,Программа!A$1:B$5124,2),IF(F993&gt;0,VLOOKUP(F993,КВР!A$1:B$5001,2),IF(E993&gt;0,VLOOKUP(E993,Направление!A$1:B$4816,2))))))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93" s="760"/>
      <c r="C993" s="820"/>
      <c r="D993" s="760" t="s">
        <v>323</v>
      </c>
      <c r="E993" s="760"/>
      <c r="F993" s="763"/>
      <c r="G993" s="812">
        <v>0</v>
      </c>
      <c r="H993" s="812">
        <f t="shared" ref="H993:I994" si="222">H994</f>
        <v>0</v>
      </c>
      <c r="I993" s="805">
        <f t="shared" si="222"/>
        <v>0</v>
      </c>
    </row>
    <row r="994" spans="1:9" ht="31.5" x14ac:dyDescent="0.25">
      <c r="A994" s="826" t="str">
        <f>IF(B994&gt;0,VLOOKUP(B994,КВСР!A336:B1501,2),IF(C994&gt;0,VLOOKUP(C994,КФСР!A336:B1848,2),IF(D994&gt;0,VLOOKUP(D994,Программа!A$1:B$5124,2),IF(F994&gt;0,VLOOKUP(F994,КВР!A$1:B$5001,2),IF(E994&gt;0,VLOOKUP(E994,Направление!A$1:B$4816,2))))))</f>
        <v>Расходы на развитие муниципальной службы</v>
      </c>
      <c r="B994" s="760"/>
      <c r="C994" s="820"/>
      <c r="D994" s="760"/>
      <c r="E994" s="760">
        <v>12200</v>
      </c>
      <c r="F994" s="763"/>
      <c r="G994" s="812">
        <v>0</v>
      </c>
      <c r="H994" s="812">
        <f t="shared" si="222"/>
        <v>0</v>
      </c>
      <c r="I994" s="805">
        <f t="shared" si="222"/>
        <v>0</v>
      </c>
    </row>
    <row r="995" spans="1:9" ht="63" x14ac:dyDescent="0.25">
      <c r="A995" s="826" t="str">
        <f>IF(B995&gt;0,VLOOKUP(B995,КВСР!A337:B1502,2),IF(C995&gt;0,VLOOKUP(C995,КФСР!A337:B1849,2),IF(D995&gt;0,VLOOKUP(D995,Программа!A$1:B$5124,2),IF(F995&gt;0,VLOOKUP(F995,КВР!A$1:B$5001,2),IF(E995&gt;0,VLOOKUP(E995,Направление!A$1:B$4816,2))))))</f>
        <v xml:space="preserve">Закупка товаров, работ и услуг для обеспечения государственных (муниципальных) нужд
</v>
      </c>
      <c r="B995" s="760"/>
      <c r="C995" s="820"/>
      <c r="D995" s="760"/>
      <c r="E995" s="760"/>
      <c r="F995" s="763">
        <v>200</v>
      </c>
      <c r="G995" s="812">
        <v>0</v>
      </c>
      <c r="H995" s="812"/>
      <c r="I995" s="805">
        <f t="shared" ref="I995:I1098" si="223">SUM(G995:H995)</f>
        <v>0</v>
      </c>
    </row>
    <row r="996" spans="1:9" ht="94.5" x14ac:dyDescent="0.25">
      <c r="A996" s="826" t="str">
        <f>IF(B996&gt;0,VLOOKUP(B996,КВСР!A338:B1503,2),IF(C996&gt;0,VLOOKUP(C996,КФСР!A338:B1850,2),IF(D996&gt;0,VLOOKUP(D996,Программа!A$1:B$5124,2),IF(F996&gt;0,VLOOKUP(F996,КВР!A$1:B$5001,2),IF(E996&gt;0,VLOOKUP(E996,Направление!A$1:B$4816,2))))))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96" s="760"/>
      <c r="C996" s="820"/>
      <c r="D996" s="760" t="s">
        <v>1516</v>
      </c>
      <c r="E996" s="760"/>
      <c r="F996" s="763"/>
      <c r="G996" s="812">
        <v>645500</v>
      </c>
      <c r="H996" s="812">
        <f t="shared" ref="H996:I997" si="224">H997</f>
        <v>-156691</v>
      </c>
      <c r="I996" s="805">
        <f t="shared" si="224"/>
        <v>488809</v>
      </c>
    </row>
    <row r="997" spans="1:9" ht="31.5" x14ac:dyDescent="0.25">
      <c r="A997" s="826" t="str">
        <f>IF(B997&gt;0,VLOOKUP(B997,КВСР!A339:B1504,2),IF(C997&gt;0,VLOOKUP(C997,КФСР!A339:B1851,2),IF(D997&gt;0,VLOOKUP(D997,Программа!A$1:B$5124,2),IF(F997&gt;0,VLOOKUP(F997,КВР!A$1:B$5001,2),IF(E997&gt;0,VLOOKUP(E997,Направление!A$1:B$4816,2))))))</f>
        <v>Внедрение проектной деятельности и бережливых технологий</v>
      </c>
      <c r="B997" s="760"/>
      <c r="C997" s="820"/>
      <c r="D997" s="760"/>
      <c r="E997" s="760">
        <v>12300</v>
      </c>
      <c r="F997" s="763"/>
      <c r="G997" s="812">
        <v>645500</v>
      </c>
      <c r="H997" s="812">
        <f t="shared" si="224"/>
        <v>-156691</v>
      </c>
      <c r="I997" s="805">
        <f t="shared" si="224"/>
        <v>488809</v>
      </c>
    </row>
    <row r="998" spans="1:9" ht="110.25" x14ac:dyDescent="0.25">
      <c r="A998" s="826" t="str">
        <f>IF(B998&gt;0,VLOOKUP(B998,КВСР!A340:B1505,2),IF(C998&gt;0,VLOOKUP(C998,КФСР!A340:B1852,2),IF(D998&gt;0,VLOOKUP(D998,Программа!A$1:B$5124,2),IF(F998&gt;0,VLOOKUP(F998,КВР!A$1:B$5001,2),IF(E998&gt;0,VLOOKUP(E998,Направление!A$1:B$4816,2))))))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8" s="760"/>
      <c r="C998" s="820"/>
      <c r="D998" s="760"/>
      <c r="E998" s="760"/>
      <c r="F998" s="763">
        <v>100</v>
      </c>
      <c r="G998" s="812">
        <v>645500</v>
      </c>
      <c r="H998" s="812">
        <f>-55000-16610-65500-19581</f>
        <v>-156691</v>
      </c>
      <c r="I998" s="805">
        <f>G998+H998</f>
        <v>488809</v>
      </c>
    </row>
    <row r="999" spans="1:9" ht="63" x14ac:dyDescent="0.25">
      <c r="A999" s="826" t="str">
        <f>IF(B999&gt;0,VLOOKUP(B999,КВСР!A329:B1494,2),IF(C999&gt;0,VLOOKUP(C999,КФСР!A329:B1841,2),IF(D999&gt;0,VLOOKUP(D999,Программа!A$1:B$5124,2),IF(F999&gt;0,VLOOKUP(F999,КВР!A$1:B$5001,2),IF(E999&gt;0,VLOOKUP(E999,Направление!A$1:B$4816,2))))))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999" s="760"/>
      <c r="C999" s="820"/>
      <c r="D999" s="760" t="s">
        <v>326</v>
      </c>
      <c r="E999" s="760"/>
      <c r="F999" s="763"/>
      <c r="G999" s="812">
        <v>1866000</v>
      </c>
      <c r="H999" s="812">
        <f>H1000+H1003</f>
        <v>-37174</v>
      </c>
      <c r="I999" s="805">
        <f>I1000+I1003</f>
        <v>1828826</v>
      </c>
    </row>
    <row r="1000" spans="1:9" ht="31.5" x14ac:dyDescent="0.25">
      <c r="A1000" s="826" t="str">
        <f>IF(B1000&gt;0,VLOOKUP(B1000,КВСР!A330:B1495,2),IF(C1000&gt;0,VLOOKUP(C1000,КФСР!A330:B1842,2),IF(D1000&gt;0,VLOOKUP(D1000,Программа!A$1:B$5124,2),IF(F1000&gt;0,VLOOKUP(F1000,КВР!A$1:B$5001,2),IF(E1000&gt;0,VLOOKUP(E1000,Направление!A$1:B$4816,2))))))</f>
        <v>Бесперебойное функционирование информационных систем</v>
      </c>
      <c r="B1000" s="760"/>
      <c r="C1000" s="820"/>
      <c r="D1000" s="760" t="s">
        <v>360</v>
      </c>
      <c r="E1000" s="760"/>
      <c r="F1000" s="763"/>
      <c r="G1000" s="812">
        <v>1866000</v>
      </c>
      <c r="H1000" s="812">
        <f>H1001</f>
        <v>-106174</v>
      </c>
      <c r="I1000" s="805">
        <f>I1001</f>
        <v>1759826</v>
      </c>
    </row>
    <row r="1001" spans="1:9" ht="31.5" x14ac:dyDescent="0.25">
      <c r="A1001" s="826" t="str">
        <f>IF(B1001&gt;0,VLOOKUP(B1001,КВСР!A331:B1496,2),IF(C1001&gt;0,VLOOKUP(C1001,КФСР!A331:B1843,2),IF(D1001&gt;0,VLOOKUP(D1001,Программа!A$1:B$5124,2),IF(F1001&gt;0,VLOOKUP(F1001,КВР!A$1:B$5001,2),IF(E1001&gt;0,VLOOKUP(E1001,Направление!A$1:B$4816,2))))))</f>
        <v>Расходы на проведение мероприятий по информатизации</v>
      </c>
      <c r="B1001" s="760"/>
      <c r="C1001" s="820"/>
      <c r="D1001" s="760"/>
      <c r="E1001" s="760">
        <v>12210</v>
      </c>
      <c r="F1001" s="763"/>
      <c r="G1001" s="812">
        <v>1866000</v>
      </c>
      <c r="H1001" s="812">
        <f>H1002</f>
        <v>-106174</v>
      </c>
      <c r="I1001" s="805">
        <f>I1002</f>
        <v>1759826</v>
      </c>
    </row>
    <row r="1002" spans="1:9" ht="63" x14ac:dyDescent="0.25">
      <c r="A1002" s="826" t="str">
        <f>IF(B1002&gt;0,VLOOKUP(B1002,КВСР!A332:B1497,2),IF(C1002&gt;0,VLOOKUP(C1002,КФСР!A332:B1844,2),IF(D1002&gt;0,VLOOKUP(D1002,Программа!A$1:B$5124,2),IF(F1002&gt;0,VLOOKUP(F1002,КВР!A$1:B$5001,2),IF(E1002&gt;0,VLOOKUP(E1002,Направление!A$1:B$4816,2))))))</f>
        <v xml:space="preserve">Закупка товаров, работ и услуг для обеспечения государственных (муниципальных) нужд
</v>
      </c>
      <c r="B1002" s="760"/>
      <c r="C1002" s="820"/>
      <c r="D1002" s="760"/>
      <c r="E1002" s="760"/>
      <c r="F1002" s="763">
        <v>200</v>
      </c>
      <c r="G1002" s="812">
        <v>1866000</v>
      </c>
      <c r="H1002" s="812">
        <f>-69000-37174</f>
        <v>-106174</v>
      </c>
      <c r="I1002" s="805">
        <f t="shared" si="223"/>
        <v>1759826</v>
      </c>
    </row>
    <row r="1003" spans="1:9" ht="63" x14ac:dyDescent="0.25">
      <c r="A1003" s="826" t="str">
        <f>IF(B1003&gt;0,VLOOKUP(B1003,КВСР!A333:B1498,2),IF(C1003&gt;0,VLOOKUP(C1003,КФСР!A333:B1845,2),IF(D1003&gt;0,VLOOKUP(D1003,Программа!A$1:B$5124,2),IF(F1003&gt;0,VLOOKUP(F1003,КВР!A$1:B$5001,2),IF(E1003&gt;0,VLOOKUP(E1003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003" s="760"/>
      <c r="C1003" s="820"/>
      <c r="D1003" s="760" t="s">
        <v>328</v>
      </c>
      <c r="E1003" s="760"/>
      <c r="F1003" s="763"/>
      <c r="G1003" s="812">
        <v>0</v>
      </c>
      <c r="H1003" s="812">
        <f>H1004</f>
        <v>69000</v>
      </c>
      <c r="I1003" s="805">
        <f>I1004</f>
        <v>69000</v>
      </c>
    </row>
    <row r="1004" spans="1:9" ht="31.5" x14ac:dyDescent="0.25">
      <c r="A1004" s="826" t="str">
        <f>IF(B1004&gt;0,VLOOKUP(B1004,КВСР!A334:B1499,2),IF(C1004&gt;0,VLOOKUP(C1004,КФСР!A334:B1846,2),IF(D1004&gt;0,VLOOKUP(D1004,Программа!A$1:B$5124,2),IF(F1004&gt;0,VLOOKUP(F1004,КВР!A$1:B$5001,2),IF(E1004&gt;0,VLOOKUP(E1004,Направление!A$1:B$4816,2))))))</f>
        <v>Расходы на проведение мероприятий по информатизации</v>
      </c>
      <c r="B1004" s="760"/>
      <c r="C1004" s="820"/>
      <c r="D1004" s="760"/>
      <c r="E1004" s="760">
        <v>12210</v>
      </c>
      <c r="F1004" s="763"/>
      <c r="G1004" s="812">
        <v>0</v>
      </c>
      <c r="H1004" s="812">
        <f>H1005</f>
        <v>69000</v>
      </c>
      <c r="I1004" s="805">
        <f>I1005</f>
        <v>69000</v>
      </c>
    </row>
    <row r="1005" spans="1:9" ht="63" x14ac:dyDescent="0.25">
      <c r="A1005" s="826" t="str">
        <f>IF(B1005&gt;0,VLOOKUP(B1005,КВСР!A335:B1500,2),IF(C1005&gt;0,VLOOKUP(C1005,КФСР!A335:B1847,2),IF(D1005&gt;0,VLOOKUP(D1005,Программа!A$1:B$5124,2),IF(F1005&gt;0,VLOOKUP(F1005,КВР!A$1:B$5001,2),IF(E1005&gt;0,VLOOKUP(E1005,Направление!A$1:B$4816,2))))))</f>
        <v xml:space="preserve">Закупка товаров, работ и услуг для обеспечения государственных (муниципальных) нужд
</v>
      </c>
      <c r="B1005" s="760"/>
      <c r="C1005" s="820"/>
      <c r="D1005" s="760"/>
      <c r="E1005" s="760"/>
      <c r="F1005" s="763">
        <v>200</v>
      </c>
      <c r="G1005" s="812">
        <v>0</v>
      </c>
      <c r="H1005" s="812">
        <v>69000</v>
      </c>
      <c r="I1005" s="805">
        <f t="shared" si="223"/>
        <v>69000</v>
      </c>
    </row>
    <row r="1006" spans="1:9" x14ac:dyDescent="0.25">
      <c r="A1006" s="826" t="str">
        <f>IF(B1006&gt;0,VLOOKUP(B1006,КВСР!A336:B1501,2),IF(C1006&gt;0,VLOOKUP(C1006,КФСР!A336:B1848,2),IF(D1006&gt;0,VLOOKUP(D1006,Программа!A$1:B$5124,2),IF(F1006&gt;0,VLOOKUP(F1006,КВР!A$1:B$5001,2),IF(E1006&gt;0,VLOOKUP(E1006,Направление!A$1:B$4816,2))))))</f>
        <v>Непрограммные расходы бюджета</v>
      </c>
      <c r="B1006" s="760"/>
      <c r="C1006" s="820"/>
      <c r="D1006" s="760" t="s">
        <v>311</v>
      </c>
      <c r="E1006" s="760"/>
      <c r="F1006" s="763"/>
      <c r="G1006" s="813">
        <v>10552705</v>
      </c>
      <c r="H1006" s="812">
        <f>H1007+H1009+H1012+H1014</f>
        <v>820849</v>
      </c>
      <c r="I1006" s="805">
        <f>I1007+I1009+I1012+I1014</f>
        <v>11373554</v>
      </c>
    </row>
    <row r="1007" spans="1:9" ht="31.5" x14ac:dyDescent="0.25">
      <c r="A1007" s="826" t="str">
        <f>IF(B1007&gt;0,VLOOKUP(B1007,КВСР!A337:B1502,2),IF(C1007&gt;0,VLOOKUP(C1007,КФСР!A337:B1849,2),IF(D1007&gt;0,VLOOKUP(D1007,Программа!A$1:B$5124,2),IF(F1007&gt;0,VLOOKUP(F1007,КВР!A$1:B$5001,2),IF(E1007&gt;0,VLOOKUP(E1007,Направление!A$1:B$4816,2))))))</f>
        <v>Выполнение других обязательств органов местного самоуправления</v>
      </c>
      <c r="B1007" s="760"/>
      <c r="C1007" s="820"/>
      <c r="D1007" s="760"/>
      <c r="E1007" s="760">
        <v>12080</v>
      </c>
      <c r="F1007" s="763"/>
      <c r="G1007" s="812">
        <v>0</v>
      </c>
      <c r="H1007" s="812">
        <f t="shared" ref="H1007:I1007" si="225">H1008</f>
        <v>0</v>
      </c>
      <c r="I1007" s="805">
        <f t="shared" si="225"/>
        <v>0</v>
      </c>
    </row>
    <row r="1008" spans="1:9" ht="63" x14ac:dyDescent="0.25">
      <c r="A1008" s="826" t="str">
        <f>IF(B1008&gt;0,VLOOKUP(B1008,КВСР!A338:B1503,2),IF(C1008&gt;0,VLOOKUP(C1008,КФСР!A338:B1850,2),IF(D1008&gt;0,VLOOKUP(D1008,Программа!A$1:B$5124,2),IF(F1008&gt;0,VLOOKUP(F1008,КВР!A$1:B$5001,2),IF(E1008&gt;0,VLOOKUP(E1008,Направление!A$1:B$4816,2))))))</f>
        <v xml:space="preserve">Закупка товаров, работ и услуг для обеспечения государственных (муниципальных) нужд
</v>
      </c>
      <c r="B1008" s="760"/>
      <c r="C1008" s="820"/>
      <c r="D1008" s="760"/>
      <c r="E1008" s="760"/>
      <c r="F1008" s="763">
        <v>200</v>
      </c>
      <c r="G1008" s="812">
        <v>0</v>
      </c>
      <c r="H1008" s="812"/>
      <c r="I1008" s="805">
        <f t="shared" si="223"/>
        <v>0</v>
      </c>
    </row>
    <row r="1009" spans="1:9" ht="47.25" x14ac:dyDescent="0.25">
      <c r="A1009" s="826" t="str">
        <f>IF(B1009&gt;0,VLOOKUP(B1009,КВСР!A339:B1504,2),IF(C1009&gt;0,VLOOKUP(C1009,КФСР!A339:B1851,2),IF(D1009&gt;0,VLOOKUP(D1009,Программа!A$1:B$5124,2),IF(F1009&gt;0,VLOOKUP(F1009,КВР!A$1:B$5001,2),IF(E1009&gt;0,VLOOKUP(E1009,Направление!A$1:B$4816,2))))))</f>
        <v>Обеспечение деятельности подведомственных учреждений органов местного самоуправления</v>
      </c>
      <c r="B1009" s="760"/>
      <c r="C1009" s="820"/>
      <c r="D1009" s="760"/>
      <c r="E1009" s="760">
        <v>12100</v>
      </c>
      <c r="F1009" s="763"/>
      <c r="G1009" s="812">
        <v>10090000</v>
      </c>
      <c r="H1009" s="812">
        <f t="shared" ref="H1009:I1009" si="226">H1010+H1011</f>
        <v>925045</v>
      </c>
      <c r="I1009" s="806">
        <f t="shared" si="226"/>
        <v>11015045</v>
      </c>
    </row>
    <row r="1010" spans="1:9" ht="110.25" x14ac:dyDescent="0.25">
      <c r="A1010" s="826" t="str">
        <f>IF(B1010&gt;0,VLOOKUP(B1010,КВСР!A340:B1505,2),IF(C1010&gt;0,VLOOKUP(C1010,КФСР!A340:B1852,2),IF(D1010&gt;0,VLOOKUP(D1010,Программа!A$1:B$5124,2),IF(F1010&gt;0,VLOOKUP(F1010,КВР!A$1:B$5001,2),IF(E1010&gt;0,VLOOKUP(E1010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0" s="760"/>
      <c r="C1010" s="820"/>
      <c r="D1010" s="760"/>
      <c r="E1010" s="760"/>
      <c r="F1010" s="763">
        <v>100</v>
      </c>
      <c r="G1010" s="812">
        <v>8690188</v>
      </c>
      <c r="H1010" s="812">
        <f>-9003-500+650360+122293+167895+50000</f>
        <v>981045</v>
      </c>
      <c r="I1010" s="805">
        <f>G1010+H1010</f>
        <v>9671233</v>
      </c>
    </row>
    <row r="1011" spans="1:9" ht="63" x14ac:dyDescent="0.25">
      <c r="A1011" s="826" t="str">
        <f>IF(B1011&gt;0,VLOOKUP(B1011,КВСР!A340:B1505,2),IF(C1011&gt;0,VLOOKUP(C1011,КФСР!A340:B1852,2),IF(D1011&gt;0,VLOOKUP(D1011,Программа!A$1:B$5124,2),IF(F1011&gt;0,VLOOKUP(F1011,КВР!A$1:B$5001,2),IF(E1011&gt;0,VLOOKUP(E1011,Направление!A$1:B$4816,2))))))</f>
        <v xml:space="preserve">Закупка товаров, работ и услуг для обеспечения государственных (муниципальных) нужд
</v>
      </c>
      <c r="B1011" s="760"/>
      <c r="C1011" s="820"/>
      <c r="D1011" s="760"/>
      <c r="E1011" s="760"/>
      <c r="F1011" s="763">
        <v>200</v>
      </c>
      <c r="G1011" s="812">
        <v>1399812</v>
      </c>
      <c r="H1011" s="812">
        <v>-56000</v>
      </c>
      <c r="I1011" s="805">
        <f>G1011+H1011</f>
        <v>1343812</v>
      </c>
    </row>
    <row r="1012" spans="1:9" ht="78.75" x14ac:dyDescent="0.25">
      <c r="A1012" s="826" t="str">
        <f>IF(B1012&gt;0,VLOOKUP(B1012,КВСР!A341:B1506,2),IF(C1012&gt;0,VLOOKUP(C1012,КФСР!A341:B1853,2),IF(D1012&gt;0,VLOOKUP(D1012,Программа!A$1:B$5124,2),IF(F1012&gt;0,VLOOKUP(F1012,КВР!A$1:B$5001,2),IF(E1012&gt;0,VLOOKUP(E1012,Направление!A$1:B$4816,2)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2" s="760"/>
      <c r="C1012" s="820"/>
      <c r="D1012" s="760"/>
      <c r="E1012" s="760">
        <v>29396</v>
      </c>
      <c r="F1012" s="763"/>
      <c r="G1012" s="812">
        <v>173661</v>
      </c>
      <c r="H1012" s="812">
        <f>H1013</f>
        <v>-104196</v>
      </c>
      <c r="I1012" s="805">
        <f t="shared" ref="I1012:I1013" si="227">G1012+H1012</f>
        <v>69465</v>
      </c>
    </row>
    <row r="1013" spans="1:9" ht="63" x14ac:dyDescent="0.25">
      <c r="A1013" s="826" t="str">
        <f>IF(B1013&gt;0,VLOOKUP(B1013,КВСР!A342:B1507,2),IF(C1013&gt;0,VLOOKUP(C1013,КФСР!A342:B1854,2),IF(D1013&gt;0,VLOOKUP(D1013,Программа!A$1:B$5124,2),IF(F1013&gt;0,VLOOKUP(F1013,КВР!A$1:B$5001,2),IF(E1013&gt;0,VLOOKUP(E1013,Направление!A$1:B$4816,2))))))</f>
        <v xml:space="preserve">Закупка товаров, работ и услуг для обеспечения государственных (муниципальных) нужд
</v>
      </c>
      <c r="B1013" s="760"/>
      <c r="C1013" s="820"/>
      <c r="D1013" s="760"/>
      <c r="E1013" s="760"/>
      <c r="F1013" s="763">
        <v>200</v>
      </c>
      <c r="G1013" s="812">
        <v>173661</v>
      </c>
      <c r="H1013" s="812">
        <v>-104196</v>
      </c>
      <c r="I1013" s="805">
        <f t="shared" si="227"/>
        <v>69465</v>
      </c>
    </row>
    <row r="1014" spans="1:9" ht="63" x14ac:dyDescent="0.25">
      <c r="A1014" s="826" t="str">
        <f>IF(B1014&gt;0,VLOOKUP(B1014,КВСР!A343:B1508,2),IF(C1014&gt;0,VLOOKUP(C1014,КФСР!A343:B1855,2),IF(D1014&gt;0,VLOOKUP(D1014,Программа!A$1:B$5124,2),IF(F1014&gt;0,VLOOKUP(F1014,КВР!A$1:B$5001,2),IF(E1014&gt;0,VLOOKUP(E1014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14" s="760"/>
      <c r="C1014" s="820"/>
      <c r="D1014" s="760"/>
      <c r="E1014" s="760">
        <v>55490</v>
      </c>
      <c r="F1014" s="763"/>
      <c r="G1014" s="812">
        <v>289044</v>
      </c>
      <c r="H1014" s="812">
        <f t="shared" ref="H1014:I1014" si="228">H1015</f>
        <v>0</v>
      </c>
      <c r="I1014" s="805">
        <f t="shared" si="228"/>
        <v>289044</v>
      </c>
    </row>
    <row r="1015" spans="1:9" ht="110.25" x14ac:dyDescent="0.25">
      <c r="A1015" s="826" t="str">
        <f>IF(B1015&gt;0,VLOOKUP(B1015,КВСР!A344:B1509,2),IF(C1015&gt;0,VLOOKUP(C1015,КФСР!A344:B1856,2),IF(D1015&gt;0,VLOOKUP(D1015,Программа!A$1:B$5124,2),IF(F1015&gt;0,VLOOKUP(F1015,КВР!A$1:B$5001,2),IF(E1015&gt;0,VLOOKUP(E1015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5" s="760"/>
      <c r="C1015" s="820"/>
      <c r="D1015" s="760"/>
      <c r="E1015" s="760"/>
      <c r="F1015" s="763">
        <v>100</v>
      </c>
      <c r="G1015" s="812">
        <v>289044</v>
      </c>
      <c r="H1015" s="812"/>
      <c r="I1015" s="805">
        <f>SUM(G1015:H1015)</f>
        <v>289044</v>
      </c>
    </row>
    <row r="1016" spans="1:9" ht="47.25" x14ac:dyDescent="0.25">
      <c r="A1016" s="826" t="str">
        <f>IF(B1016&gt;0,VLOOKUP(B1016,КВСР!A338:B1503,2),IF(C1016&gt;0,VLOOKUP(C1016,КФСР!A338:B1850,2),IF(D1016&gt;0,VLOOKUP(D1016,Программа!A$1:B$5124,2),IF(F1016&gt;0,VLOOKUP(F1016,КВР!A$1:B$5001,2),IF(E1016&gt;0,VLOOKUP(E1016,Направление!A$1:B$4816,2))))))</f>
        <v>Профессиональная подготовка, переподготовка и повышение квалификации</v>
      </c>
      <c r="B1016" s="760"/>
      <c r="C1016" s="827">
        <v>705</v>
      </c>
      <c r="D1016" s="760"/>
      <c r="E1016" s="760"/>
      <c r="F1016" s="763"/>
      <c r="G1016" s="812">
        <v>0</v>
      </c>
      <c r="H1016" s="812">
        <f t="shared" ref="H1016:I1016" si="229">H1017+H1021</f>
        <v>0</v>
      </c>
      <c r="I1016" s="805">
        <f t="shared" si="229"/>
        <v>0</v>
      </c>
    </row>
    <row r="1017" spans="1:9" ht="94.5" x14ac:dyDescent="0.25">
      <c r="A1017" s="826" t="str">
        <f>IF(B1017&gt;0,VLOOKUP(B1017,КВСР!A339:B1504,2),IF(C1017&gt;0,VLOOKUP(C1017,КФСР!A339:B1851,2),IF(D1017&gt;0,VLOOKUP(D1017,Программа!A$1:B$5124,2),IF(F1017&gt;0,VLOOKUP(F1017,КВР!A$1:B$5001,2),IF(E1017&gt;0,VLOOKUP(E1017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17" s="760"/>
      <c r="C1017" s="820"/>
      <c r="D1017" s="760" t="s">
        <v>322</v>
      </c>
      <c r="E1017" s="760"/>
      <c r="F1017" s="763"/>
      <c r="G1017" s="812">
        <v>0</v>
      </c>
      <c r="H1017" s="812">
        <f t="shared" ref="H1017:I1019" si="230">H1018</f>
        <v>0</v>
      </c>
      <c r="I1017" s="805">
        <f t="shared" si="230"/>
        <v>0</v>
      </c>
    </row>
    <row r="1018" spans="1:9" ht="78.75" x14ac:dyDescent="0.25">
      <c r="A1018" s="826" t="str">
        <f>IF(B1018&gt;0,VLOOKUP(B1018,КВСР!A340:B1505,2),IF(C1018&gt;0,VLOOKUP(C1018,КФСР!A340:B1852,2),IF(D1018&gt;0,VLOOKUP(D1018,Программа!A$1:B$5124,2),IF(F1018&gt;0,VLOOKUP(F1018,КВР!A$1:B$5001,2),IF(E1018&gt;0,VLOOKUP(E1018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18" s="760"/>
      <c r="C1018" s="820"/>
      <c r="D1018" s="760" t="s">
        <v>323</v>
      </c>
      <c r="E1018" s="760"/>
      <c r="F1018" s="763"/>
      <c r="G1018" s="812">
        <v>0</v>
      </c>
      <c r="H1018" s="812">
        <f t="shared" si="230"/>
        <v>0</v>
      </c>
      <c r="I1018" s="805">
        <f t="shared" si="230"/>
        <v>0</v>
      </c>
    </row>
    <row r="1019" spans="1:9" ht="31.5" x14ac:dyDescent="0.25">
      <c r="A1019" s="826" t="str">
        <f>IF(B1019&gt;0,VLOOKUP(B1019,КВСР!A341:B1506,2),IF(C1019&gt;0,VLOOKUP(C1019,КФСР!A341:B1853,2),IF(D1019&gt;0,VLOOKUP(D1019,Программа!A$1:B$5124,2),IF(F1019&gt;0,VLOOKUP(F1019,КВР!A$1:B$5001,2),IF(E1019&gt;0,VLOOKUP(E1019,Направление!A$1:B$4816,2))))))</f>
        <v>Расходы на развитие муниципальной службы</v>
      </c>
      <c r="B1019" s="760"/>
      <c r="C1019" s="820"/>
      <c r="D1019" s="760"/>
      <c r="E1019" s="760">
        <v>12200</v>
      </c>
      <c r="F1019" s="763"/>
      <c r="G1019" s="812">
        <v>0</v>
      </c>
      <c r="H1019" s="812">
        <f t="shared" si="230"/>
        <v>0</v>
      </c>
      <c r="I1019" s="805">
        <f t="shared" si="230"/>
        <v>0</v>
      </c>
    </row>
    <row r="1020" spans="1:9" ht="63" x14ac:dyDescent="0.25">
      <c r="A1020" s="826" t="str">
        <f>IF(B1020&gt;0,VLOOKUP(B1020,КВСР!A342:B1507,2),IF(C1020&gt;0,VLOOKUP(C1020,КФСР!A342:B1854,2),IF(D1020&gt;0,VLOOKUP(D1020,Программа!A$1:B$5124,2),IF(F1020&gt;0,VLOOKUP(F1020,КВР!A$1:B$5001,2),IF(E1020&gt;0,VLOOKUP(E1020,Направление!A$1:B$4816,2))))))</f>
        <v xml:space="preserve">Закупка товаров, работ и услуг для обеспечения государственных (муниципальных) нужд
</v>
      </c>
      <c r="B1020" s="760"/>
      <c r="C1020" s="820"/>
      <c r="D1020" s="760"/>
      <c r="E1020" s="760"/>
      <c r="F1020" s="763">
        <v>200</v>
      </c>
      <c r="G1020" s="812">
        <v>0</v>
      </c>
      <c r="H1020" s="812"/>
      <c r="I1020" s="805">
        <f>G1020+H1020</f>
        <v>0</v>
      </c>
    </row>
    <row r="1021" spans="1:9" x14ac:dyDescent="0.25">
      <c r="A1021" s="826" t="str">
        <f>IF(B1021&gt;0,VLOOKUP(B1021,КВСР!A343:B1508,2),IF(C1021&gt;0,VLOOKUP(C1021,КФСР!A343:B1855,2),IF(D1021&gt;0,VLOOKUP(D1021,Программа!A$1:B$5124,2),IF(F1021&gt;0,VLOOKUP(F1021,КВР!A$1:B$5001,2),IF(E1021&gt;0,VLOOKUP(E1021,Направление!A$1:B$4816,2))))))</f>
        <v>Непрограммные расходы бюджета</v>
      </c>
      <c r="B1021" s="760"/>
      <c r="C1021" s="820"/>
      <c r="D1021" s="760" t="s">
        <v>311</v>
      </c>
      <c r="E1021" s="760"/>
      <c r="F1021" s="763"/>
      <c r="G1021" s="812">
        <v>0</v>
      </c>
      <c r="H1021" s="812">
        <f t="shared" ref="H1021:I1022" si="231">H1022</f>
        <v>0</v>
      </c>
      <c r="I1021" s="805">
        <f t="shared" si="231"/>
        <v>0</v>
      </c>
    </row>
    <row r="1022" spans="1:9" ht="47.25" x14ac:dyDescent="0.25">
      <c r="A1022" s="826" t="str">
        <f>IF(B1022&gt;0,VLOOKUP(B1022,КВСР!A344:B1509,2),IF(C1022&gt;0,VLOOKUP(C1022,КФСР!A344:B1856,2),IF(D1022&gt;0,VLOOKUP(D1022,Программа!A$1:B$5124,2),IF(F1022&gt;0,VLOOKUP(F1022,КВР!A$1:B$5001,2),IF(E1022&gt;0,VLOOKUP(E1022,Направление!A$1:B$4816,2))))))</f>
        <v>Обеспечение деятельности подведомственных учреждений органов местного самоуправления</v>
      </c>
      <c r="B1022" s="760"/>
      <c r="C1022" s="820"/>
      <c r="D1022" s="760"/>
      <c r="E1022" s="760">
        <v>12100</v>
      </c>
      <c r="F1022" s="763"/>
      <c r="G1022" s="812">
        <v>0</v>
      </c>
      <c r="H1022" s="812">
        <f t="shared" si="231"/>
        <v>0</v>
      </c>
      <c r="I1022" s="805">
        <f t="shared" si="231"/>
        <v>0</v>
      </c>
    </row>
    <row r="1023" spans="1:9" ht="63" x14ac:dyDescent="0.25">
      <c r="A1023" s="826" t="str">
        <f>IF(B1023&gt;0,VLOOKUP(B1023,КВСР!A345:B1510,2),IF(C1023&gt;0,VLOOKUP(C1023,КФСР!A345:B1857,2),IF(D1023&gt;0,VLOOKUP(D1023,Программа!A$1:B$5124,2),IF(F1023&gt;0,VLOOKUP(F1023,КВР!A$1:B$5001,2),IF(E1023&gt;0,VLOOKUP(E1023,Направление!A$1:B$4816,2))))))</f>
        <v xml:space="preserve">Закупка товаров, работ и услуг для обеспечения государственных (муниципальных) нужд
</v>
      </c>
      <c r="B1023" s="760"/>
      <c r="C1023" s="820"/>
      <c r="D1023" s="760"/>
      <c r="E1023" s="760"/>
      <c r="F1023" s="763">
        <v>200</v>
      </c>
      <c r="G1023" s="812">
        <v>0</v>
      </c>
      <c r="H1023" s="812"/>
      <c r="I1023" s="805">
        <f>G1023+H1023</f>
        <v>0</v>
      </c>
    </row>
    <row r="1024" spans="1:9" ht="31.5" x14ac:dyDescent="0.25">
      <c r="A1024" s="826" t="str">
        <f>IF(B1024&gt;0,VLOOKUP(B1024,КВСР!A338:B1503,2),IF(C1024&gt;0,VLOOKUP(C1024,КФСР!A338:B1850,2),IF(D1024&gt;0,VLOOKUP(D1024,Программа!A$1:B$5124,2),IF(F1024&gt;0,VLOOKUP(F1024,КВР!A$1:B$5001,2),IF(E1024&gt;0,VLOOKUP(E1024,Направление!A$1:B$4816,2))))))</f>
        <v>Обслуживание государственного (муниципального) внутреннего долга</v>
      </c>
      <c r="B1024" s="760"/>
      <c r="C1024" s="820">
        <v>1301</v>
      </c>
      <c r="D1024" s="760"/>
      <c r="E1024" s="760"/>
      <c r="F1024" s="763"/>
      <c r="G1024" s="812">
        <v>0</v>
      </c>
      <c r="H1024" s="812">
        <f t="shared" ref="H1024:I1024" si="232">H1025</f>
        <v>0</v>
      </c>
      <c r="I1024" s="805">
        <f t="shared" si="232"/>
        <v>0</v>
      </c>
    </row>
    <row r="1025" spans="1:9" x14ac:dyDescent="0.25">
      <c r="A1025" s="826" t="str">
        <f>IF(B1025&gt;0,VLOOKUP(B1025,КВСР!A339:B1504,2),IF(C1025&gt;0,VLOOKUP(C1025,КФСР!A339:B1851,2),IF(D1025&gt;0,VLOOKUP(D1025,Программа!A$1:B$5124,2),IF(F1025&gt;0,VLOOKUP(F1025,КВР!A$1:B$5001,2),IF(E1025&gt;0,VLOOKUP(E1025,Направление!A$1:B$4816,2))))))</f>
        <v>Непрограммные расходы бюджета</v>
      </c>
      <c r="B1025" s="760"/>
      <c r="C1025" s="820"/>
      <c r="D1025" s="760" t="s">
        <v>311</v>
      </c>
      <c r="E1025" s="760"/>
      <c r="F1025" s="763"/>
      <c r="G1025" s="812">
        <v>0</v>
      </c>
      <c r="H1025" s="812">
        <f t="shared" ref="H1025:I1025" si="233">H1026</f>
        <v>0</v>
      </c>
      <c r="I1025" s="805">
        <f t="shared" si="233"/>
        <v>0</v>
      </c>
    </row>
    <row r="1026" spans="1:9" ht="31.5" x14ac:dyDescent="0.25">
      <c r="A1026" s="826" t="str">
        <f>IF(B1026&gt;0,VLOOKUP(B1026,КВСР!A340:B1505,2),IF(C1026&gt;0,VLOOKUP(C1026,КФСР!A340:B1852,2),IF(D1026&gt;0,VLOOKUP(D1026,Программа!A$1:B$5124,2),IF(F1026&gt;0,VLOOKUP(F1026,КВР!A$1:B$5001,2),IF(E1026&gt;0,VLOOKUP(E1026,Направление!A$1:B$4816,2))))))</f>
        <v>Процентные платежи по обслуживанию муниципального долга</v>
      </c>
      <c r="B1026" s="760"/>
      <c r="C1026" s="820"/>
      <c r="D1026" s="760"/>
      <c r="E1026" s="760">
        <v>12800</v>
      </c>
      <c r="F1026" s="763"/>
      <c r="G1026" s="812">
        <v>0</v>
      </c>
      <c r="H1026" s="812">
        <f t="shared" ref="H1026:I1026" si="234">H1027</f>
        <v>0</v>
      </c>
      <c r="I1026" s="805">
        <f t="shared" si="234"/>
        <v>0</v>
      </c>
    </row>
    <row r="1027" spans="1:9" ht="31.5" x14ac:dyDescent="0.25">
      <c r="A1027" s="826" t="str">
        <f>IF(B1027&gt;0,VLOOKUP(B1027,КВСР!A341:B1506,2),IF(C1027&gt;0,VLOOKUP(C1027,КФСР!A341:B1853,2),IF(D1027&gt;0,VLOOKUP(D1027,Программа!A$1:B$5124,2),IF(F1027&gt;0,VLOOKUP(F1027,КВР!A$1:B$5001,2),IF(E1027&gt;0,VLOOKUP(E1027,Направление!A$1:B$4816,2))))))</f>
        <v>Обслуживание государственного долга Российской Федерации</v>
      </c>
      <c r="B1027" s="760"/>
      <c r="C1027" s="820"/>
      <c r="D1027" s="760"/>
      <c r="E1027" s="760"/>
      <c r="F1027" s="763">
        <v>700</v>
      </c>
      <c r="G1027" s="812">
        <v>0</v>
      </c>
      <c r="H1027" s="812"/>
      <c r="I1027" s="805">
        <f t="shared" si="223"/>
        <v>0</v>
      </c>
    </row>
    <row r="1028" spans="1:9" ht="63" x14ac:dyDescent="0.25">
      <c r="A1028" s="826" t="str">
        <f>IF(B1028&gt;0,VLOOKUP(B1028,КВСР!A342:B1507,2),IF(C1028&gt;0,VLOOKUP(C1028,КФСР!A342:B1854,2),IF(D1028&gt;0,VLOOKUP(D1028,Программа!A$1:B$5124,2),IF(F1028&gt;0,VLOOKUP(F1028,КВР!A$1:B$5001,2),IF(E1028&gt;0,VLOOKUP(E1028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1028" s="760"/>
      <c r="C1028" s="820">
        <v>1401</v>
      </c>
      <c r="D1028" s="760"/>
      <c r="E1028" s="760"/>
      <c r="F1028" s="763"/>
      <c r="G1028" s="812">
        <v>300000</v>
      </c>
      <c r="H1028" s="812">
        <f t="shared" ref="H1028:I1028" si="235">H1029</f>
        <v>0</v>
      </c>
      <c r="I1028" s="805">
        <f t="shared" si="235"/>
        <v>300000</v>
      </c>
    </row>
    <row r="1029" spans="1:9" ht="31.5" x14ac:dyDescent="0.25">
      <c r="A1029" s="826" t="str">
        <f>IF(B1029&gt;0,VLOOKUP(B1029,КВСР!A343:B1508,2),IF(C1029&gt;0,VLOOKUP(C1029,КФСР!A343:B1855,2),IF(D1029&gt;0,VLOOKUP(D1029,Программа!A$1:B$5124,2),IF(F1029&gt;0,VLOOKUP(F1029,КВР!A$1:B$5001,2),IF(E1029&gt;0,VLOOKUP(E1029,Направление!A$1:B$4816,2))))))</f>
        <v>Межбюджетные трансферты  поселениям района</v>
      </c>
      <c r="B1029" s="760"/>
      <c r="C1029" s="820"/>
      <c r="D1029" s="760" t="s">
        <v>478</v>
      </c>
      <c r="E1029" s="760"/>
      <c r="F1029" s="763"/>
      <c r="G1029" s="812">
        <v>300000</v>
      </c>
      <c r="H1029" s="812">
        <f>H1030</f>
        <v>0</v>
      </c>
      <c r="I1029" s="805">
        <f>I1030</f>
        <v>300000</v>
      </c>
    </row>
    <row r="1030" spans="1:9" ht="47.25" x14ac:dyDescent="0.25">
      <c r="A1030" s="826" t="str">
        <f>IF(B1030&gt;0,VLOOKUP(B1030,КВСР!A347:B1512,2),IF(C1030&gt;0,VLOOKUP(C1030,КФСР!A347:B1859,2),IF(D1030&gt;0,VLOOKUP(D1030,Программа!A$1:B$5124,2),IF(F1030&gt;0,VLOOKUP(F1030,КВР!A$1:B$5001,2),IF(E1030&gt;0,VLOOKUP(E1030,Направление!A$1:B$4816,2))))))</f>
        <v>Дотации поселениям района  на выравнивание бюджетной обеспеченности</v>
      </c>
      <c r="B1030" s="760"/>
      <c r="C1030" s="820"/>
      <c r="D1030" s="760"/>
      <c r="E1030" s="760">
        <v>10800</v>
      </c>
      <c r="F1030" s="763"/>
      <c r="G1030" s="812">
        <v>300000</v>
      </c>
      <c r="H1030" s="812">
        <f>H1031</f>
        <v>0</v>
      </c>
      <c r="I1030" s="805">
        <f>I1031</f>
        <v>300000</v>
      </c>
    </row>
    <row r="1031" spans="1:9" x14ac:dyDescent="0.25">
      <c r="A1031" s="826" t="str">
        <f>IF(B1031&gt;0,VLOOKUP(B1031,КВСР!A348:B1513,2),IF(C1031&gt;0,VLOOKUP(C1031,КФСР!A348:B1860,2),IF(D1031&gt;0,VLOOKUP(D1031,Программа!A$1:B$5124,2),IF(F1031&gt;0,VLOOKUP(F1031,КВР!A$1:B$5001,2),IF(E1031&gt;0,VLOOKUP(E1031,Направление!A$1:B$4816,2))))))</f>
        <v xml:space="preserve"> Межбюджетные трансферты</v>
      </c>
      <c r="B1031" s="760"/>
      <c r="C1031" s="820"/>
      <c r="D1031" s="760"/>
      <c r="E1031" s="760"/>
      <c r="F1031" s="763">
        <v>500</v>
      </c>
      <c r="G1031" s="812">
        <v>300000</v>
      </c>
      <c r="H1031" s="812"/>
      <c r="I1031" s="805">
        <f t="shared" si="223"/>
        <v>300000</v>
      </c>
    </row>
    <row r="1032" spans="1:9" ht="47.25" x14ac:dyDescent="0.25">
      <c r="A1032" s="824" t="str">
        <f>IF(B1032&gt;0,VLOOKUP(B1032,КВСР!A352:B1517,2),IF(C1032&gt;0,VLOOKUP(C1032,КФСР!A352:B1864,2),IF(D1032&gt;0,VLOOKUP(D1032,Программа!A$1:B$5124,2),IF(F1032&gt;0,VLOOKUP(F1032,КВР!A$1:B$5001,2),IF(E1032&gt;0,VLOOKUP(E1032,Направление!A$1:B$4816,2))))))</f>
        <v>Департамент культуры, туризма и молодежной политики Администрации ТМР</v>
      </c>
      <c r="B1032" s="758">
        <v>956</v>
      </c>
      <c r="C1032" s="820"/>
      <c r="D1032" s="760"/>
      <c r="E1032" s="760"/>
      <c r="F1032" s="763"/>
      <c r="G1032" s="811">
        <v>231844158.60000002</v>
      </c>
      <c r="H1032" s="811">
        <f>H1046+H1050+H1076+H1116+H1189+H1033+H1228+H1038</f>
        <v>947635.08</v>
      </c>
      <c r="I1032" s="804">
        <f>I1046+I1050+I1076+I1116+I1189+I1033+I1228+I1038</f>
        <v>232791793.68000001</v>
      </c>
    </row>
    <row r="1033" spans="1:9" ht="47.25" x14ac:dyDescent="0.25">
      <c r="A1033" s="826" t="str">
        <f>IF(B1033&gt;0,VLOOKUP(B1033,КВСР!A349:B1514,2),IF(C1033&gt;0,VLOOKUP(C1033,КФСР!A349:B1861,2),IF(D1033&gt;0,VLOOKUP(D1033,Программа!A$1:B$5124,2),IF(F1033&gt;0,VLOOKUP(F1033,КВР!A$1:B$5001,2),IF(E1033&gt;0,VLOOKUP(E1033,Направление!A$1:B$4816,2))))))</f>
        <v>Другие вопросы в области национальной безопасности и правоохранительной деятельности</v>
      </c>
      <c r="B1033" s="758"/>
      <c r="C1033" s="827">
        <v>314</v>
      </c>
      <c r="D1033" s="760"/>
      <c r="E1033" s="760"/>
      <c r="F1033" s="763"/>
      <c r="G1033" s="812">
        <v>180000</v>
      </c>
      <c r="H1033" s="812">
        <f t="shared" ref="H1033:I1036" si="236">H1034</f>
        <v>-22</v>
      </c>
      <c r="I1033" s="805">
        <f t="shared" si="236"/>
        <v>179978</v>
      </c>
    </row>
    <row r="1034" spans="1:9" ht="63" x14ac:dyDescent="0.25">
      <c r="A1034" s="826" t="str">
        <f>IF(B1034&gt;0,VLOOKUP(B1034,КВСР!A350:B1515,2),IF(C1034&gt;0,VLOOKUP(C1034,КФСР!A350:B1862,2),IF(D1034&gt;0,VLOOKUP(D1034,Программа!A$1:B$5124,2),IF(F1034&gt;0,VLOOKUP(F1034,КВР!A$1:B$5001,2),IF(E1034&gt;0,VLOOKUP(E1034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34" s="758"/>
      <c r="C1034" s="820"/>
      <c r="D1034" s="760" t="s">
        <v>426</v>
      </c>
      <c r="E1034" s="760"/>
      <c r="F1034" s="763"/>
      <c r="G1034" s="812">
        <v>180000</v>
      </c>
      <c r="H1034" s="812">
        <f t="shared" si="236"/>
        <v>-22</v>
      </c>
      <c r="I1034" s="805">
        <f t="shared" si="236"/>
        <v>179978</v>
      </c>
    </row>
    <row r="1035" spans="1:9" ht="31.5" x14ac:dyDescent="0.25">
      <c r="A1035" s="826" t="str">
        <f>IF(B1035&gt;0,VLOOKUP(B1035,КВСР!A351:B1516,2),IF(C1035&gt;0,VLOOKUP(C1035,КФСР!A351:B1863,2),IF(D1035&gt;0,VLOOKUP(D1035,Программа!A$1:B$5124,2),IF(F1035&gt;0,VLOOKUP(F1035,КВР!A$1:B$5001,2),IF(E1035&gt;0,VLOOKUP(E1035,Направление!A$1:B$4816,2))))))</f>
        <v>Реализация мероприятий по профилактике правонарушений</v>
      </c>
      <c r="B1035" s="758"/>
      <c r="C1035" s="820"/>
      <c r="D1035" s="760" t="s">
        <v>428</v>
      </c>
      <c r="E1035" s="760"/>
      <c r="F1035" s="763"/>
      <c r="G1035" s="812">
        <v>180000</v>
      </c>
      <c r="H1035" s="812">
        <f t="shared" si="236"/>
        <v>-22</v>
      </c>
      <c r="I1035" s="805">
        <f t="shared" si="236"/>
        <v>179978</v>
      </c>
    </row>
    <row r="1036" spans="1:9" ht="31.5" x14ac:dyDescent="0.25">
      <c r="A1036" s="826" t="str">
        <f>IF(B1036&gt;0,VLOOKUP(B1036,КВСР!A352:B1517,2),IF(C1036&gt;0,VLOOKUP(C1036,КФСР!A352:B1864,2),IF(D1036&gt;0,VLOOKUP(D1036,Программа!A$1:B$5124,2),IF(F1036&gt;0,VLOOKUP(F1036,КВР!A$1:B$5001,2),IF(E1036&gt;0,VLOOKUP(E1036,Направление!A$1:B$4816,2))))))</f>
        <v>Обеспечение деятельности народных дружин</v>
      </c>
      <c r="B1036" s="758"/>
      <c r="C1036" s="820"/>
      <c r="D1036" s="760"/>
      <c r="E1036" s="760">
        <v>29486</v>
      </c>
      <c r="F1036" s="763"/>
      <c r="G1036" s="812">
        <v>180000</v>
      </c>
      <c r="H1036" s="812">
        <f t="shared" si="236"/>
        <v>-22</v>
      </c>
      <c r="I1036" s="805">
        <f t="shared" si="236"/>
        <v>179978</v>
      </c>
    </row>
    <row r="1037" spans="1:9" ht="47.25" x14ac:dyDescent="0.25">
      <c r="A1037" s="826" t="str">
        <f>IF(B1037&gt;0,VLOOKUP(B1037,КВСР!A353:B1518,2),IF(C1037&gt;0,VLOOKUP(C1037,КФСР!A353:B1865,2),IF(D1037&gt;0,VLOOKUP(D1037,Программа!A$1:B$5124,2),IF(F1037&gt;0,VLOOKUP(F1037,КВР!A$1:B$5001,2),IF(E1037&gt;0,VLOOKUP(E1037,Направление!A$1:B$4816,2))))))</f>
        <v>Предоставление субсидий бюджетным, автономным учреждениям и иным некоммерческим организациям</v>
      </c>
      <c r="B1037" s="758"/>
      <c r="C1037" s="820"/>
      <c r="D1037" s="760"/>
      <c r="E1037" s="760"/>
      <c r="F1037" s="763">
        <v>600</v>
      </c>
      <c r="G1037" s="812">
        <v>180000</v>
      </c>
      <c r="H1037" s="812">
        <v>-22</v>
      </c>
      <c r="I1037" s="805">
        <f>G1037+H1037</f>
        <v>179978</v>
      </c>
    </row>
    <row r="1038" spans="1:9" x14ac:dyDescent="0.25">
      <c r="A1038" s="826" t="str">
        <f>IF(B1038&gt;0,VLOOKUP(B1038,КВСР!A354:B1519,2),IF(C1038&gt;0,VLOOKUP(C1038,КФСР!A354:B1866,2),IF(D1038&gt;0,VLOOKUP(D1038,Программа!A$1:B$5124,2),IF(F1038&gt;0,VLOOKUP(F1038,КВР!A$1:B$5001,2),IF(E1038&gt;0,VLOOKUP(E1038,Направление!A$1:B$4816,2))))))</f>
        <v xml:space="preserve"> Общеэкономические вопросы</v>
      </c>
      <c r="B1038" s="758"/>
      <c r="C1038" s="827">
        <v>401</v>
      </c>
      <c r="D1038" s="760"/>
      <c r="E1038" s="760"/>
      <c r="F1038" s="763"/>
      <c r="G1038" s="812">
        <v>576905</v>
      </c>
      <c r="H1038" s="812">
        <f>H1039</f>
        <v>0</v>
      </c>
      <c r="I1038" s="805">
        <f t="shared" ref="H1038:I1044" si="237">I1039</f>
        <v>576905</v>
      </c>
    </row>
    <row r="1039" spans="1:9" ht="63" x14ac:dyDescent="0.25">
      <c r="A1039" s="826" t="str">
        <f>IF(B1039&gt;0,VLOOKUP(B1039,КВСР!A355:B1520,2),IF(C1039&gt;0,VLOOKUP(C1039,КФСР!A355:B1867,2),IF(D1039&gt;0,VLOOKUP(D1039,Программа!A$1:B$5124,2),IF(F1039&gt;0,VLOOKUP(F1039,КВР!A$1:B$5001,2),IF(E1039&gt;0,VLOOKUP(E1039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39" s="758"/>
      <c r="C1039" s="820"/>
      <c r="D1039" s="760" t="s">
        <v>396</v>
      </c>
      <c r="E1039" s="760"/>
      <c r="F1039" s="763"/>
      <c r="G1039" s="812">
        <v>576905</v>
      </c>
      <c r="H1039" s="812">
        <f>H1040</f>
        <v>0</v>
      </c>
      <c r="I1039" s="805">
        <f t="shared" si="237"/>
        <v>576905</v>
      </c>
    </row>
    <row r="1040" spans="1:9" ht="31.5" x14ac:dyDescent="0.25">
      <c r="A1040" s="826" t="str">
        <f>IF(B1040&gt;0,VLOOKUP(B1040,КВСР!A356:B1521,2),IF(C1040&gt;0,VLOOKUP(C1040,КФСР!A356:B1868,2),IF(D1040&gt;0,VLOOKUP(D1040,Программа!A$1:B$5124,2),IF(F1040&gt;0,VLOOKUP(F1040,КВР!A$1:B$5001,2),IF(E1040&gt;0,VLOOKUP(E1040,Направление!A$1:B$4816,2))))))</f>
        <v>Ведомственная целевая программа «Молодежь»</v>
      </c>
      <c r="B1040" s="758"/>
      <c r="C1040" s="820"/>
      <c r="D1040" s="760" t="s">
        <v>499</v>
      </c>
      <c r="E1040" s="760"/>
      <c r="F1040" s="763"/>
      <c r="G1040" s="812">
        <v>576905</v>
      </c>
      <c r="H1040" s="812">
        <f t="shared" si="237"/>
        <v>0</v>
      </c>
      <c r="I1040" s="805">
        <f t="shared" si="237"/>
        <v>576905</v>
      </c>
    </row>
    <row r="1041" spans="1:9" ht="47.25" x14ac:dyDescent="0.25">
      <c r="A1041" s="826" t="str">
        <f>IF(B1041&gt;0,VLOOKUP(B1041,КВСР!A357:B1522,2),IF(C1041&gt;0,VLOOKUP(C1041,КФСР!A357:B1869,2),IF(D1041&gt;0,VLOOKUP(D1041,Программа!A$1:B$5124,2),IF(F1041&gt;0,VLOOKUP(F1041,КВР!A$1:B$5001,2),IF(E1041&gt;0,VLOOKUP(E1041,Направление!A$1:B$4816,2))))))</f>
        <v>Обеспечение качества и доступности услуг(работ) в сфере молодежной политики</v>
      </c>
      <c r="B1041" s="758"/>
      <c r="C1041" s="820"/>
      <c r="D1041" s="760" t="s">
        <v>1091</v>
      </c>
      <c r="E1041" s="760"/>
      <c r="F1041" s="763"/>
      <c r="G1041" s="812">
        <v>576905</v>
      </c>
      <c r="H1041" s="812">
        <f>H1044+H1042</f>
        <v>0</v>
      </c>
      <c r="I1041" s="805">
        <f>I1044+I1042</f>
        <v>576905</v>
      </c>
    </row>
    <row r="1042" spans="1:9" ht="63" x14ac:dyDescent="0.25">
      <c r="A1042" s="826" t="str">
        <f>IF(B1042&gt;0,VLOOKUP(B1042,КВСР!A358:B1523,2),IF(C1042&gt;0,VLOOKUP(C1042,КФСР!A358:B1870,2),IF(D1042&gt;0,VLOOKUP(D1042,Программа!A$1:B$5124,2),IF(F1042&gt;0,VLOOKUP(F1042,КВР!A$1:B$5001,2),IF(E1042&gt;0,VLOOKUP(E1042,Направление!A$1:B$4816,2))))))</f>
        <v>Расходы на обеспечение трудоустройства несовершеннолетних граждан на временные рабочие места (софинансирование)</v>
      </c>
      <c r="B1042" s="758"/>
      <c r="C1042" s="820"/>
      <c r="D1042" s="760"/>
      <c r="E1042" s="760">
        <v>16950</v>
      </c>
      <c r="F1042" s="763"/>
      <c r="G1042" s="812">
        <v>46751</v>
      </c>
      <c r="H1042" s="812">
        <f t="shared" ref="H1042:I1042" si="238">H1043</f>
        <v>0</v>
      </c>
      <c r="I1042" s="805">
        <f t="shared" si="238"/>
        <v>46751</v>
      </c>
    </row>
    <row r="1043" spans="1:9" ht="47.25" x14ac:dyDescent="0.25">
      <c r="A1043" s="826" t="str">
        <f>IF(B1043&gt;0,VLOOKUP(B1043,КВСР!A359:B1524,2),IF(C1043&gt;0,VLOOKUP(C1043,КФСР!A359:B1871,2),IF(D1043&gt;0,VLOOKUP(D1043,Программа!A$1:B$5124,2),IF(F1043&gt;0,VLOOKUP(F1043,КВР!A$1:B$5001,2),IF(E1043&gt;0,VLOOKUP(E1043,Направление!A$1:B$4816,2))))))</f>
        <v>Предоставление субсидий бюджетным, автономным учреждениям и иным некоммерческим организациям</v>
      </c>
      <c r="B1043" s="758"/>
      <c r="C1043" s="820"/>
      <c r="D1043" s="760"/>
      <c r="E1043" s="760"/>
      <c r="F1043" s="763">
        <v>600</v>
      </c>
      <c r="G1043" s="812">
        <v>46751</v>
      </c>
      <c r="H1043" s="812"/>
      <c r="I1043" s="805">
        <f>G1043+H1043</f>
        <v>46751</v>
      </c>
    </row>
    <row r="1044" spans="1:9" ht="47.25" x14ac:dyDescent="0.25">
      <c r="A1044" s="826" t="str">
        <f>IF(B1044&gt;0,VLOOKUP(B1044,КВСР!A358:B1523,2),IF(C1044&gt;0,VLOOKUP(C1044,КФСР!A358:B1870,2),IF(D1044&gt;0,VLOOKUP(D1044,Программа!A$1:B$5124,2),IF(F1044&gt;0,VLOOKUP(F1044,КВР!A$1:B$5001,2),IF(E1044&gt;0,VLOOKUP(E1044,Направление!A$1:B$4816,2))))))</f>
        <v>Расходы на обеспечение трудоустройства несовершеннолетних граждан на временные рабочие места</v>
      </c>
      <c r="B1044" s="758"/>
      <c r="C1044" s="820"/>
      <c r="D1044" s="760"/>
      <c r="E1044" s="760">
        <v>76950</v>
      </c>
      <c r="F1044" s="763"/>
      <c r="G1044" s="812">
        <v>530154</v>
      </c>
      <c r="H1044" s="812">
        <f t="shared" si="237"/>
        <v>0</v>
      </c>
      <c r="I1044" s="805">
        <f t="shared" si="237"/>
        <v>530154</v>
      </c>
    </row>
    <row r="1045" spans="1:9" ht="47.25" x14ac:dyDescent="0.25">
      <c r="A1045" s="826" t="str">
        <f>IF(B1045&gt;0,VLOOKUP(B1045,КВСР!A359:B1524,2),IF(C1045&gt;0,VLOOKUP(C1045,КФСР!A359:B1871,2),IF(D1045&gt;0,VLOOKUP(D1045,Программа!A$1:B$5124,2),IF(F1045&gt;0,VLOOKUP(F1045,КВР!A$1:B$5001,2),IF(E1045&gt;0,VLOOKUP(E1045,Направление!A$1:B$4816,2))))))</f>
        <v>Предоставление субсидий бюджетным, автономным учреждениям и иным некоммерческим организациям</v>
      </c>
      <c r="B1045" s="758"/>
      <c r="C1045" s="820"/>
      <c r="D1045" s="760"/>
      <c r="E1045" s="760"/>
      <c r="F1045" s="763">
        <v>600</v>
      </c>
      <c r="G1045" s="812">
        <v>530154</v>
      </c>
      <c r="H1045" s="812"/>
      <c r="I1045" s="805">
        <f>G1045+H1045</f>
        <v>530154</v>
      </c>
    </row>
    <row r="1046" spans="1:9" x14ac:dyDescent="0.25">
      <c r="A1046" s="826" t="str">
        <f>IF(B1046&gt;0,VLOOKUP(B1046,КВСР!A353:B1518,2),IF(C1046&gt;0,VLOOKUP(C1046,КФСР!A353:B1865,2),IF(D1046&gt;0,VLOOKUP(D1046,Программа!A$1:B$5124,2),IF(F1046&gt;0,VLOOKUP(F1046,КВР!A$1:B$5001,2),IF(E1046&gt;0,VLOOKUP(E1046,Направление!A$1:B$4816,2))))))</f>
        <v>Транспорт</v>
      </c>
      <c r="B1046" s="758"/>
      <c r="C1046" s="827">
        <v>408</v>
      </c>
      <c r="D1046" s="760"/>
      <c r="E1046" s="760"/>
      <c r="F1046" s="763"/>
      <c r="G1046" s="812">
        <v>3000000</v>
      </c>
      <c r="H1046" s="812">
        <f>H1047</f>
        <v>0</v>
      </c>
      <c r="I1046" s="805">
        <f t="shared" si="223"/>
        <v>3000000</v>
      </c>
    </row>
    <row r="1047" spans="1:9" ht="22.9" customHeight="1" x14ac:dyDescent="0.25">
      <c r="A1047" s="826" t="str">
        <f>IF(B1047&gt;0,VLOOKUP(B1047,КВСР!A354:B1519,2),IF(C1047&gt;0,VLOOKUP(C1047,КФСР!A354:B1866,2),IF(D1047&gt;0,VLOOKUP(D1047,Программа!A$1:B$5124,2),IF(F1047&gt;0,VLOOKUP(F1047,КВР!A$1:B$5001,2),IF(E1047&gt;0,VLOOKUP(E1047,Направление!A$1:B$4816,2))))))</f>
        <v>Непрограммные расходы бюджета</v>
      </c>
      <c r="B1047" s="758"/>
      <c r="C1047" s="820"/>
      <c r="D1047" s="760" t="s">
        <v>311</v>
      </c>
      <c r="E1047" s="760"/>
      <c r="F1047" s="763"/>
      <c r="G1047" s="812">
        <v>3000000</v>
      </c>
      <c r="H1047" s="812">
        <f>H1048</f>
        <v>0</v>
      </c>
      <c r="I1047" s="805">
        <f t="shared" si="223"/>
        <v>3000000</v>
      </c>
    </row>
    <row r="1048" spans="1:9" ht="48.75" customHeight="1" x14ac:dyDescent="0.25">
      <c r="A1048" s="826" t="str">
        <f>IF(B1048&gt;0,VLOOKUP(B1048,КВСР!A355:B1520,2),IF(C1048&gt;0,VLOOKUP(C1048,КФСР!A355:B1867,2),IF(D1048&gt;0,VLOOKUP(D1048,Программа!A$1:B$5124,2),IF(F1048&gt;0,VLOOKUP(F1048,КВР!A$1:B$5001,2),IF(E1048&gt;0,VLOOKUP(E1048,Направление!A$1:B$4816,2))))))</f>
        <v>Обеспечение мероприятий по осуществлению грузопассажирских  перевозок на речном транспорте</v>
      </c>
      <c r="B1048" s="758"/>
      <c r="C1048" s="820"/>
      <c r="D1048" s="760"/>
      <c r="E1048" s="760">
        <v>29166</v>
      </c>
      <c r="F1048" s="763"/>
      <c r="G1048" s="812">
        <v>3000000</v>
      </c>
      <c r="H1048" s="812">
        <f>SUM(H1049:H1049)</f>
        <v>0</v>
      </c>
      <c r="I1048" s="805">
        <f t="shared" si="223"/>
        <v>3000000</v>
      </c>
    </row>
    <row r="1049" spans="1:9" ht="47.25" x14ac:dyDescent="0.25">
      <c r="A1049" s="826" t="str">
        <f>IF(B1049&gt;0,VLOOKUP(B1049,КВСР!A357:B1522,2),IF(C1049&gt;0,VLOOKUP(C1049,КФСР!A357:B1869,2),IF(D1049&gt;0,VLOOKUP(D1049,Программа!A$1:B$5124,2),IF(F1049&gt;0,VLOOKUP(F1049,КВР!A$1:B$5001,2),IF(E1049&gt;0,VLOOKUP(E1049,Направление!A$1:B$4816,2))))))</f>
        <v>Предоставление субсидий бюджетным, автономным учреждениям и иным некоммерческим организациям</v>
      </c>
      <c r="B1049" s="758"/>
      <c r="C1049" s="820"/>
      <c r="D1049" s="760"/>
      <c r="E1049" s="760"/>
      <c r="F1049" s="763">
        <v>600</v>
      </c>
      <c r="G1049" s="812">
        <v>3000000</v>
      </c>
      <c r="H1049" s="812"/>
      <c r="I1049" s="805">
        <f t="shared" si="223"/>
        <v>3000000</v>
      </c>
    </row>
    <row r="1050" spans="1:9" s="119" customFormat="1" x14ac:dyDescent="0.25">
      <c r="A1050" s="826" t="str">
        <f>IF(B1050&gt;0,VLOOKUP(B1050,КВСР!A358:B1523,2),IF(C1050&gt;0,VLOOKUP(C1050,КФСР!A358:B1870,2),IF(D1050&gt;0,VLOOKUP(D1050,Программа!A$1:B$5124,2),IF(F1050&gt;0,VLOOKUP(F1050,КВР!A$1:B$5001,2),IF(E1050&gt;0,VLOOKUP(E1050,Направление!A$1:B$4816,2))))))</f>
        <v>Дополнительное образование детей</v>
      </c>
      <c r="B1050" s="760"/>
      <c r="C1050" s="827">
        <v>703</v>
      </c>
      <c r="D1050" s="760"/>
      <c r="E1050" s="760"/>
      <c r="F1050" s="763"/>
      <c r="G1050" s="812">
        <v>33788962</v>
      </c>
      <c r="H1050" s="812">
        <f>H1051+H1065</f>
        <v>-50</v>
      </c>
      <c r="I1050" s="805">
        <f>I1051+I1065</f>
        <v>33788912</v>
      </c>
    </row>
    <row r="1051" spans="1:9" s="119" customFormat="1" ht="63" x14ac:dyDescent="0.25">
      <c r="A1051" s="826" t="str">
        <f>IF(B1051&gt;0,VLOOKUP(B1051,КВСР!A359:B1524,2),IF(C1051&gt;0,VLOOKUP(C1051,КФСР!A359:B1871,2),IF(D1051&gt;0,VLOOKUP(D1051,Программа!A$1:B$5124,2),IF(F1051&gt;0,VLOOKUP(F1051,КВР!A$1:B$5001,2),IF(E1051&gt;0,VLOOKUP(E1051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51" s="760"/>
      <c r="C1051" s="820"/>
      <c r="D1051" s="767" t="s">
        <v>396</v>
      </c>
      <c r="E1051" s="767"/>
      <c r="F1051" s="763"/>
      <c r="G1051" s="812">
        <v>33640962</v>
      </c>
      <c r="H1051" s="812">
        <f>H1052</f>
        <v>0</v>
      </c>
      <c r="I1051" s="805">
        <f>I1052</f>
        <v>33640962</v>
      </c>
    </row>
    <row r="1052" spans="1:9" s="119" customFormat="1" ht="47.25" x14ac:dyDescent="0.25">
      <c r="A1052" s="826" t="str">
        <f>IF(B1052&gt;0,VLOOKUP(B1052,КВСР!A360:B1525,2),IF(C1052&gt;0,VLOOKUP(C1052,КФСР!A360:B1872,2),IF(D1052&gt;0,VLOOKUP(D1052,Программа!A$1:B$5124,2),IF(F1052&gt;0,VLOOKUP(F1052,КВР!A$1:B$5001,2),IF(E1052&gt;0,VLOOKUP(E1052,Направление!A$1:B$4816,2))))))</f>
        <v>Ведомственная целевая программа «Сохранение и развитие культуры Тутаевского муниципального района»</v>
      </c>
      <c r="B1052" s="760"/>
      <c r="C1052" s="820"/>
      <c r="D1052" s="767" t="s">
        <v>494</v>
      </c>
      <c r="E1052" s="767"/>
      <c r="F1052" s="763"/>
      <c r="G1052" s="812">
        <v>33640962</v>
      </c>
      <c r="H1052" s="812">
        <f>H1053+H1062</f>
        <v>0</v>
      </c>
      <c r="I1052" s="805">
        <f>I1053+I1062</f>
        <v>33640962</v>
      </c>
    </row>
    <row r="1053" spans="1:9" s="119" customFormat="1" ht="47.25" x14ac:dyDescent="0.25">
      <c r="A1053" s="826" t="str">
        <f>IF(B1053&gt;0,VLOOKUP(B1053,КВСР!A361:B1526,2),IF(C1053&gt;0,VLOOKUP(C1053,КФСР!A361:B1873,2),IF(D1053&gt;0,VLOOKUP(D1053,Программа!A$1:B$5124,2),IF(F1053&gt;0,VLOOKUP(F1053,КВР!A$1:B$5001,2),IF(E1053&gt;0,VLOOKUP(E1053,Направление!A$1:B$4816,2))))))</f>
        <v>Реализация дополнительных образовательных программ в сфере культуры</v>
      </c>
      <c r="B1053" s="760"/>
      <c r="C1053" s="820"/>
      <c r="D1053" s="760" t="s">
        <v>496</v>
      </c>
      <c r="E1053" s="760"/>
      <c r="F1053" s="763"/>
      <c r="G1053" s="812">
        <v>33640962</v>
      </c>
      <c r="H1053" s="812">
        <f>H1056+H1060+H1054+H1058</f>
        <v>0</v>
      </c>
      <c r="I1053" s="805">
        <f>I1056+I1060+I1054+I1058</f>
        <v>33640962</v>
      </c>
    </row>
    <row r="1054" spans="1:9" s="119" customFormat="1" ht="31.5" x14ac:dyDescent="0.25">
      <c r="A1054" s="826" t="str">
        <f>IF(B1054&gt;0,VLOOKUP(B1054,КВСР!A361:B1526,2),IF(C1054&gt;0,VLOOKUP(C1054,КФСР!A361:B1873,2),IF(D1054&gt;0,VLOOKUP(D1054,Программа!A$1:B$5124,2),IF(F1054&gt;0,VLOOKUP(F1054,КВР!A$1:B$5001,2),IF(E1054&gt;0,VLOOKUP(E1054,Направление!A$1:B$4816,2))))))</f>
        <v xml:space="preserve">Выплата ежемесячных разовых стипендий главы </v>
      </c>
      <c r="B1054" s="760"/>
      <c r="C1054" s="820"/>
      <c r="D1054" s="760"/>
      <c r="E1054" s="760">
        <v>12700</v>
      </c>
      <c r="F1054" s="763"/>
      <c r="G1054" s="812">
        <v>40000</v>
      </c>
      <c r="H1054" s="812">
        <f>H1055</f>
        <v>0</v>
      </c>
      <c r="I1054" s="805">
        <f>I1055</f>
        <v>40000</v>
      </c>
    </row>
    <row r="1055" spans="1:9" s="119" customFormat="1" ht="47.25" x14ac:dyDescent="0.25">
      <c r="A1055" s="826" t="str">
        <f>IF(B1055&gt;0,VLOOKUP(B1055,КВСР!A362:B1527,2),IF(C1055&gt;0,VLOOKUP(C1055,КФСР!A362:B1874,2),IF(D1055&gt;0,VLOOKUP(D1055,Программа!A$1:B$5124,2),IF(F1055&gt;0,VLOOKUP(F1055,КВР!A$1:B$5001,2),IF(E1055&gt;0,VLOOKUP(E1055,Направление!A$1:B$4816,2))))))</f>
        <v>Предоставление субсидий бюджетным, автономным учреждениям и иным некоммерческим организациям</v>
      </c>
      <c r="B1055" s="760"/>
      <c r="C1055" s="820"/>
      <c r="D1055" s="760"/>
      <c r="E1055" s="760"/>
      <c r="F1055" s="763">
        <v>600</v>
      </c>
      <c r="G1055" s="812">
        <v>40000</v>
      </c>
      <c r="H1055" s="812"/>
      <c r="I1055" s="805">
        <f t="shared" si="223"/>
        <v>40000</v>
      </c>
    </row>
    <row r="1056" spans="1:9" s="119" customFormat="1" ht="31.5" x14ac:dyDescent="0.25">
      <c r="A1056" s="826" t="str">
        <f>IF(B1056&gt;0,VLOOKUP(B1056,КВСР!A361:B1526,2),IF(C1056&gt;0,VLOOKUP(C1056,КФСР!A361:B1873,2),IF(D1056&gt;0,VLOOKUP(D1056,Программа!A$1:B$5124,2),IF(F1056&gt;0,VLOOKUP(F1056,КВР!A$1:B$5001,2),IF(E1056&gt;0,VLOOKUP(E1056,Направление!A$1:B$4816,2))))))</f>
        <v>Обеспечение деятельности учреждений дополнительного образования</v>
      </c>
      <c r="B1056" s="760"/>
      <c r="C1056" s="820"/>
      <c r="D1056" s="760"/>
      <c r="E1056" s="760">
        <v>13210</v>
      </c>
      <c r="F1056" s="763"/>
      <c r="G1056" s="812">
        <v>14211326</v>
      </c>
      <c r="H1056" s="812">
        <f>H1057</f>
        <v>0</v>
      </c>
      <c r="I1056" s="805">
        <f>I1057</f>
        <v>14211326</v>
      </c>
    </row>
    <row r="1057" spans="1:9" s="119" customFormat="1" ht="47.25" x14ac:dyDescent="0.25">
      <c r="A1057" s="826" t="str">
        <f>IF(B1057&gt;0,VLOOKUP(B1057,КВСР!A362:B1527,2),IF(C1057&gt;0,VLOOKUP(C1057,КФСР!A362:B1874,2),IF(D1057&gt;0,VLOOKUP(D1057,Программа!A$1:B$5124,2),IF(F1057&gt;0,VLOOKUP(F1057,КВР!A$1:B$5001,2),IF(E1057&gt;0,VLOOKUP(E1057,Направление!A$1:B$4816,2))))))</f>
        <v>Предоставление субсидий бюджетным, автономным учреждениям и иным некоммерческим организациям</v>
      </c>
      <c r="B1057" s="760"/>
      <c r="C1057" s="820"/>
      <c r="D1057" s="760"/>
      <c r="E1057" s="760"/>
      <c r="F1057" s="763">
        <v>600</v>
      </c>
      <c r="G1057" s="812">
        <v>14211326</v>
      </c>
      <c r="H1057" s="812"/>
      <c r="I1057" s="805">
        <f t="shared" si="223"/>
        <v>14211326</v>
      </c>
    </row>
    <row r="1058" spans="1:9" s="119" customFormat="1" ht="47.25" x14ac:dyDescent="0.25">
      <c r="A1058" s="826" t="str">
        <f>IF(B1058&gt;0,VLOOKUP(B1058,КВСР!A363:B1528,2),IF(C1058&gt;0,VLOOKUP(C1058,КФСР!A363:B1875,2),IF(D1058&gt;0,VLOOKUP(D1058,Программа!A$1:B$5124,2),IF(F1058&gt;0,VLOOKUP(F1058,КВР!A$1:B$5001,2),IF(E1058&gt;0,VLOOKUP(E1058,Направление!A$1:B$4816,2))))))</f>
        <v>Расходы на повышение оплаты труда работников муниципальных учреждений в сфере культуры</v>
      </c>
      <c r="B1058" s="760"/>
      <c r="C1058" s="820"/>
      <c r="D1058" s="760"/>
      <c r="E1058" s="760">
        <v>15900</v>
      </c>
      <c r="F1058" s="763"/>
      <c r="G1058" s="812">
        <v>12868606</v>
      </c>
      <c r="H1058" s="812">
        <f>H1059</f>
        <v>0</v>
      </c>
      <c r="I1058" s="805">
        <f>I1059</f>
        <v>12868606</v>
      </c>
    </row>
    <row r="1059" spans="1:9" s="119" customFormat="1" ht="47.25" x14ac:dyDescent="0.25">
      <c r="A1059" s="826" t="str">
        <f>IF(B1059&gt;0,VLOOKUP(B1059,КВСР!A364:B1529,2),IF(C1059&gt;0,VLOOKUP(C1059,КФСР!A364:B1876,2),IF(D1059&gt;0,VLOOKUP(D1059,Программа!A$1:B$5124,2),IF(F1059&gt;0,VLOOKUP(F1059,КВР!A$1:B$5001,2),IF(E1059&gt;0,VLOOKUP(E1059,Направление!A$1:B$4816,2))))))</f>
        <v>Предоставление субсидий бюджетным, автономным учреждениям и иным некоммерческим организациям</v>
      </c>
      <c r="B1059" s="760"/>
      <c r="C1059" s="820"/>
      <c r="D1059" s="760"/>
      <c r="E1059" s="760"/>
      <c r="F1059" s="763">
        <v>600</v>
      </c>
      <c r="G1059" s="812">
        <v>12868606</v>
      </c>
      <c r="H1059" s="812"/>
      <c r="I1059" s="805">
        <f t="shared" si="223"/>
        <v>12868606</v>
      </c>
    </row>
    <row r="1060" spans="1:9" s="119" customFormat="1" ht="47.25" x14ac:dyDescent="0.25">
      <c r="A1060" s="826" t="str">
        <f>IF(B1060&gt;0,VLOOKUP(B1060,КВСР!A363:B1528,2),IF(C1060&gt;0,VLOOKUP(C1060,КФСР!A363:B1875,2),IF(D1060&gt;0,VLOOKUP(D1060,Программа!A$1:B$5124,2),IF(F1060&gt;0,VLOOKUP(F1060,КВР!A$1:B$5001,2),IF(E1060&gt;0,VLOOKUP(E1060,Направление!A$1:B$4816,2))))))</f>
        <v>Расходы на повышение оплаты труда работников муниципальных учреждений в сфере культуры</v>
      </c>
      <c r="B1060" s="760"/>
      <c r="C1060" s="820"/>
      <c r="D1060" s="760"/>
      <c r="E1060" s="760">
        <v>75900</v>
      </c>
      <c r="F1060" s="763"/>
      <c r="G1060" s="812">
        <v>6521030</v>
      </c>
      <c r="H1060" s="812">
        <f>H1061</f>
        <v>0</v>
      </c>
      <c r="I1060" s="805">
        <f t="shared" si="223"/>
        <v>6521030</v>
      </c>
    </row>
    <row r="1061" spans="1:9" s="119" customFormat="1" ht="47.25" x14ac:dyDescent="0.25">
      <c r="A1061" s="826" t="str">
        <f>IF(B1061&gt;0,VLOOKUP(B1061,КВСР!A364:B1529,2),IF(C1061&gt;0,VLOOKUP(C1061,КФСР!A364:B1876,2),IF(D1061&gt;0,VLOOKUP(D1061,Программа!A$1:B$5124,2),IF(F1061&gt;0,VLOOKUP(F1061,КВР!A$1:B$5001,2),IF(E1061&gt;0,VLOOKUP(E1061,Направление!A$1:B$4816,2))))))</f>
        <v>Предоставление субсидий бюджетным, автономным учреждениям и иным некоммерческим организациям</v>
      </c>
      <c r="B1061" s="760"/>
      <c r="C1061" s="820"/>
      <c r="D1061" s="760"/>
      <c r="E1061" s="760"/>
      <c r="F1061" s="763">
        <v>600</v>
      </c>
      <c r="G1061" s="812">
        <v>6521030</v>
      </c>
      <c r="H1061" s="812"/>
      <c r="I1061" s="805">
        <f t="shared" si="223"/>
        <v>6521030</v>
      </c>
    </row>
    <row r="1062" spans="1:9" s="119" customFormat="1" hidden="1" x14ac:dyDescent="0.25">
      <c r="A1062" s="826" t="str">
        <f>IF(B1062&gt;0,VLOOKUP(B1062,КВСР!A365:B1530,2),IF(C1062&gt;0,VLOOKUP(C1062,КФСР!A365:B1877,2),IF(D1062&gt;0,VLOOKUP(D1062,Программа!A$1:B$5124,2),IF(F1062&gt;0,VLOOKUP(F1062,КВР!A$1:B$5001,2),IF(E1062&gt;0,VLOOKUP(E1062,Направление!A$1:B$4816,2))))))</f>
        <v>Федеральный проект "Культурная среда"</v>
      </c>
      <c r="B1062" s="760"/>
      <c r="C1062" s="820"/>
      <c r="D1062" s="760" t="s">
        <v>1567</v>
      </c>
      <c r="E1062" s="760"/>
      <c r="F1062" s="763"/>
      <c r="G1062" s="812">
        <v>0</v>
      </c>
      <c r="H1062" s="812">
        <f t="shared" ref="H1062:I1063" si="239">H1063</f>
        <v>0</v>
      </c>
      <c r="I1062" s="805">
        <f t="shared" si="239"/>
        <v>0</v>
      </c>
    </row>
    <row r="1063" spans="1:9" s="119" customFormat="1" ht="78.75" hidden="1" x14ac:dyDescent="0.25">
      <c r="A1063" s="826" t="str">
        <f>IF(B1063&gt;0,VLOOKUP(B1063,КВСР!A366:B1531,2),IF(C1063&gt;0,VLOOKUP(C1063,КФСР!A366:B1878,2),IF(D1063&gt;0,VLOOKUP(D1063,Программа!A$1:B$5124,2),IF(F1063&gt;0,VLOOKUP(F1063,КВР!A$1:B$5001,2),IF(E1063&gt;0,VLOOKUP(E1063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63" s="760"/>
      <c r="C1063" s="820"/>
      <c r="D1063" s="760"/>
      <c r="E1063" s="760">
        <v>55191</v>
      </c>
      <c r="F1063" s="763"/>
      <c r="G1063" s="812">
        <v>0</v>
      </c>
      <c r="H1063" s="812">
        <f t="shared" si="239"/>
        <v>0</v>
      </c>
      <c r="I1063" s="805">
        <f t="shared" si="239"/>
        <v>0</v>
      </c>
    </row>
    <row r="1064" spans="1:9" s="119" customFormat="1" ht="47.25" hidden="1" x14ac:dyDescent="0.25">
      <c r="A1064" s="826" t="str">
        <f>IF(B1064&gt;0,VLOOKUP(B1064,КВСР!A367:B1532,2),IF(C1064&gt;0,VLOOKUP(C1064,КФСР!A367:B1879,2),IF(D1064&gt;0,VLOOKUP(D1064,Программа!A$1:B$5124,2),IF(F1064&gt;0,VLOOKUP(F1064,КВР!A$1:B$5001,2),IF(E1064&gt;0,VLOOKUP(E1064,Направление!A$1:B$4816,2))))))</f>
        <v>Предоставление субсидий бюджетным, автономным учреждениям и иным некоммерческим организациям</v>
      </c>
      <c r="B1064" s="760"/>
      <c r="C1064" s="820"/>
      <c r="D1064" s="760"/>
      <c r="E1064" s="760"/>
      <c r="F1064" s="763">
        <v>600</v>
      </c>
      <c r="G1064" s="812">
        <v>0</v>
      </c>
      <c r="H1064" s="812"/>
      <c r="I1064" s="805">
        <f>G1064+H1064</f>
        <v>0</v>
      </c>
    </row>
    <row r="1065" spans="1:9" s="119" customFormat="1" ht="47.25" x14ac:dyDescent="0.25">
      <c r="A1065" s="826" t="str">
        <f>IF(B1065&gt;0,VLOOKUP(B1065,КВСР!A365:B1530,2),IF(C1065&gt;0,VLOOKUP(C1065,КФСР!A365:B1877,2),IF(D1065&gt;0,VLOOKUP(D1065,Программа!A$1:B$5124,2),IF(F1065&gt;0,VLOOKUP(F1065,КВР!A$1:B$5001,2),IF(E1065&gt;0,VLOOKUP(E1065,Направление!A$1:B$4816,2))))))</f>
        <v>Муниципальная программа "Социальная поддержка населения Тутаевского муниципального района"</v>
      </c>
      <c r="B1065" s="760"/>
      <c r="C1065" s="820"/>
      <c r="D1065" s="760" t="s">
        <v>376</v>
      </c>
      <c r="E1065" s="760"/>
      <c r="F1065" s="763"/>
      <c r="G1065" s="812">
        <v>148000</v>
      </c>
      <c r="H1065" s="812">
        <f t="shared" ref="H1065:I1071" si="240">H1066</f>
        <v>-50</v>
      </c>
      <c r="I1065" s="805">
        <f t="shared" si="240"/>
        <v>147950</v>
      </c>
    </row>
    <row r="1066" spans="1:9" s="119" customFormat="1" ht="47.25" x14ac:dyDescent="0.25">
      <c r="A1066" s="826" t="str">
        <f>IF(B1066&gt;0,VLOOKUP(B1066,КВСР!A366:B1531,2),IF(C1066&gt;0,VLOOKUP(C1066,КФСР!A366:B1878,2),IF(D1066&gt;0,VLOOKUP(D1066,Программа!A$1:B$5124,2),IF(F1066&gt;0,VLOOKUP(F1066,КВР!A$1:B$5001,2),IF(E1066&gt;0,VLOOKUP(E1066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066" s="760"/>
      <c r="C1066" s="820"/>
      <c r="D1066" s="760" t="s">
        <v>378</v>
      </c>
      <c r="E1066" s="760"/>
      <c r="F1066" s="763"/>
      <c r="G1066" s="812">
        <v>148000</v>
      </c>
      <c r="H1066" s="812">
        <f>H1070+H1067+H1073</f>
        <v>-50</v>
      </c>
      <c r="I1066" s="805">
        <f>I1070+I1067+I1073</f>
        <v>147950</v>
      </c>
    </row>
    <row r="1067" spans="1:9" s="119" customFormat="1" ht="63" hidden="1" x14ac:dyDescent="0.25">
      <c r="A1067" s="826" t="str">
        <f>IF(B1067&gt;0,VLOOKUP(B1067,КВСР!A367:B1532,2),IF(C1067&gt;0,VLOOKUP(C1067,КФСР!A367:B1879,2),IF(D1067&gt;0,VLOOKUP(D1067,Программа!A$1:B$5124,2),IF(F1067&gt;0,VLOOKUP(F1067,КВР!A$1:B$5001,2),IF(E1067&gt;0,VLOOKUP(E1067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67" s="760"/>
      <c r="C1067" s="820"/>
      <c r="D1067" s="760" t="s">
        <v>379</v>
      </c>
      <c r="E1067" s="760"/>
      <c r="F1067" s="763"/>
      <c r="G1067" s="812">
        <v>0</v>
      </c>
      <c r="H1067" s="812">
        <f>H1068</f>
        <v>0</v>
      </c>
      <c r="I1067" s="805">
        <f t="shared" si="223"/>
        <v>0</v>
      </c>
    </row>
    <row r="1068" spans="1:9" s="119" customFormat="1" ht="31.5" hidden="1" x14ac:dyDescent="0.25">
      <c r="A1068" s="826" t="str">
        <f>IF(B1068&gt;0,VLOOKUP(B1068,КВСР!A368:B1533,2),IF(C1068&gt;0,VLOOKUP(C1068,КФСР!A368:B1880,2),IF(D1068&gt;0,VLOOKUP(D1068,Программа!A$1:B$5124,2),IF(F1068&gt;0,VLOOKUP(F1068,КВР!A$1:B$5001,2),IF(E1068&gt;0,VLOOKUP(E1068,Направление!A$1:B$4816,2))))))</f>
        <v>Расходы на реализацию мероприятий по улучшению условий и охраны труда</v>
      </c>
      <c r="B1068" s="760"/>
      <c r="C1068" s="820"/>
      <c r="D1068" s="760"/>
      <c r="E1068" s="760">
        <v>16150</v>
      </c>
      <c r="F1068" s="763"/>
      <c r="G1068" s="812">
        <v>0</v>
      </c>
      <c r="H1068" s="812">
        <f>H1069</f>
        <v>0</v>
      </c>
      <c r="I1068" s="805">
        <f t="shared" si="223"/>
        <v>0</v>
      </c>
    </row>
    <row r="1069" spans="1:9" s="119" customFormat="1" ht="47.25" hidden="1" x14ac:dyDescent="0.25">
      <c r="A1069" s="826" t="str">
        <f>IF(B1069&gt;0,VLOOKUP(B1069,КВСР!A369:B1534,2),IF(C1069&gt;0,VLOOKUP(C1069,КФСР!A369:B1881,2),IF(D1069&gt;0,VLOOKUP(D1069,Программа!A$1:B$5124,2),IF(F1069&gt;0,VLOOKUP(F1069,КВР!A$1:B$5001,2),IF(E1069&gt;0,VLOOKUP(E1069,Направление!A$1:B$4816,2))))))</f>
        <v>Предоставление субсидий бюджетным, автономным учреждениям и иным некоммерческим организациям</v>
      </c>
      <c r="B1069" s="760"/>
      <c r="C1069" s="820"/>
      <c r="D1069" s="760"/>
      <c r="E1069" s="760"/>
      <c r="F1069" s="763">
        <v>600</v>
      </c>
      <c r="G1069" s="812">
        <v>0</v>
      </c>
      <c r="H1069" s="812"/>
      <c r="I1069" s="805">
        <f t="shared" si="223"/>
        <v>0</v>
      </c>
    </row>
    <row r="1070" spans="1:9" s="119" customFormat="1" ht="63" x14ac:dyDescent="0.25">
      <c r="A1070" s="826" t="str">
        <f>IF(B1070&gt;0,VLOOKUP(B1070,КВСР!A366:B1531,2),IF(C1070&gt;0,VLOOKUP(C1070,КФСР!A366:B1878,2),IF(D1070&gt;0,VLOOKUP(D1070,Программа!A$1:B$5124,2),IF(F1070&gt;0,VLOOKUP(F1070,КВР!A$1:B$5001,2),IF(E1070&gt;0,VLOOKUP(E1070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070" s="760"/>
      <c r="C1070" s="820"/>
      <c r="D1070" s="760" t="s">
        <v>1341</v>
      </c>
      <c r="E1070" s="760"/>
      <c r="F1070" s="763"/>
      <c r="G1070" s="812">
        <v>128000</v>
      </c>
      <c r="H1070" s="812">
        <f t="shared" si="240"/>
        <v>0</v>
      </c>
      <c r="I1070" s="805">
        <f t="shared" si="240"/>
        <v>128000</v>
      </c>
    </row>
    <row r="1071" spans="1:9" s="119" customFormat="1" ht="31.5" x14ac:dyDescent="0.25">
      <c r="A1071" s="826" t="str">
        <f>IF(B1071&gt;0,VLOOKUP(B1071,КВСР!A367:B1532,2),IF(C1071&gt;0,VLOOKUP(C1071,КФСР!A367:B1879,2),IF(D1071&gt;0,VLOOKUP(D1071,Программа!A$1:B$5124,2),IF(F1071&gt;0,VLOOKUP(F1071,КВР!A$1:B$5001,2),IF(E1071&gt;0,VLOOKUP(E1071,Направление!A$1:B$4816,2))))))</f>
        <v>Расходы на реализацию мероприятий по улучшению условий и охраны труда</v>
      </c>
      <c r="B1071" s="760"/>
      <c r="C1071" s="820"/>
      <c r="D1071" s="760"/>
      <c r="E1071" s="760">
        <v>16150</v>
      </c>
      <c r="F1071" s="763"/>
      <c r="G1071" s="812">
        <v>128000</v>
      </c>
      <c r="H1071" s="812">
        <f t="shared" si="240"/>
        <v>0</v>
      </c>
      <c r="I1071" s="805">
        <f t="shared" si="240"/>
        <v>128000</v>
      </c>
    </row>
    <row r="1072" spans="1:9" s="119" customFormat="1" ht="47.25" x14ac:dyDescent="0.25">
      <c r="A1072" s="826" t="str">
        <f>IF(B1072&gt;0,VLOOKUP(B1072,КВСР!A368:B1533,2),IF(C1072&gt;0,VLOOKUP(C1072,КФСР!A368:B1880,2),IF(D1072&gt;0,VLOOKUP(D1072,Программа!A$1:B$5124,2),IF(F1072&gt;0,VLOOKUP(F1072,КВР!A$1:B$5001,2),IF(E1072&gt;0,VLOOKUP(E1072,Направление!A$1:B$4816,2))))))</f>
        <v>Предоставление субсидий бюджетным, автономным учреждениям и иным некоммерческим организациям</v>
      </c>
      <c r="B1072" s="760"/>
      <c r="C1072" s="820"/>
      <c r="D1072" s="760"/>
      <c r="E1072" s="760"/>
      <c r="F1072" s="763">
        <v>600</v>
      </c>
      <c r="G1072" s="812">
        <v>128000</v>
      </c>
      <c r="H1072" s="812"/>
      <c r="I1072" s="805">
        <f t="shared" si="223"/>
        <v>128000</v>
      </c>
    </row>
    <row r="1073" spans="1:9" s="119" customFormat="1" ht="47.25" x14ac:dyDescent="0.25">
      <c r="A1073" s="826" t="str">
        <f>IF(B1073&gt;0,VLOOKUP(B1073,КВСР!A369:B1534,2),IF(C1073&gt;0,VLOOKUP(C1073,КФСР!A369:B1881,2),IF(D1073&gt;0,VLOOKUP(D1073,Программа!A$1:B$5124,2),IF(F1073&gt;0,VLOOKUP(F1073,КВР!A$1:B$5001,2),IF(E1073&gt;0,VLOOKUP(E1073,Направление!A$1:B$4816,2))))))</f>
        <v>Обучение по охране труда работников организаций Тутаевского муниципального района</v>
      </c>
      <c r="B1073" s="760"/>
      <c r="C1073" s="820"/>
      <c r="D1073" s="760" t="s">
        <v>1036</v>
      </c>
      <c r="E1073" s="760"/>
      <c r="F1073" s="763"/>
      <c r="G1073" s="812">
        <v>20000</v>
      </c>
      <c r="H1073" s="812">
        <f>H1074</f>
        <v>-50</v>
      </c>
      <c r="I1073" s="805">
        <f>I1074</f>
        <v>19950</v>
      </c>
    </row>
    <row r="1074" spans="1:9" s="119" customFormat="1" ht="31.5" x14ac:dyDescent="0.25">
      <c r="A1074" s="826" t="str">
        <f>IF(B1074&gt;0,VLOOKUP(B1074,КВСР!A370:B1535,2),IF(C1074&gt;0,VLOOKUP(C1074,КФСР!A370:B1882,2),IF(D1074&gt;0,VLOOKUP(D1074,Программа!A$1:B$5124,2),IF(F1074&gt;0,VLOOKUP(F1074,КВР!A$1:B$5001,2),IF(E1074&gt;0,VLOOKUP(E1074,Направление!A$1:B$4816,2))))))</f>
        <v>Расходы на реализацию мероприятий по улучшению условий и охраны труда</v>
      </c>
      <c r="B1074" s="760"/>
      <c r="C1074" s="820"/>
      <c r="D1074" s="760"/>
      <c r="E1074" s="760">
        <v>16150</v>
      </c>
      <c r="F1074" s="763"/>
      <c r="G1074" s="812">
        <v>20000</v>
      </c>
      <c r="H1074" s="812">
        <f>H1075</f>
        <v>-50</v>
      </c>
      <c r="I1074" s="805">
        <f>I1075</f>
        <v>19950</v>
      </c>
    </row>
    <row r="1075" spans="1:9" s="119" customFormat="1" ht="47.25" x14ac:dyDescent="0.25">
      <c r="A1075" s="826" t="str">
        <f>IF(B1075&gt;0,VLOOKUP(B1075,КВСР!A371:B1536,2),IF(C1075&gt;0,VLOOKUP(C1075,КФСР!A371:B1883,2),IF(D1075&gt;0,VLOOKUP(D1075,Программа!A$1:B$5124,2),IF(F1075&gt;0,VLOOKUP(F1075,КВР!A$1:B$5001,2),IF(E1075&gt;0,VLOOKUP(E1075,Направление!A$1:B$4816,2))))))</f>
        <v>Предоставление субсидий бюджетным, автономным учреждениям и иным некоммерческим организациям</v>
      </c>
      <c r="B1075" s="760"/>
      <c r="C1075" s="820"/>
      <c r="D1075" s="760"/>
      <c r="E1075" s="760"/>
      <c r="F1075" s="763">
        <v>600</v>
      </c>
      <c r="G1075" s="812">
        <v>20000</v>
      </c>
      <c r="H1075" s="812">
        <v>-50</v>
      </c>
      <c r="I1075" s="805">
        <f t="shared" ref="I1075" si="241">SUM(G1075:H1075)</f>
        <v>19950</v>
      </c>
    </row>
    <row r="1076" spans="1:9" s="119" customFormat="1" x14ac:dyDescent="0.25">
      <c r="A1076" s="826" t="str">
        <f>IF(B1076&gt;0,VLOOKUP(B1076,КВСР!A362:B1527,2),IF(C1076&gt;0,VLOOKUP(C1076,КФСР!A362:B1874,2),IF(D1076&gt;0,VLOOKUP(D1076,Программа!A$1:B$5124,2),IF(F1076&gt;0,VLOOKUP(F1076,КВР!A$1:B$5001,2),IF(E1076&gt;0,VLOOKUP(E1076,Направление!A$1:B$4816,2))))))</f>
        <v>Молодежная политика</v>
      </c>
      <c r="B1076" s="760"/>
      <c r="C1076" s="827">
        <v>707</v>
      </c>
      <c r="D1076" s="760"/>
      <c r="E1076" s="760"/>
      <c r="F1076" s="763"/>
      <c r="G1076" s="812">
        <v>16665551</v>
      </c>
      <c r="H1076" s="812">
        <f>H1077+H1111</f>
        <v>50000</v>
      </c>
      <c r="I1076" s="805">
        <f>I1077+I1111</f>
        <v>16715551</v>
      </c>
    </row>
    <row r="1077" spans="1:9" s="119" customFormat="1" ht="63" x14ac:dyDescent="0.25">
      <c r="A1077" s="826" t="str">
        <f>IF(B1077&gt;0,VLOOKUP(B1077,КВСР!A363:B1528,2),IF(C1077&gt;0,VLOOKUP(C1077,КФСР!A363:B1875,2),IF(D1077&gt;0,VLOOKUP(D1077,Программа!A$1:B$5124,2),IF(F1077&gt;0,VLOOKUP(F1077,КВР!A$1:B$5001,2),IF(E1077&gt;0,VLOOKUP(E1077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77" s="760"/>
      <c r="C1077" s="820"/>
      <c r="D1077" s="760" t="s">
        <v>396</v>
      </c>
      <c r="E1077" s="760"/>
      <c r="F1077" s="763"/>
      <c r="G1077" s="812">
        <v>16665551</v>
      </c>
      <c r="H1077" s="812">
        <f>H1078+H1101+H1107</f>
        <v>50000</v>
      </c>
      <c r="I1077" s="805">
        <f>I1078+I1101+I1107</f>
        <v>16715551</v>
      </c>
    </row>
    <row r="1078" spans="1:9" s="119" customFormat="1" ht="31.5" x14ac:dyDescent="0.25">
      <c r="A1078" s="826" t="str">
        <f>IF(B1078&gt;0,VLOOKUP(B1078,КВСР!A364:B1529,2),IF(C1078&gt;0,VLOOKUP(C1078,КФСР!A364:B1876,2),IF(D1078&gt;0,VLOOKUP(D1078,Программа!A$1:B$5124,2),IF(F1078&gt;0,VLOOKUP(F1078,КВР!A$1:B$5001,2),IF(E1078&gt;0,VLOOKUP(E1078,Направление!A$1:B$4816,2))))))</f>
        <v>Ведомственная целевая программа «Молодежь»</v>
      </c>
      <c r="B1078" s="760"/>
      <c r="C1078" s="820"/>
      <c r="D1078" s="760" t="s">
        <v>499</v>
      </c>
      <c r="E1078" s="760"/>
      <c r="F1078" s="763"/>
      <c r="G1078" s="812">
        <v>16248078</v>
      </c>
      <c r="H1078" s="812">
        <f>H1079+H1096</f>
        <v>0</v>
      </c>
      <c r="I1078" s="805">
        <f>I1079+I1096</f>
        <v>16248078</v>
      </c>
    </row>
    <row r="1079" spans="1:9" s="119" customFormat="1" ht="63" x14ac:dyDescent="0.25">
      <c r="A1079" s="826" t="str">
        <f>IF(B1079&gt;0,VLOOKUP(B1079,КВСР!A364:B1529,2),IF(C1079&gt;0,VLOOKUP(C1079,КФСР!A364:B1876,2),IF(D1079&gt;0,VLOOKUP(D1079,Программа!A$1:B$5124,2),IF(F1079&gt;0,VLOOKUP(F1079,КВР!A$1:B$5001,2),IF(E1079&gt;0,VLOOKUP(E1079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79" s="760"/>
      <c r="C1079" s="820"/>
      <c r="D1079" s="760" t="s">
        <v>501</v>
      </c>
      <c r="E1079" s="760"/>
      <c r="F1079" s="763"/>
      <c r="G1079" s="812">
        <v>16158078</v>
      </c>
      <c r="H1079" s="812">
        <f>H1080+H1082+H1092+H1088+H1090+H1094+H1084+H1086</f>
        <v>0</v>
      </c>
      <c r="I1079" s="805">
        <f>I1080+I1082+I1092+I1088+I1090+I1094+I1084+I1086</f>
        <v>16158078</v>
      </c>
    </row>
    <row r="1080" spans="1:9" s="119" customFormat="1" ht="47.25" x14ac:dyDescent="0.25">
      <c r="A1080" s="826" t="str">
        <f>IF(B1080&gt;0,VLOOKUP(B1080,КВСР!A365:B1530,2),IF(C1080&gt;0,VLOOKUP(C1080,КФСР!A365:B1877,2),IF(D1080&gt;0,VLOOKUP(D1080,Программа!A$1:B$5124,2),IF(F1080&gt;0,VLOOKUP(F1080,КВР!A$1:B$5001,2),IF(E1080&gt;0,VLOOKUP(E1080,Направление!A$1:B$4816,2))))))</f>
        <v>Расходы на осуществление деятельности в сфере молодежной политики социальными учреждениями молодежи</v>
      </c>
      <c r="B1080" s="760"/>
      <c r="C1080" s="820"/>
      <c r="D1080" s="760"/>
      <c r="E1080" s="760">
        <v>10650</v>
      </c>
      <c r="F1080" s="763"/>
      <c r="G1080" s="812">
        <v>2215744</v>
      </c>
      <c r="H1080" s="812">
        <f>H1081</f>
        <v>0</v>
      </c>
      <c r="I1080" s="805">
        <f t="shared" si="223"/>
        <v>2215744</v>
      </c>
    </row>
    <row r="1081" spans="1:9" s="119" customFormat="1" ht="47.25" x14ac:dyDescent="0.25">
      <c r="A1081" s="826" t="str">
        <f>IF(B1081&gt;0,VLOOKUP(B1081,КВСР!A366:B1531,2),IF(C1081&gt;0,VLOOKUP(C1081,КФСР!A366:B1878,2),IF(D1081&gt;0,VLOOKUP(D1081,Программа!A$1:B$5124,2),IF(F1081&gt;0,VLOOKUP(F1081,КВР!A$1:B$5001,2),IF(E1081&gt;0,VLOOKUP(E1081,Направление!A$1:B$4816,2))))))</f>
        <v>Предоставление субсидий бюджетным, автономным учреждениям и иным некоммерческим организациям</v>
      </c>
      <c r="B1081" s="760"/>
      <c r="C1081" s="820"/>
      <c r="D1081" s="760"/>
      <c r="E1081" s="760"/>
      <c r="F1081" s="763">
        <v>600</v>
      </c>
      <c r="G1081" s="812">
        <v>2215744</v>
      </c>
      <c r="H1081" s="812"/>
      <c r="I1081" s="805">
        <f t="shared" si="223"/>
        <v>2215744</v>
      </c>
    </row>
    <row r="1082" spans="1:9" s="119" customFormat="1" ht="31.5" x14ac:dyDescent="0.25">
      <c r="A1082" s="826" t="str">
        <f>IF(B1082&gt;0,VLOOKUP(B1082,КВСР!A367:B1532,2),IF(C1082&gt;0,VLOOKUP(C1082,КФСР!A367:B1879,2),IF(D1082&gt;0,VLOOKUP(D1082,Программа!A$1:B$5124,2),IF(F1082&gt;0,VLOOKUP(F1082,КВР!A$1:B$5001,2),IF(E1082&gt;0,VLOOKUP(E1082,Направление!A$1:B$4816,2))))))</f>
        <v xml:space="preserve">Обеспечение деятельности учреждений в сфере молодежной политики </v>
      </c>
      <c r="B1082" s="760"/>
      <c r="C1082" s="820"/>
      <c r="D1082" s="760"/>
      <c r="E1082" s="760">
        <v>14510</v>
      </c>
      <c r="F1082" s="763"/>
      <c r="G1082" s="812">
        <v>9974636.3900000006</v>
      </c>
      <c r="H1082" s="812">
        <f>H1083</f>
        <v>0</v>
      </c>
      <c r="I1082" s="805">
        <f>I1083</f>
        <v>9974636.3900000006</v>
      </c>
    </row>
    <row r="1083" spans="1:9" s="119" customFormat="1" ht="47.25" x14ac:dyDescent="0.25">
      <c r="A1083" s="826" t="str">
        <f>IF(B1083&gt;0,VLOOKUP(B1083,КВСР!A368:B1533,2),IF(C1083&gt;0,VLOOKUP(C1083,КФСР!A368:B1880,2),IF(D1083&gt;0,VLOOKUP(D1083,Программа!A$1:B$5124,2),IF(F1083&gt;0,VLOOKUP(F1083,КВР!A$1:B$5001,2),IF(E1083&gt;0,VLOOKUP(E1083,Направление!A$1:B$4816,2))))))</f>
        <v>Предоставление субсидий бюджетным, автономным учреждениям и иным некоммерческим организациям</v>
      </c>
      <c r="B1083" s="760"/>
      <c r="C1083" s="820"/>
      <c r="D1083" s="760"/>
      <c r="E1083" s="760"/>
      <c r="F1083" s="763">
        <v>600</v>
      </c>
      <c r="G1083" s="812">
        <v>9974636.3900000006</v>
      </c>
      <c r="H1083" s="812"/>
      <c r="I1083" s="805">
        <f t="shared" si="223"/>
        <v>9974636.3900000006</v>
      </c>
    </row>
    <row r="1084" spans="1:9" s="119" customFormat="1" ht="47.25" x14ac:dyDescent="0.25">
      <c r="A1084" s="826" t="str">
        <f>IF(B1084&gt;0,VLOOKUP(B1084,КВСР!A369:B1534,2),IF(C1084&gt;0,VLOOKUP(C1084,КФСР!A369:B1881,2),IF(D1084&gt;0,VLOOKUP(D1084,Программа!A$1:B$5124,2),IF(F1084&gt;0,VLOOKUP(F1084,КВР!A$1:B$5001,2),IF(E1084&gt;0,VLOOKUP(E1084,Направление!A$1:B$4816,2))))))</f>
        <v>Расходы на реализацию мероприятий инициативного бюджетирования на территории Ярославской области</v>
      </c>
      <c r="B1084" s="760"/>
      <c r="C1084" s="820"/>
      <c r="D1084" s="760"/>
      <c r="E1084" s="760">
        <v>15350</v>
      </c>
      <c r="F1084" s="763"/>
      <c r="G1084" s="812">
        <v>723833.61</v>
      </c>
      <c r="H1084" s="812">
        <f>H1085</f>
        <v>0</v>
      </c>
      <c r="I1084" s="805">
        <f>I1085</f>
        <v>723833.61</v>
      </c>
    </row>
    <row r="1085" spans="1:9" s="119" customFormat="1" ht="47.25" x14ac:dyDescent="0.25">
      <c r="A1085" s="826" t="str">
        <f>IF(B1085&gt;0,VLOOKUP(B1085,КВСР!A370:B1535,2),IF(C1085&gt;0,VLOOKUP(C1085,КФСР!A370:B1882,2),IF(D1085&gt;0,VLOOKUP(D1085,Программа!A$1:B$5124,2),IF(F1085&gt;0,VLOOKUP(F1085,КВР!A$1:B$5001,2),IF(E1085&gt;0,VLOOKUP(E1085,Направление!A$1:B$4816,2))))))</f>
        <v>Предоставление субсидий бюджетным, автономным учреждениям и иным некоммерческим организациям</v>
      </c>
      <c r="B1085" s="760"/>
      <c r="C1085" s="820"/>
      <c r="D1085" s="760"/>
      <c r="E1085" s="760"/>
      <c r="F1085" s="763">
        <v>600</v>
      </c>
      <c r="G1085" s="812">
        <v>723833.61</v>
      </c>
      <c r="H1085" s="812"/>
      <c r="I1085" s="805">
        <f t="shared" si="223"/>
        <v>723833.61</v>
      </c>
    </row>
    <row r="1086" spans="1:9" s="119" customFormat="1" ht="63" customHeight="1" x14ac:dyDescent="0.25">
      <c r="A1086" s="826" t="str">
        <f>IF(B1086&gt;0,VLOOKUP(B1086,КВСР!A371:B1536,2),IF(C1086&gt;0,VLOOKUP(C1086,КФСР!A371:B1883,2),IF(D1086&gt;0,VLOOKUP(D1086,Программа!A$1:B$5124,2),IF(F1086&gt;0,VLOOKUP(F1086,КВР!A$1:B$5001,2),IF(E1086&gt;0,VLOOKUP(E1086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86" s="760"/>
      <c r="C1086" s="820"/>
      <c r="D1086" s="760"/>
      <c r="E1086" s="760">
        <v>55490</v>
      </c>
      <c r="F1086" s="763"/>
      <c r="G1086" s="812">
        <v>78120</v>
      </c>
      <c r="H1086" s="812">
        <f t="shared" ref="H1086:I1086" si="242">H1087</f>
        <v>0</v>
      </c>
      <c r="I1086" s="805">
        <f t="shared" si="242"/>
        <v>78120</v>
      </c>
    </row>
    <row r="1087" spans="1:9" s="119" customFormat="1" ht="47.25" x14ac:dyDescent="0.25">
      <c r="A1087" s="826" t="str">
        <f>IF(B1087&gt;0,VLOOKUP(B1087,КВСР!A372:B1537,2),IF(C1087&gt;0,VLOOKUP(C1087,КФСР!A372:B1884,2),IF(D1087&gt;0,VLOOKUP(D1087,Программа!A$1:B$5124,2),IF(F1087&gt;0,VLOOKUP(F1087,КВР!A$1:B$5001,2),IF(E1087&gt;0,VLOOKUP(E1087,Направление!A$1:B$4816,2))))))</f>
        <v>Предоставление субсидий бюджетным, автономным учреждениям и иным некоммерческим организациям</v>
      </c>
      <c r="B1087" s="760"/>
      <c r="C1087" s="820"/>
      <c r="D1087" s="760"/>
      <c r="E1087" s="760"/>
      <c r="F1087" s="763">
        <v>600</v>
      </c>
      <c r="G1087" s="812">
        <v>78120</v>
      </c>
      <c r="H1087" s="812"/>
      <c r="I1087" s="805">
        <f>SUM(G1087:H1087)</f>
        <v>78120</v>
      </c>
    </row>
    <row r="1088" spans="1:9" s="119" customFormat="1" ht="63" x14ac:dyDescent="0.25">
      <c r="A1088" s="826" t="str">
        <f>IF(B1088&gt;0,VLOOKUP(B1088,КВСР!A371:B1536,2),IF(C1088&gt;0,VLOOKUP(C1088,КФСР!A371:B1883,2),IF(D1088&gt;0,VLOOKUP(D1088,Программа!A$1:B$5124,2),IF(F1088&gt;0,VLOOKUP(F1088,КВР!A$1:B$5001,2),IF(E1088&gt;0,VLOOKUP(E1088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88" s="760"/>
      <c r="C1088" s="820"/>
      <c r="D1088" s="760"/>
      <c r="E1088" s="760">
        <v>70650</v>
      </c>
      <c r="F1088" s="763"/>
      <c r="G1088" s="812">
        <v>2215744</v>
      </c>
      <c r="H1088" s="812">
        <f>H1089</f>
        <v>0</v>
      </c>
      <c r="I1088" s="805">
        <f t="shared" si="223"/>
        <v>2215744</v>
      </c>
    </row>
    <row r="1089" spans="1:9" s="119" customFormat="1" ht="47.25" x14ac:dyDescent="0.25">
      <c r="A1089" s="826" t="str">
        <f>IF(B1089&gt;0,VLOOKUP(B1089,КВСР!A372:B1537,2),IF(C1089&gt;0,VLOOKUP(C1089,КФСР!A372:B1884,2),IF(D1089&gt;0,VLOOKUP(D1089,Программа!A$1:B$5124,2),IF(F1089&gt;0,VLOOKUP(F1089,КВР!A$1:B$5001,2),IF(E1089&gt;0,VLOOKUP(E1089,Направление!A$1:B$4816,2))))))</f>
        <v>Предоставление субсидий бюджетным, автономным учреждениям и иным некоммерческим организациям</v>
      </c>
      <c r="B1089" s="760"/>
      <c r="C1089" s="820"/>
      <c r="D1089" s="760"/>
      <c r="E1089" s="760"/>
      <c r="F1089" s="763">
        <v>600</v>
      </c>
      <c r="G1089" s="812">
        <v>2215744</v>
      </c>
      <c r="H1089" s="812"/>
      <c r="I1089" s="805">
        <f t="shared" si="223"/>
        <v>2215744</v>
      </c>
    </row>
    <row r="1090" spans="1:9" s="119" customFormat="1" hidden="1" x14ac:dyDescent="0.25">
      <c r="A1090" s="826" t="str">
        <f>IF(B1090&gt;0,VLOOKUP(B1090,КВСР!A373:B1538,2),IF(C1090&gt;0,VLOOKUP(C1090,КФСР!A373:B1885,2),IF(D1090&gt;0,VLOOKUP(D1090,Программа!A$1:B$5124,2),IF(F1090&gt;0,VLOOKUP(F1090,КВР!A$1:B$5001,2),IF(E1090&gt;0,VLOOKUP(E1090,Направление!A$1:B$4816,2))))))</f>
        <v xml:space="preserve">Иная дотация </v>
      </c>
      <c r="B1090" s="760"/>
      <c r="C1090" s="820"/>
      <c r="D1090" s="760"/>
      <c r="E1090" s="760">
        <v>73260</v>
      </c>
      <c r="F1090" s="763"/>
      <c r="G1090" s="812">
        <v>0</v>
      </c>
      <c r="H1090" s="812">
        <f t="shared" ref="H1090:I1090" si="243">H1091</f>
        <v>0</v>
      </c>
      <c r="I1090" s="805">
        <f t="shared" si="243"/>
        <v>0</v>
      </c>
    </row>
    <row r="1091" spans="1:9" s="119" customFormat="1" ht="47.25" hidden="1" x14ac:dyDescent="0.25">
      <c r="A1091" s="826" t="str">
        <f>IF(B1091&gt;0,VLOOKUP(B1091,КВСР!A374:B1539,2),IF(C1091&gt;0,VLOOKUP(C1091,КФСР!A374:B1886,2),IF(D1091&gt;0,VLOOKUP(D1091,Программа!A$1:B$5124,2),IF(F1091&gt;0,VLOOKUP(F1091,КВР!A$1:B$5001,2),IF(E1091&gt;0,VLOOKUP(E1091,Направление!A$1:B$4816,2))))))</f>
        <v>Предоставление субсидий бюджетным, автономным учреждениям и иным некоммерческим организациям</v>
      </c>
      <c r="B1091" s="760"/>
      <c r="C1091" s="820"/>
      <c r="D1091" s="760"/>
      <c r="E1091" s="760"/>
      <c r="F1091" s="763">
        <v>600</v>
      </c>
      <c r="G1091" s="812">
        <v>0</v>
      </c>
      <c r="H1091" s="812"/>
      <c r="I1091" s="805">
        <f>G1091+H1091</f>
        <v>0</v>
      </c>
    </row>
    <row r="1092" spans="1:9" s="119" customFormat="1" ht="47.25" x14ac:dyDescent="0.25">
      <c r="A1092" s="826" t="str">
        <f>IF(B1092&gt;0,VLOOKUP(B1092,КВСР!A375:B1540,2),IF(C1092&gt;0,VLOOKUP(C1092,КФСР!A375:B1887,2),IF(D1092&gt;0,VLOOKUP(D1092,Программа!A$1:B$5124,2),IF(F1092&gt;0,VLOOKUP(F1092,КВР!A$1:B$5001,2),IF(E1092&gt;0,VLOOKUP(E1092,Направление!A$1:B$4816,2))))))</f>
        <v>Расходы на реализацию мероприятий инициативного бюджетирования на территории Ярославской области</v>
      </c>
      <c r="B1092" s="760"/>
      <c r="C1092" s="820"/>
      <c r="D1092" s="760"/>
      <c r="E1092" s="760">
        <v>75350</v>
      </c>
      <c r="F1092" s="763"/>
      <c r="G1092" s="812">
        <v>950000</v>
      </c>
      <c r="H1092" s="812">
        <f>H1093</f>
        <v>0</v>
      </c>
      <c r="I1092" s="805">
        <f t="shared" si="223"/>
        <v>950000</v>
      </c>
    </row>
    <row r="1093" spans="1:9" s="119" customFormat="1" ht="47.25" x14ac:dyDescent="0.25">
      <c r="A1093" s="826" t="str">
        <f>IF(B1093&gt;0,VLOOKUP(B1093,КВСР!A376:B1541,2),IF(C1093&gt;0,VLOOKUP(C1093,КФСР!A376:B1888,2),IF(D1093&gt;0,VLOOKUP(D1093,Программа!A$1:B$5124,2),IF(F1093&gt;0,VLOOKUP(F1093,КВР!A$1:B$5001,2),IF(E1093&gt;0,VLOOKUP(E1093,Направление!A$1:B$4816,2))))))</f>
        <v>Предоставление субсидий бюджетным, автономным учреждениям и иным некоммерческим организациям</v>
      </c>
      <c r="B1093" s="760"/>
      <c r="C1093" s="820"/>
      <c r="D1093" s="760"/>
      <c r="E1093" s="760"/>
      <c r="F1093" s="763">
        <v>600</v>
      </c>
      <c r="G1093" s="812">
        <v>950000</v>
      </c>
      <c r="H1093" s="812"/>
      <c r="I1093" s="805">
        <f t="shared" si="223"/>
        <v>950000</v>
      </c>
    </row>
    <row r="1094" spans="1:9" s="119" customFormat="1" ht="47.25" hidden="1" x14ac:dyDescent="0.25">
      <c r="A1094" s="826" t="str">
        <f>IF(B1094&gt;0,VLOOKUP(B1094,КВСР!A377:B1542,2),IF(C1094&gt;0,VLOOKUP(C1094,КФСР!A377:B1889,2),IF(D1094&gt;0,VLOOKUP(D1094,Программа!A$1:B$5124,2),IF(F1094&gt;0,VLOOKUP(F1094,КВР!A$1:B$5001,2),IF(E1094&gt;0,VLOOKUP(E1094,Направление!A$1:B$4816,2))))))</f>
        <v>Расходы на обеспечение трудоустройства несовершеннолетних граждан на временные рабочие места</v>
      </c>
      <c r="B1094" s="760"/>
      <c r="C1094" s="820"/>
      <c r="D1094" s="760"/>
      <c r="E1094" s="760">
        <v>76150</v>
      </c>
      <c r="F1094" s="763"/>
      <c r="G1094" s="812">
        <v>0</v>
      </c>
      <c r="H1094" s="812">
        <f t="shared" ref="H1094:I1094" si="244">H1095</f>
        <v>0</v>
      </c>
      <c r="I1094" s="805">
        <f t="shared" si="244"/>
        <v>0</v>
      </c>
    </row>
    <row r="1095" spans="1:9" s="119" customFormat="1" ht="47.25" hidden="1" x14ac:dyDescent="0.25">
      <c r="A1095" s="826" t="str">
        <f>IF(B1095&gt;0,VLOOKUP(B1095,КВСР!A378:B1543,2),IF(C1095&gt;0,VLOOKUP(C1095,КФСР!A378:B1890,2),IF(D1095&gt;0,VLOOKUP(D1095,Программа!A$1:B$5124,2),IF(F1095&gt;0,VLOOKUP(F1095,КВР!A$1:B$5001,2),IF(E1095&gt;0,VLOOKUP(E1095,Направление!A$1:B$4816,2))))))</f>
        <v>Предоставление субсидий бюджетным, автономным учреждениям и иным некоммерческим организациям</v>
      </c>
      <c r="B1095" s="760"/>
      <c r="C1095" s="820"/>
      <c r="D1095" s="760"/>
      <c r="E1095" s="760"/>
      <c r="F1095" s="763">
        <v>600</v>
      </c>
      <c r="G1095" s="812">
        <v>0</v>
      </c>
      <c r="H1095" s="812"/>
      <c r="I1095" s="805">
        <f>G1095+H1095</f>
        <v>0</v>
      </c>
    </row>
    <row r="1096" spans="1:9" s="119" customFormat="1" ht="47.25" x14ac:dyDescent="0.25">
      <c r="A1096" s="826" t="str">
        <f>IF(B1096&gt;0,VLOOKUP(B1096,КВСР!A371:B1536,2),IF(C1096&gt;0,VLOOKUP(C1096,КФСР!A371:B1883,2),IF(D1096&gt;0,VLOOKUP(D1096,Программа!A$1:B$5124,2),IF(F1096&gt;0,VLOOKUP(F1096,КВР!A$1:B$5001,2),IF(E1096&gt;0,VLOOKUP(E1096,Направление!A$1:B$4816,2))))))</f>
        <v>Обеспечение качества и доступности услуг(работ) в сфере молодежной политики</v>
      </c>
      <c r="B1096" s="760"/>
      <c r="C1096" s="820"/>
      <c r="D1096" s="760" t="s">
        <v>1091</v>
      </c>
      <c r="E1096" s="760"/>
      <c r="F1096" s="763"/>
      <c r="G1096" s="812">
        <v>90000</v>
      </c>
      <c r="H1096" s="812">
        <f>H1097+H1099</f>
        <v>0</v>
      </c>
      <c r="I1096" s="805">
        <f>I1097+I1099</f>
        <v>90000</v>
      </c>
    </row>
    <row r="1097" spans="1:9" s="119" customFormat="1" ht="31.5" x14ac:dyDescent="0.25">
      <c r="A1097" s="826" t="str">
        <f>IF(B1097&gt;0,VLOOKUP(B1097,КВСР!A372:B1537,2),IF(C1097&gt;0,VLOOKUP(C1097,КФСР!A372:B1884,2),IF(D1097&gt;0,VLOOKUP(D1097,Программа!A$1:B$5124,2),IF(F1097&gt;0,VLOOKUP(F1097,КВР!A$1:B$5001,2),IF(E1097&gt;0,VLOOKUP(E1097,Направление!A$1:B$4816,2))))))</f>
        <v xml:space="preserve">Выплата ежемесячных разовых стипендий главы </v>
      </c>
      <c r="B1097" s="760"/>
      <c r="C1097" s="820"/>
      <c r="D1097" s="760"/>
      <c r="E1097" s="760">
        <v>12700</v>
      </c>
      <c r="F1097" s="763"/>
      <c r="G1097" s="812">
        <v>90000</v>
      </c>
      <c r="H1097" s="812">
        <f>H1098</f>
        <v>0</v>
      </c>
      <c r="I1097" s="805">
        <f>I1098</f>
        <v>90000</v>
      </c>
    </row>
    <row r="1098" spans="1:9" s="119" customFormat="1" ht="47.25" x14ac:dyDescent="0.25">
      <c r="A1098" s="826" t="str">
        <f>IF(B1098&gt;0,VLOOKUP(B1098,КВСР!A373:B1538,2),IF(C1098&gt;0,VLOOKUP(C1098,КФСР!A373:B1885,2),IF(D1098&gt;0,VLOOKUP(D1098,Программа!A$1:B$5124,2),IF(F1098&gt;0,VLOOKUP(F1098,КВР!A$1:B$5001,2),IF(E1098&gt;0,VLOOKUP(E1098,Направление!A$1:B$4816,2))))))</f>
        <v>Предоставление субсидий бюджетным, автономным учреждениям и иным некоммерческим организациям</v>
      </c>
      <c r="B1098" s="760"/>
      <c r="C1098" s="820"/>
      <c r="D1098" s="760"/>
      <c r="E1098" s="760"/>
      <c r="F1098" s="763">
        <v>600</v>
      </c>
      <c r="G1098" s="812">
        <v>90000</v>
      </c>
      <c r="H1098" s="812"/>
      <c r="I1098" s="805">
        <f t="shared" si="223"/>
        <v>90000</v>
      </c>
    </row>
    <row r="1099" spans="1:9" s="119" customFormat="1" ht="31.5" hidden="1" x14ac:dyDescent="0.25">
      <c r="A1099" s="826" t="str">
        <f>IF(B1099&gt;0,VLOOKUP(B1099,КВСР!A374:B1539,2),IF(C1099&gt;0,VLOOKUP(C1099,КФСР!A374:B1886,2),IF(D1099&gt;0,VLOOKUP(D1099,Программа!A$1:B$5124,2),IF(F1099&gt;0,VLOOKUP(F1099,КВР!A$1:B$5001,2),IF(E1099&gt;0,VLOOKUP(E1099,Направление!A$1:B$4816,2))))))</f>
        <v xml:space="preserve">Обеспечение деятельности учреждений в сфере молодежной политики </v>
      </c>
      <c r="B1099" s="760"/>
      <c r="C1099" s="820"/>
      <c r="D1099" s="760"/>
      <c r="E1099" s="760">
        <v>14510</v>
      </c>
      <c r="F1099" s="763"/>
      <c r="G1099" s="812">
        <v>0</v>
      </c>
      <c r="H1099" s="812">
        <f>H1100</f>
        <v>0</v>
      </c>
      <c r="I1099" s="805">
        <f t="shared" ref="I1099:I1199" si="245">SUM(G1099:H1099)</f>
        <v>0</v>
      </c>
    </row>
    <row r="1100" spans="1:9" s="119" customFormat="1" ht="47.25" hidden="1" x14ac:dyDescent="0.25">
      <c r="A1100" s="826" t="str">
        <f>IF(B1100&gt;0,VLOOKUP(B1100,КВСР!A374:B1539,2),IF(C1100&gt;0,VLOOKUP(C1100,КФСР!A374:B1886,2),IF(D1100&gt;0,VLOOKUP(D1100,Программа!A$1:B$5124,2),IF(F1100&gt;0,VLOOKUP(F1100,КВР!A$1:B$5001,2),IF(E1100&gt;0,VLOOKUP(E1100,Направление!A$1:B$4816,2))))))</f>
        <v>Предоставление субсидий бюджетным, автономным учреждениям и иным некоммерческим организациям</v>
      </c>
      <c r="B1100" s="760"/>
      <c r="C1100" s="820"/>
      <c r="D1100" s="760"/>
      <c r="E1100" s="760"/>
      <c r="F1100" s="763">
        <v>600</v>
      </c>
      <c r="G1100" s="812">
        <v>0</v>
      </c>
      <c r="H1100" s="812"/>
      <c r="I1100" s="805">
        <f t="shared" si="245"/>
        <v>0</v>
      </c>
    </row>
    <row r="1101" spans="1:9" s="119" customFormat="1" ht="94.5" x14ac:dyDescent="0.25">
      <c r="A1101" s="826" t="str">
        <f>IF(B1101&gt;0,VLOOKUP(B1101,КВСР!A371:B1536,2),IF(C1101&gt;0,VLOOKUP(C1101,КФСР!A371:B1883,2),IF(D1101&gt;0,VLOOKUP(D1101,Программа!A$1:B$5124,2),IF(F1101&gt;0,VLOOKUP(F1101,КВР!A$1:B$5001,2),IF(E1101&gt;0,VLOOKUP(E1101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01" s="760"/>
      <c r="C1101" s="820"/>
      <c r="D1101" s="760" t="s">
        <v>398</v>
      </c>
      <c r="E1101" s="760"/>
      <c r="F1101" s="763"/>
      <c r="G1101" s="812">
        <v>287473</v>
      </c>
      <c r="H1101" s="812">
        <f t="shared" ref="H1101:I1103" si="246">H1102</f>
        <v>50000</v>
      </c>
      <c r="I1101" s="805">
        <f t="shared" si="246"/>
        <v>337473</v>
      </c>
    </row>
    <row r="1102" spans="1:9" s="119" customFormat="1" ht="78.75" x14ac:dyDescent="0.25">
      <c r="A1102" s="826" t="str">
        <f>IF(B1102&gt;0,VLOOKUP(B1102,КВСР!A372:B1537,2),IF(C1102&gt;0,VLOOKUP(C1102,КФСР!A372:B1884,2),IF(D1102&gt;0,VLOOKUP(D1102,Программа!A$1:B$5124,2),IF(F1102&gt;0,VLOOKUP(F1102,КВР!A$1:B$5001,2),IF(E1102&gt;0,VLOOKUP(E1102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2" s="760"/>
      <c r="C1102" s="820"/>
      <c r="D1102" s="760" t="s">
        <v>400</v>
      </c>
      <c r="E1102" s="760"/>
      <c r="F1102" s="763"/>
      <c r="G1102" s="812">
        <v>287473</v>
      </c>
      <c r="H1102" s="812">
        <f t="shared" ref="H1102" si="247">H1103+H1105</f>
        <v>50000</v>
      </c>
      <c r="I1102" s="805">
        <f t="shared" ref="I1102" si="248">I1103+I1105</f>
        <v>337473</v>
      </c>
    </row>
    <row r="1103" spans="1:9" s="119" customFormat="1" ht="31.5" x14ac:dyDescent="0.25">
      <c r="A1103" s="826" t="str">
        <f>IF(B1103&gt;0,VLOOKUP(B1103,КВСР!A374:B1539,2),IF(C1103&gt;0,VLOOKUP(C1103,КФСР!A374:B1886,2),IF(D1103&gt;0,VLOOKUP(D1103,Программа!A$1:B$5124,2),IF(F1103&gt;0,VLOOKUP(F1103,КВР!A$1:B$5001,2),IF(E1103&gt;0,VLOOKUP(E1103,Направление!A$1:B$4816,2))))))</f>
        <v>Мероприятия по патриотическому воспитанию граждан</v>
      </c>
      <c r="B1103" s="760"/>
      <c r="C1103" s="820"/>
      <c r="D1103" s="760"/>
      <c r="E1103" s="760">
        <v>14880</v>
      </c>
      <c r="F1103" s="763"/>
      <c r="G1103" s="812">
        <v>257000</v>
      </c>
      <c r="H1103" s="812">
        <f t="shared" si="246"/>
        <v>50000</v>
      </c>
      <c r="I1103" s="805">
        <f t="shared" si="246"/>
        <v>307000</v>
      </c>
    </row>
    <row r="1104" spans="1:9" s="119" customFormat="1" ht="47.25" x14ac:dyDescent="0.25">
      <c r="A1104" s="826" t="str">
        <f>IF(B1104&gt;0,VLOOKUP(B1104,КВСР!A375:B1540,2),IF(C1104&gt;0,VLOOKUP(C1104,КФСР!A375:B1887,2),IF(D1104&gt;0,VLOOKUP(D1104,Программа!A$1:B$5124,2),IF(F1104&gt;0,VLOOKUP(F1104,КВР!A$1:B$5001,2),IF(E1104&gt;0,VLOOKUP(E1104,Направление!A$1:B$4816,2))))))</f>
        <v>Предоставление субсидий бюджетным, автономным учреждениям и иным некоммерческим организациям</v>
      </c>
      <c r="B1104" s="760"/>
      <c r="C1104" s="820"/>
      <c r="D1104" s="760"/>
      <c r="E1104" s="760"/>
      <c r="F1104" s="763">
        <v>600</v>
      </c>
      <c r="G1104" s="812">
        <v>257000</v>
      </c>
      <c r="H1104" s="812">
        <v>50000</v>
      </c>
      <c r="I1104" s="805">
        <f t="shared" si="245"/>
        <v>307000</v>
      </c>
    </row>
    <row r="1105" spans="1:9" s="119" customFormat="1" ht="31.5" x14ac:dyDescent="0.25">
      <c r="A1105" s="826" t="str">
        <f>IF(B1105&gt;0,VLOOKUP(B1105,КВСР!A376:B1541,2),IF(C1105&gt;0,VLOOKUP(C1105,КФСР!A376:B1888,2),IF(D1105&gt;0,VLOOKUP(D1105,Программа!A$1:B$5124,2),IF(F1105&gt;0,VLOOKUP(F1105,КВР!A$1:B$5001,2),IF(E1105&gt;0,VLOOKUP(E1105,Направление!A$1:B$4816,2))))))</f>
        <v>Мероприятия по патриотическому воспитанию граждан</v>
      </c>
      <c r="B1105" s="760"/>
      <c r="C1105" s="820"/>
      <c r="D1105" s="760"/>
      <c r="E1105" s="760">
        <v>74880</v>
      </c>
      <c r="F1105" s="763"/>
      <c r="G1105" s="812">
        <v>30473</v>
      </c>
      <c r="H1105" s="812">
        <f t="shared" ref="H1105:I1105" si="249">H1106</f>
        <v>0</v>
      </c>
      <c r="I1105" s="805">
        <f t="shared" si="249"/>
        <v>30473</v>
      </c>
    </row>
    <row r="1106" spans="1:9" s="119" customFormat="1" ht="47.25" x14ac:dyDescent="0.25">
      <c r="A1106" s="826" t="str">
        <f>IF(B1106&gt;0,VLOOKUP(B1106,КВСР!A377:B1542,2),IF(C1106&gt;0,VLOOKUP(C1106,КФСР!A377:B1889,2),IF(D1106&gt;0,VLOOKUP(D1106,Программа!A$1:B$5124,2),IF(F1106&gt;0,VLOOKUP(F1106,КВР!A$1:B$5001,2),IF(E1106&gt;0,VLOOKUP(E1106,Направление!A$1:B$4816,2))))))</f>
        <v>Предоставление субсидий бюджетным, автономным учреждениям и иным некоммерческим организациям</v>
      </c>
      <c r="B1106" s="760"/>
      <c r="C1106" s="820"/>
      <c r="D1106" s="760"/>
      <c r="E1106" s="760"/>
      <c r="F1106" s="763">
        <v>600</v>
      </c>
      <c r="G1106" s="812">
        <v>30473</v>
      </c>
      <c r="H1106" s="812"/>
      <c r="I1106" s="805">
        <f>G1106+H1106</f>
        <v>30473</v>
      </c>
    </row>
    <row r="1107" spans="1:9" s="119" customFormat="1" ht="63" x14ac:dyDescent="0.25">
      <c r="A1107" s="826" t="str">
        <f>IF(B1107&gt;0,VLOOKUP(B1107,КВСР!A376:B1541,2),IF(C1107&gt;0,VLOOKUP(C1107,КФСР!A376:B1888,2),IF(D1107&gt;0,VLOOKUP(D1107,Программа!A$1:B$5124,2),IF(F1107&gt;0,VLOOKUP(F1107,КВР!A$1:B$5001,2),IF(E1107&gt;0,VLOOKUP(E1107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107" s="760"/>
      <c r="C1107" s="820"/>
      <c r="D1107" s="760" t="s">
        <v>403</v>
      </c>
      <c r="E1107" s="760"/>
      <c r="F1107" s="763"/>
      <c r="G1107" s="812">
        <v>130000</v>
      </c>
      <c r="H1107" s="812">
        <f t="shared" ref="H1107:I1109" si="250">H1108</f>
        <v>0</v>
      </c>
      <c r="I1107" s="805">
        <f t="shared" si="250"/>
        <v>130000</v>
      </c>
    </row>
    <row r="1108" spans="1:9" s="119" customFormat="1" ht="47.25" x14ac:dyDescent="0.25">
      <c r="A1108" s="826" t="str">
        <f>IF(B1108&gt;0,VLOOKUP(B1108,КВСР!A377:B1542,2),IF(C1108&gt;0,VLOOKUP(C1108,КФСР!A377:B1889,2),IF(D1108&gt;0,VLOOKUP(D1108,Программа!A$1:B$5124,2),IF(F1108&gt;0,VLOOKUP(F1108,КВР!A$1:B$5001,2),IF(E1108&gt;0,VLOOKUP(E1108,Направление!A$1:B$4816,2))))))</f>
        <v>Развитие системы профилактики немедицинского потребления наркотиков</v>
      </c>
      <c r="B1108" s="760"/>
      <c r="C1108" s="820"/>
      <c r="D1108" s="760" t="s">
        <v>405</v>
      </c>
      <c r="E1108" s="760"/>
      <c r="F1108" s="763"/>
      <c r="G1108" s="812">
        <v>130000</v>
      </c>
      <c r="H1108" s="812">
        <f t="shared" si="250"/>
        <v>0</v>
      </c>
      <c r="I1108" s="805">
        <f t="shared" si="250"/>
        <v>130000</v>
      </c>
    </row>
    <row r="1109" spans="1:9" s="119" customFormat="1" ht="63" x14ac:dyDescent="0.25">
      <c r="A1109" s="826" t="str">
        <f>IF(B1109&gt;0,VLOOKUP(B1109,КВСР!A378:B1543,2),IF(C1109&gt;0,VLOOKUP(C1109,КФСР!A378:B1890,2),IF(D1109&gt;0,VLOOKUP(D1109,Программа!A$1:B$5124,2),IF(F1109&gt;0,VLOOKUP(F1109,КВР!A$1:B$5001,2),IF(E1109&gt;0,VLOOKUP(E1109,Направление!A$1:B$4816,2))))))</f>
        <v>Расходы на реализацию  МЦП "Комплексные меры противодействия злоупотреблению наркотиками и их незаконному обороту"</v>
      </c>
      <c r="B1109" s="760"/>
      <c r="C1109" s="820"/>
      <c r="D1109" s="760"/>
      <c r="E1109" s="760">
        <v>13820</v>
      </c>
      <c r="F1109" s="763"/>
      <c r="G1109" s="812">
        <v>130000</v>
      </c>
      <c r="H1109" s="812">
        <f t="shared" si="250"/>
        <v>0</v>
      </c>
      <c r="I1109" s="805">
        <f t="shared" si="250"/>
        <v>130000</v>
      </c>
    </row>
    <row r="1110" spans="1:9" s="119" customFormat="1" ht="47.25" x14ac:dyDescent="0.25">
      <c r="A1110" s="826" t="str">
        <f>IF(B1110&gt;0,VLOOKUP(B1110,КВСР!A379:B1544,2),IF(C1110&gt;0,VLOOKUP(C1110,КФСР!A379:B1891,2),IF(D1110&gt;0,VLOOKUP(D1110,Программа!A$1:B$5124,2),IF(F1110&gt;0,VLOOKUP(F1110,КВР!A$1:B$5001,2),IF(E1110&gt;0,VLOOKUP(E1110,Направление!A$1:B$4816,2))))))</f>
        <v>Предоставление субсидий бюджетным, автономным учреждениям и иным некоммерческим организациям</v>
      </c>
      <c r="B1110" s="760"/>
      <c r="C1110" s="820"/>
      <c r="D1110" s="760"/>
      <c r="E1110" s="760"/>
      <c r="F1110" s="763">
        <v>600</v>
      </c>
      <c r="G1110" s="812">
        <v>130000</v>
      </c>
      <c r="H1110" s="812"/>
      <c r="I1110" s="805">
        <f t="shared" si="245"/>
        <v>130000</v>
      </c>
    </row>
    <row r="1111" spans="1:9" s="119" customFormat="1" ht="47.25" hidden="1" x14ac:dyDescent="0.25">
      <c r="A1111" s="826" t="str">
        <f>IF(B1111&gt;0,VLOOKUP(B1111,КВСР!A376:B1541,2),IF(C1111&gt;0,VLOOKUP(C1111,КФСР!A376:B1888,2),IF(D1111&gt;0,VLOOKUP(D1111,Программа!A$1:B$5124,2),IF(F1111&gt;0,VLOOKUP(F1111,КВР!A$1:B$5001,2),IF(E1111&gt;0,VLOOKUP(E1111,Направление!A$1:B$4816,2))))))</f>
        <v>Муниципальная программа "Социальная поддержка населения Тутаевского муниципального района"</v>
      </c>
      <c r="B1111" s="760"/>
      <c r="C1111" s="820"/>
      <c r="D1111" s="760" t="s">
        <v>376</v>
      </c>
      <c r="E1111" s="760"/>
      <c r="F1111" s="763"/>
      <c r="G1111" s="812">
        <v>0</v>
      </c>
      <c r="H1111" s="812">
        <f t="shared" ref="H1111:H1114" si="251">H1112</f>
        <v>0</v>
      </c>
      <c r="I1111" s="805">
        <f t="shared" si="245"/>
        <v>0</v>
      </c>
    </row>
    <row r="1112" spans="1:9" s="119" customFormat="1" ht="47.25" hidden="1" x14ac:dyDescent="0.25">
      <c r="A1112" s="826" t="str">
        <f>IF(B1112&gt;0,VLOOKUP(B1112,КВСР!A377:B1542,2),IF(C1112&gt;0,VLOOKUP(C1112,КФСР!A377:B1889,2),IF(D1112&gt;0,VLOOKUP(D1112,Программа!A$1:B$5124,2),IF(F1112&gt;0,VLOOKUP(F1112,КВР!A$1:B$5001,2),IF(E1112&gt;0,VLOOKUP(E1112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12" s="760"/>
      <c r="C1112" s="820"/>
      <c r="D1112" s="760" t="s">
        <v>378</v>
      </c>
      <c r="E1112" s="760"/>
      <c r="F1112" s="763"/>
      <c r="G1112" s="812">
        <v>0</v>
      </c>
      <c r="H1112" s="812">
        <f>H1114</f>
        <v>0</v>
      </c>
      <c r="I1112" s="805">
        <f t="shared" si="245"/>
        <v>0</v>
      </c>
    </row>
    <row r="1113" spans="1:9" s="119" customFormat="1" ht="47.25" hidden="1" x14ac:dyDescent="0.25">
      <c r="A1113" s="826" t="str">
        <f>IF(B1113&gt;0,VLOOKUP(B1113,КВСР!A378:B1543,2),IF(C1113&gt;0,VLOOKUP(C1113,КФСР!A378:B1890,2),IF(D1113&gt;0,VLOOKUP(D1113,Программа!A$1:B$5124,2),IF(F1113&gt;0,VLOOKUP(F1113,КВР!A$1:B$5001,2),IF(E1113&gt;0,VLOOKUP(E1113,Направление!A$1:B$4816,2))))))</f>
        <v>Обучение по охране труда работников организаций Тутаевского муниципального района</v>
      </c>
      <c r="B1113" s="760"/>
      <c r="C1113" s="820"/>
      <c r="D1113" s="760" t="s">
        <v>1036</v>
      </c>
      <c r="E1113" s="760"/>
      <c r="F1113" s="763"/>
      <c r="G1113" s="812">
        <v>0</v>
      </c>
      <c r="H1113" s="812">
        <f t="shared" ref="H1113:I1113" si="252">H1114</f>
        <v>0</v>
      </c>
      <c r="I1113" s="805">
        <f t="shared" si="252"/>
        <v>0</v>
      </c>
    </row>
    <row r="1114" spans="1:9" s="119" customFormat="1" ht="31.5" hidden="1" x14ac:dyDescent="0.25">
      <c r="A1114" s="826" t="str">
        <f>IF(B1114&gt;0,VLOOKUP(B1114,КВСР!A378:B1543,2),IF(C1114&gt;0,VLOOKUP(C1114,КФСР!A378:B1890,2),IF(D1114&gt;0,VLOOKUP(D1114,Программа!A$1:B$5124,2),IF(F1114&gt;0,VLOOKUP(F1114,КВР!A$1:B$5001,2),IF(E1114&gt;0,VLOOKUP(E1114,Направление!A$1:B$4816,2))))))</f>
        <v>Расходы на реализацию мероприятий по улучшению условий и охраны труда</v>
      </c>
      <c r="B1114" s="760"/>
      <c r="C1114" s="820"/>
      <c r="D1114" s="760"/>
      <c r="E1114" s="760">
        <v>16150</v>
      </c>
      <c r="F1114" s="763"/>
      <c r="G1114" s="812">
        <v>0</v>
      </c>
      <c r="H1114" s="812">
        <f t="shared" si="251"/>
        <v>0</v>
      </c>
      <c r="I1114" s="805">
        <f t="shared" si="245"/>
        <v>0</v>
      </c>
    </row>
    <row r="1115" spans="1:9" s="119" customFormat="1" ht="47.25" hidden="1" x14ac:dyDescent="0.25">
      <c r="A1115" s="826" t="str">
        <f>IF(B1115&gt;0,VLOOKUP(B1115,КВСР!A379:B1544,2),IF(C1115&gt;0,VLOOKUP(C1115,КФСР!A379:B1891,2),IF(D1115&gt;0,VLOOKUP(D1115,Программа!A$1:B$5124,2),IF(F1115&gt;0,VLOOKUP(F1115,КВР!A$1:B$5001,2),IF(E1115&gt;0,VLOOKUP(E1115,Направление!A$1:B$4816,2))))))</f>
        <v>Предоставление субсидий бюджетным, автономным учреждениям и иным некоммерческим организациям</v>
      </c>
      <c r="B1115" s="760"/>
      <c r="C1115" s="820"/>
      <c r="D1115" s="760"/>
      <c r="E1115" s="760"/>
      <c r="F1115" s="763">
        <v>600</v>
      </c>
      <c r="G1115" s="812">
        <v>0</v>
      </c>
      <c r="H1115" s="812"/>
      <c r="I1115" s="805">
        <f t="shared" si="245"/>
        <v>0</v>
      </c>
    </row>
    <row r="1116" spans="1:9" s="119" customFormat="1" x14ac:dyDescent="0.25">
      <c r="A1116" s="826" t="str">
        <f>IF(B1116&gt;0,VLOOKUP(B1116,КВСР!A386:B1551,2),IF(C1116&gt;0,VLOOKUP(C1116,КФСР!A386:B1898,2),IF(D1116&gt;0,VLOOKUP(D1116,Программа!A$1:B$5124,2),IF(F1116&gt;0,VLOOKUP(F1116,КВР!A$1:B$5001,2),IF(E1116&gt;0,VLOOKUP(E1116,Направление!A$1:B$4816,2))))))</f>
        <v>Культура</v>
      </c>
      <c r="B1116" s="760"/>
      <c r="C1116" s="827">
        <v>801</v>
      </c>
      <c r="D1116" s="767"/>
      <c r="E1116" s="767"/>
      <c r="F1116" s="800"/>
      <c r="G1116" s="812">
        <v>140748308.60000002</v>
      </c>
      <c r="H1116" s="812">
        <f>H1117+H1185+H1174</f>
        <v>25200</v>
      </c>
      <c r="I1116" s="805">
        <f>I1117+I1185+I1174</f>
        <v>140773508.60000002</v>
      </c>
    </row>
    <row r="1117" spans="1:9" s="119" customFormat="1" ht="63" x14ac:dyDescent="0.25">
      <c r="A1117" s="826" t="str">
        <f>IF(B1117&gt;0,VLOOKUP(B1117,КВСР!A387:B1552,2),IF(C1117&gt;0,VLOOKUP(C1117,КФСР!A387:B1899,2),IF(D1117&gt;0,VLOOKUP(D1117,Программа!A$1:B$5124,2),IF(F1117&gt;0,VLOOKUP(F1117,КВР!A$1:B$5001,2),IF(E1117&gt;0,VLOOKUP(E1117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17" s="760"/>
      <c r="C1117" s="820"/>
      <c r="D1117" s="767" t="s">
        <v>396</v>
      </c>
      <c r="E1117" s="767"/>
      <c r="F1117" s="800"/>
      <c r="G1117" s="812">
        <v>140370388.60000002</v>
      </c>
      <c r="H1117" s="812">
        <f>H1122+H1118</f>
        <v>62604</v>
      </c>
      <c r="I1117" s="805">
        <f>I1122+I1118</f>
        <v>140432992.60000002</v>
      </c>
    </row>
    <row r="1118" spans="1:9" s="119" customFormat="1" ht="94.5" x14ac:dyDescent="0.25">
      <c r="A1118" s="826" t="str">
        <f>IF(B1118&gt;0,VLOOKUP(B1118,КВСР!A388:B1553,2),IF(C1118&gt;0,VLOOKUP(C1118,КФСР!A388:B1900,2),IF(D1118&gt;0,VLOOKUP(D1118,Программа!A$1:B$5124,2),IF(F1118&gt;0,VLOOKUP(F1118,КВР!A$1:B$5001,2),IF(E1118&gt;0,VLOOKUP(E1118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18" s="760"/>
      <c r="C1118" s="820"/>
      <c r="D1118" s="767" t="s">
        <v>398</v>
      </c>
      <c r="E1118" s="767"/>
      <c r="F1118" s="800"/>
      <c r="G1118" s="812">
        <v>130000</v>
      </c>
      <c r="H1118" s="812">
        <f t="shared" ref="H1118:I1120" si="253">H1119</f>
        <v>-32925</v>
      </c>
      <c r="I1118" s="805">
        <f t="shared" si="253"/>
        <v>97075</v>
      </c>
    </row>
    <row r="1119" spans="1:9" s="119" customFormat="1" ht="78.75" x14ac:dyDescent="0.25">
      <c r="A1119" s="826" t="str">
        <f>IF(B1119&gt;0,VLOOKUP(B1119,КВСР!A388:B1553,2),IF(C1119&gt;0,VLOOKUP(C1119,КФСР!A388:B1900,2),IF(D1119&gt;0,VLOOKUP(D1119,Программа!A$1:B$5124,2),IF(F1119&gt;0,VLOOKUP(F1119,КВР!A$1:B$5001,2),IF(E1119&gt;0,VLOOKUP(E1119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19" s="760"/>
      <c r="C1119" s="820"/>
      <c r="D1119" s="767" t="s">
        <v>400</v>
      </c>
      <c r="E1119" s="767"/>
      <c r="F1119" s="800"/>
      <c r="G1119" s="812">
        <v>130000</v>
      </c>
      <c r="H1119" s="812">
        <f t="shared" si="253"/>
        <v>-32925</v>
      </c>
      <c r="I1119" s="805">
        <f t="shared" si="253"/>
        <v>97075</v>
      </c>
    </row>
    <row r="1120" spans="1:9" s="119" customFormat="1" ht="47.25" x14ac:dyDescent="0.25">
      <c r="A1120" s="826" t="str">
        <f>IF(B1120&gt;0,VLOOKUP(B1120,КВСР!A389:B1554,2),IF(C1120&gt;0,VLOOKUP(C1120,КФСР!A389:B1901,2),IF(D1120&gt;0,VLOOKUP(D1120,Программа!A$1:B$5124,2),IF(F1120&gt;0,VLOOKUP(F1120,КВР!A$1:B$5001,2),IF(E1120&gt;0,VLOOKUP(E1120,Направление!A$1:B$4816,2))))))</f>
        <v xml:space="preserve">Обеспечение мероприятий по содержанию  военно-мемориального комплекса </v>
      </c>
      <c r="B1120" s="760"/>
      <c r="C1120" s="820"/>
      <c r="D1120" s="767"/>
      <c r="E1120" s="767">
        <v>29686</v>
      </c>
      <c r="F1120" s="800"/>
      <c r="G1120" s="812">
        <v>130000</v>
      </c>
      <c r="H1120" s="812">
        <f t="shared" si="253"/>
        <v>-32925</v>
      </c>
      <c r="I1120" s="805">
        <f t="shared" si="253"/>
        <v>97075</v>
      </c>
    </row>
    <row r="1121" spans="1:9" s="119" customFormat="1" ht="47.25" x14ac:dyDescent="0.25">
      <c r="A1121" s="826" t="str">
        <f>IF(B1121&gt;0,VLOOKUP(B1121,КВСР!A390:B1555,2),IF(C1121&gt;0,VLOOKUP(C1121,КФСР!A390:B1902,2),IF(D1121&gt;0,VLOOKUP(D1121,Программа!A$1:B$5124,2),IF(F1121&gt;0,VLOOKUP(F1121,КВР!A$1:B$5001,2),IF(E1121&gt;0,VLOOKUP(E1121,Направление!A$1:B$4816,2))))))</f>
        <v>Предоставление субсидий бюджетным, автономным учреждениям и иным некоммерческим организациям</v>
      </c>
      <c r="B1121" s="760"/>
      <c r="C1121" s="820"/>
      <c r="D1121" s="767"/>
      <c r="E1121" s="767"/>
      <c r="F1121" s="800">
        <v>600</v>
      </c>
      <c r="G1121" s="812">
        <v>130000</v>
      </c>
      <c r="H1121" s="812">
        <v>-32925</v>
      </c>
      <c r="I1121" s="805">
        <f t="shared" si="245"/>
        <v>97075</v>
      </c>
    </row>
    <row r="1122" spans="1:9" s="119" customFormat="1" ht="47.25" x14ac:dyDescent="0.25">
      <c r="A1122" s="826" t="str">
        <f>IF(B1122&gt;0,VLOOKUP(B1122,КВСР!A388:B1553,2),IF(C1122&gt;0,VLOOKUP(C1122,КФСР!A388:B1900,2),IF(D1122&gt;0,VLOOKUP(D1122,Программа!A$1:B$5124,2),IF(F1122&gt;0,VLOOKUP(F1122,КВР!A$1:B$5001,2),IF(E1122&gt;0,VLOOKUP(E1122,Направление!A$1:B$4816,2))))))</f>
        <v>Ведомственная целевая программа «Сохранение и развитие культуры Тутаевского муниципального района»</v>
      </c>
      <c r="B1122" s="760"/>
      <c r="C1122" s="820"/>
      <c r="D1122" s="767" t="s">
        <v>494</v>
      </c>
      <c r="E1122" s="767"/>
      <c r="F1122" s="800"/>
      <c r="G1122" s="812">
        <v>140240388.60000002</v>
      </c>
      <c r="H1122" s="812">
        <f>H1123+H1150+H1167</f>
        <v>95529</v>
      </c>
      <c r="I1122" s="805">
        <f>I1123+I1150+I1167</f>
        <v>140335917.60000002</v>
      </c>
    </row>
    <row r="1123" spans="1:9" s="119" customFormat="1" ht="31.5" x14ac:dyDescent="0.25">
      <c r="A1123" s="826" t="str">
        <f>IF(B1123&gt;0,VLOOKUP(B1123,КВСР!A389:B1554,2),IF(C1123&gt;0,VLOOKUP(C1123,КФСР!A389:B1901,2),IF(D1123&gt;0,VLOOKUP(D1123,Программа!A$1:B$5124,2),IF(F1123&gt;0,VLOOKUP(F1123,КВР!A$1:B$5001,2),IF(E1123&gt;0,VLOOKUP(E1123,Направление!A$1:B$4816,2))))))</f>
        <v>Содействие доступу граждан к культурным ценностям</v>
      </c>
      <c r="B1123" s="760"/>
      <c r="C1123" s="820"/>
      <c r="D1123" s="767" t="s">
        <v>512</v>
      </c>
      <c r="E1123" s="767"/>
      <c r="F1123" s="800"/>
      <c r="G1123" s="812">
        <v>108338150.60000001</v>
      </c>
      <c r="H1123" s="812">
        <f>H1126+H1134+H1124+H1128+H1146+H1132+H1138+H1144+H1136+H1148+H1130+H1140+H1142</f>
        <v>98532</v>
      </c>
      <c r="I1123" s="805">
        <f>I1126+I1134+I1124+I1128+I1146+I1132+I1138+I1144+I1136+I1148+I1130+I1140+I1142</f>
        <v>108436682.60000001</v>
      </c>
    </row>
    <row r="1124" spans="1:9" s="119" customFormat="1" ht="31.5" x14ac:dyDescent="0.25">
      <c r="A1124" s="826" t="str">
        <f>IF(B1124&gt;0,VLOOKUP(B1124,КВСР!A389:B1554,2),IF(C1124&gt;0,VLOOKUP(C1124,КФСР!A389:B1901,2),IF(D1124&gt;0,VLOOKUP(D1124,Программа!A$1:B$5124,2),IF(F1124&gt;0,VLOOKUP(F1124,КВР!A$1:B$5001,2),IF(E1124&gt;0,VLOOKUP(E1124,Направление!A$1:B$4816,2))))))</f>
        <v xml:space="preserve">Выплата ежемесячных разовых стипендий главы </v>
      </c>
      <c r="B1124" s="760"/>
      <c r="C1124" s="820"/>
      <c r="D1124" s="767"/>
      <c r="E1124" s="767">
        <v>12700</v>
      </c>
      <c r="F1124" s="800"/>
      <c r="G1124" s="812">
        <v>60000</v>
      </c>
      <c r="H1124" s="812">
        <f>H1125</f>
        <v>-20000</v>
      </c>
      <c r="I1124" s="805">
        <f>I1125</f>
        <v>40000</v>
      </c>
    </row>
    <row r="1125" spans="1:9" s="119" customFormat="1" ht="47.25" x14ac:dyDescent="0.25">
      <c r="A1125" s="826" t="str">
        <f>IF(B1125&gt;0,VLOOKUP(B1125,КВСР!A390:B1555,2),IF(C1125&gt;0,VLOOKUP(C1125,КФСР!A390:B1902,2),IF(D1125&gt;0,VLOOKUP(D1125,Программа!A$1:B$5124,2),IF(F1125&gt;0,VLOOKUP(F1125,КВР!A$1:B$5001,2),IF(E1125&gt;0,VLOOKUP(E1125,Направление!A$1:B$4816,2))))))</f>
        <v>Предоставление субсидий бюджетным, автономным учреждениям и иным некоммерческим организациям</v>
      </c>
      <c r="B1125" s="760"/>
      <c r="C1125" s="820"/>
      <c r="D1125" s="767"/>
      <c r="E1125" s="767"/>
      <c r="F1125" s="800">
        <v>600</v>
      </c>
      <c r="G1125" s="812">
        <v>60000</v>
      </c>
      <c r="H1125" s="812">
        <v>-20000</v>
      </c>
      <c r="I1125" s="805">
        <f t="shared" si="245"/>
        <v>40000</v>
      </c>
    </row>
    <row r="1126" spans="1:9" s="119" customFormat="1" ht="31.5" x14ac:dyDescent="0.25">
      <c r="A1126" s="826" t="str">
        <f>IF(B1126&gt;0,VLOOKUP(B1126,КВСР!A389:B1554,2),IF(C1126&gt;0,VLOOKUP(C1126,КФСР!A389:B1901,2),IF(D1126&gt;0,VLOOKUP(D1126,Программа!A$1:B$5124,2),IF(F1126&gt;0,VLOOKUP(F1126,КВР!A$1:B$5001,2),IF(E1126&gt;0,VLOOKUP(E1126,Направление!A$1:B$4816,2))))))</f>
        <v>Обеспечение деятельности учреждений по организации досуга в сфере культуры</v>
      </c>
      <c r="B1126" s="760"/>
      <c r="C1126" s="820"/>
      <c r="D1126" s="767"/>
      <c r="E1126" s="767">
        <v>15010</v>
      </c>
      <c r="F1126" s="800"/>
      <c r="G1126" s="812">
        <v>35149037.049999997</v>
      </c>
      <c r="H1126" s="812">
        <f>H1127</f>
        <v>971193</v>
      </c>
      <c r="I1126" s="805">
        <f>I1127</f>
        <v>36120230.049999997</v>
      </c>
    </row>
    <row r="1127" spans="1:9" s="119" customFormat="1" ht="47.25" x14ac:dyDescent="0.25">
      <c r="A1127" s="826" t="str">
        <f>IF(B1127&gt;0,VLOOKUP(B1127,КВСР!A390:B1555,2),IF(C1127&gt;0,VLOOKUP(C1127,КФСР!A390:B1902,2),IF(D1127&gt;0,VLOOKUP(D1127,Программа!A$1:B$5124,2),IF(F1127&gt;0,VLOOKUP(F1127,КВР!A$1:B$5001,2),IF(E1127&gt;0,VLOOKUP(E1127,Направление!A$1:B$4816,2))))))</f>
        <v>Предоставление субсидий бюджетным, автономным учреждениям и иным некоммерческим организациям</v>
      </c>
      <c r="B1127" s="760"/>
      <c r="C1127" s="820"/>
      <c r="D1127" s="767"/>
      <c r="E1127" s="767"/>
      <c r="F1127" s="800">
        <v>600</v>
      </c>
      <c r="G1127" s="812">
        <v>35149037.049999997</v>
      </c>
      <c r="H1127" s="812">
        <v>971193</v>
      </c>
      <c r="I1127" s="805">
        <f t="shared" si="245"/>
        <v>36120230.049999997</v>
      </c>
    </row>
    <row r="1128" spans="1:9" s="119" customFormat="1" x14ac:dyDescent="0.25">
      <c r="A1128" s="826" t="str">
        <f>IF(B1128&gt;0,VLOOKUP(B1128,КВСР!A393:B1558,2),IF(C1128&gt;0,VLOOKUP(C1128,КФСР!A393:B1905,2),IF(D1128&gt;0,VLOOKUP(D1128,Программа!A$1:B$5124,2),IF(F1128&gt;0,VLOOKUP(F1128,КВР!A$1:B$5001,2),IF(E1128&gt;0,VLOOKUP(E1128,Направление!A$1:B$4816,2))))))</f>
        <v>Мероприятия в сфере культуры</v>
      </c>
      <c r="B1128" s="760"/>
      <c r="C1128" s="820"/>
      <c r="D1128" s="767"/>
      <c r="E1128" s="767">
        <v>15220</v>
      </c>
      <c r="F1128" s="800"/>
      <c r="G1128" s="812">
        <v>3219200</v>
      </c>
      <c r="H1128" s="812">
        <f>H1129</f>
        <v>-150736</v>
      </c>
      <c r="I1128" s="805">
        <f>I1129</f>
        <v>3068464</v>
      </c>
    </row>
    <row r="1129" spans="1:9" s="119" customFormat="1" ht="47.25" x14ac:dyDescent="0.25">
      <c r="A1129" s="826" t="str">
        <f>IF(B1129&gt;0,VLOOKUP(B1129,КВСР!A394:B1559,2),IF(C1129&gt;0,VLOOKUP(C1129,КФСР!A394:B1906,2),IF(D1129&gt;0,VLOOKUP(D1129,Программа!A$1:B$5124,2),IF(F1129&gt;0,VLOOKUP(F1129,КВР!A$1:B$5001,2),IF(E1129&gt;0,VLOOKUP(E1129,Направление!A$1:B$4816,2))))))</f>
        <v>Предоставление субсидий бюджетным, автономным учреждениям и иным некоммерческим организациям</v>
      </c>
      <c r="B1129" s="760"/>
      <c r="C1129" s="820"/>
      <c r="D1129" s="767"/>
      <c r="E1129" s="767"/>
      <c r="F1129" s="800">
        <v>600</v>
      </c>
      <c r="G1129" s="812">
        <v>3219200</v>
      </c>
      <c r="H1129" s="812">
        <f>-150736</f>
        <v>-150736</v>
      </c>
      <c r="I1129" s="805">
        <f t="shared" si="245"/>
        <v>3068464</v>
      </c>
    </row>
    <row r="1130" spans="1:9" s="119" customFormat="1" ht="47.25" x14ac:dyDescent="0.25">
      <c r="A1130" s="826" t="str">
        <f>IF(B1130&gt;0,VLOOKUP(B1130,КВСР!A395:B1560,2),IF(C1130&gt;0,VLOOKUP(C1130,КФСР!A395:B1907,2),IF(D1130&gt;0,VLOOKUP(D1130,Программа!A$1:B$5124,2),IF(F1130&gt;0,VLOOKUP(F1130,КВР!A$1:B$5001,2),IF(E1130&gt;0,VLOOKUP(E1130,Направление!A$1:B$4816,2))))))</f>
        <v>Расходы на реализацию мероприятий инициативного бюджетирования на территории Ярославской области</v>
      </c>
      <c r="B1130" s="760"/>
      <c r="C1130" s="820"/>
      <c r="D1130" s="767"/>
      <c r="E1130" s="767">
        <v>15350</v>
      </c>
      <c r="F1130" s="800"/>
      <c r="G1130" s="812">
        <v>65604.95</v>
      </c>
      <c r="H1130" s="812">
        <f t="shared" ref="H1130:I1130" si="254">H1131</f>
        <v>0</v>
      </c>
      <c r="I1130" s="805">
        <f t="shared" si="254"/>
        <v>65604.95</v>
      </c>
    </row>
    <row r="1131" spans="1:9" s="119" customFormat="1" ht="47.25" x14ac:dyDescent="0.25">
      <c r="A1131" s="826" t="str">
        <f>IF(B1131&gt;0,VLOOKUP(B1131,КВСР!A396:B1561,2),IF(C1131&gt;0,VLOOKUP(C1131,КФСР!A396:B1908,2),IF(D1131&gt;0,VLOOKUP(D1131,Программа!A$1:B$5124,2),IF(F1131&gt;0,VLOOKUP(F1131,КВР!A$1:B$5001,2),IF(E1131&gt;0,VLOOKUP(E1131,Направление!A$1:B$4816,2))))))</f>
        <v>Предоставление субсидий бюджетным, автономным учреждениям и иным некоммерческим организациям</v>
      </c>
      <c r="B1131" s="760"/>
      <c r="C1131" s="820"/>
      <c r="D1131" s="767"/>
      <c r="E1131" s="767"/>
      <c r="F1131" s="800">
        <v>600</v>
      </c>
      <c r="G1131" s="812">
        <v>65604.95</v>
      </c>
      <c r="H1131" s="812"/>
      <c r="I1131" s="805">
        <f t="shared" si="245"/>
        <v>65604.95</v>
      </c>
    </row>
    <row r="1132" spans="1:9" s="119" customFormat="1" ht="47.25" x14ac:dyDescent="0.25">
      <c r="A1132" s="826" t="str">
        <f>IF(B1132&gt;0,VLOOKUP(B1132,КВСР!A395:B1560,2),IF(C1132&gt;0,VLOOKUP(C1132,КФСР!A395:B1907,2),IF(D1132&gt;0,VLOOKUP(D1132,Программа!A$1:B$5124,2),IF(F1132&gt;0,VLOOKUP(F1132,КВР!A$1:B$5001,2),IF(E1132&gt;0,VLOOKUP(E1132,Направление!A$1:B$4816,2))))))</f>
        <v>Расходы на повышение оплаты труда работников муниципальных учреждений в сфере культуры</v>
      </c>
      <c r="B1132" s="760"/>
      <c r="C1132" s="820"/>
      <c r="D1132" s="767"/>
      <c r="E1132" s="767">
        <v>15900</v>
      </c>
      <c r="F1132" s="800"/>
      <c r="G1132" s="812">
        <v>41903811.600000001</v>
      </c>
      <c r="H1132" s="812">
        <f t="shared" ref="H1132:I1132" si="255">H1133</f>
        <v>-660000</v>
      </c>
      <c r="I1132" s="805">
        <f t="shared" si="255"/>
        <v>41243811.600000001</v>
      </c>
    </row>
    <row r="1133" spans="1:9" s="119" customFormat="1" ht="47.25" x14ac:dyDescent="0.25">
      <c r="A1133" s="826" t="str">
        <f>IF(B1133&gt;0,VLOOKUP(B1133,КВСР!A396:B1561,2),IF(C1133&gt;0,VLOOKUP(C1133,КФСР!A396:B1908,2),IF(D1133&gt;0,VLOOKUP(D1133,Программа!A$1:B$5124,2),IF(F1133&gt;0,VLOOKUP(F1133,КВР!A$1:B$5001,2),IF(E1133&gt;0,VLOOKUP(E1133,Направление!A$1:B$4816,2))))))</f>
        <v>Предоставление субсидий бюджетным, автономным учреждениям и иным некоммерческим организациям</v>
      </c>
      <c r="B1133" s="760"/>
      <c r="C1133" s="820"/>
      <c r="D1133" s="767"/>
      <c r="E1133" s="767"/>
      <c r="F1133" s="800">
        <v>600</v>
      </c>
      <c r="G1133" s="812">
        <v>41903811.600000001</v>
      </c>
      <c r="H1133" s="812">
        <v>-660000</v>
      </c>
      <c r="I1133" s="805">
        <f t="shared" si="245"/>
        <v>41243811.600000001</v>
      </c>
    </row>
    <row r="1134" spans="1:9" s="119" customFormat="1" x14ac:dyDescent="0.25">
      <c r="A1134" s="826" t="str">
        <f>IF(B1134&gt;0,VLOOKUP(B1134,КВСР!A391:B1556,2),IF(C1134&gt;0,VLOOKUP(C1134,КФСР!A391:B1903,2),IF(D1134&gt;0,VLOOKUP(D1134,Программа!A$1:B$5124,2),IF(F1134&gt;0,VLOOKUP(F1134,КВР!A$1:B$5001,2),IF(E1134&gt;0,VLOOKUP(E1134,Направление!A$1:B$4816,2))))))</f>
        <v>Мероприятия в сфере культуры</v>
      </c>
      <c r="B1134" s="760"/>
      <c r="C1134" s="820"/>
      <c r="D1134" s="767"/>
      <c r="E1134" s="767">
        <v>29216</v>
      </c>
      <c r="F1134" s="800"/>
      <c r="G1134" s="812">
        <v>1814050</v>
      </c>
      <c r="H1134" s="812">
        <f>H1135</f>
        <v>0</v>
      </c>
      <c r="I1134" s="805">
        <f>I1135</f>
        <v>1814050</v>
      </c>
    </row>
    <row r="1135" spans="1:9" s="119" customFormat="1" ht="47.25" x14ac:dyDescent="0.25">
      <c r="A1135" s="826" t="str">
        <f>IF(B1135&gt;0,VLOOKUP(B1135,КВСР!A392:B1557,2),IF(C1135&gt;0,VLOOKUP(C1135,КФСР!A392:B1904,2),IF(D1135&gt;0,VLOOKUP(D1135,Программа!A$1:B$5124,2),IF(F1135&gt;0,VLOOKUP(F1135,КВР!A$1:B$5001,2),IF(E1135&gt;0,VLOOKUP(E1135,Направление!A$1:B$4816,2))))))</f>
        <v>Предоставление субсидий бюджетным, автономным учреждениям и иным некоммерческим организациям</v>
      </c>
      <c r="B1135" s="760"/>
      <c r="C1135" s="820"/>
      <c r="D1135" s="760"/>
      <c r="E1135" s="760"/>
      <c r="F1135" s="763">
        <v>600</v>
      </c>
      <c r="G1135" s="812">
        <v>1814050</v>
      </c>
      <c r="H1135" s="812"/>
      <c r="I1135" s="805">
        <f t="shared" si="245"/>
        <v>1814050</v>
      </c>
    </row>
    <row r="1136" spans="1:9" s="119" customFormat="1" ht="31.5" hidden="1" x14ac:dyDescent="0.25">
      <c r="A1136" s="826" t="str">
        <f>IF(B1136&gt;0,VLOOKUP(B1136,КВСР!A393:B1558,2),IF(C1136&gt;0,VLOOKUP(C1136,КФСР!A393:B1905,2),IF(D1136&gt;0,VLOOKUP(D1136,Программа!A$1:B$5124,2),IF(F1136&gt;0,VLOOKUP(F1136,КВР!A$1:B$5001,2),IF(E1136&gt;0,VLOOKUP(E1136,Направление!A$1:B$4816,2))))))</f>
        <v>Обеспечение мероприятий  по работе с детьми и молодежью</v>
      </c>
      <c r="B1136" s="760"/>
      <c r="C1136" s="820"/>
      <c r="D1136" s="760"/>
      <c r="E1136" s="760">
        <v>29346</v>
      </c>
      <c r="F1136" s="763"/>
      <c r="G1136" s="812">
        <v>0</v>
      </c>
      <c r="H1136" s="812">
        <f t="shared" ref="H1136:I1136" si="256">H1137</f>
        <v>0</v>
      </c>
      <c r="I1136" s="805">
        <f t="shared" si="256"/>
        <v>0</v>
      </c>
    </row>
    <row r="1137" spans="1:9" s="119" customFormat="1" ht="47.25" hidden="1" x14ac:dyDescent="0.25">
      <c r="A1137" s="826" t="str">
        <f>IF(B1137&gt;0,VLOOKUP(B1137,КВСР!A394:B1559,2),IF(C1137&gt;0,VLOOKUP(C1137,КФСР!A394:B1906,2),IF(D1137&gt;0,VLOOKUP(D1137,Программа!A$1:B$5124,2),IF(F1137&gt;0,VLOOKUP(F1137,КВР!A$1:B$5001,2),IF(E1137&gt;0,VLOOKUP(E1137,Направление!A$1:B$4816,2))))))</f>
        <v>Предоставление субсидий бюджетным, автономным учреждениям и иным некоммерческим организациям</v>
      </c>
      <c r="B1137" s="760"/>
      <c r="C1137" s="820"/>
      <c r="D1137" s="760"/>
      <c r="E1137" s="760"/>
      <c r="F1137" s="763">
        <v>600</v>
      </c>
      <c r="G1137" s="812">
        <v>0</v>
      </c>
      <c r="H1137" s="812"/>
      <c r="I1137" s="805">
        <f>G1137+H1137</f>
        <v>0</v>
      </c>
    </row>
    <row r="1138" spans="1:9" s="119" customFormat="1" ht="63" x14ac:dyDescent="0.25">
      <c r="A1138" s="826" t="str">
        <f>IF(B1138&gt;0,VLOOKUP(B1138,КВСР!A393:B1558,2),IF(C1138&gt;0,VLOOKUP(C1138,КФСР!A393:B1905,2),IF(D1138&gt;0,VLOOKUP(D1138,Программа!A$1:B$5124,2),IF(F1138&gt;0,VLOOKUP(F1138,КВР!A$1:B$5001,2),IF(E1138&gt;0,VLOOKUP(E1138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38" s="760"/>
      <c r="C1138" s="820"/>
      <c r="D1138" s="760"/>
      <c r="E1138" s="760">
        <v>29556</v>
      </c>
      <c r="F1138" s="763"/>
      <c r="G1138" s="812">
        <v>215000</v>
      </c>
      <c r="H1138" s="812">
        <f t="shared" ref="H1138:I1138" si="257">H1139</f>
        <v>-41925</v>
      </c>
      <c r="I1138" s="805">
        <f t="shared" si="257"/>
        <v>173075</v>
      </c>
    </row>
    <row r="1139" spans="1:9" s="119" customFormat="1" ht="47.25" x14ac:dyDescent="0.25">
      <c r="A1139" s="826" t="str">
        <f>IF(B1139&gt;0,VLOOKUP(B1139,КВСР!A394:B1559,2),IF(C1139&gt;0,VLOOKUP(C1139,КФСР!A394:B1906,2),IF(D1139&gt;0,VLOOKUP(D1139,Программа!A$1:B$5124,2),IF(F1139&gt;0,VLOOKUP(F1139,КВР!A$1:B$5001,2),IF(E1139&gt;0,VLOOKUP(E1139,Направление!A$1:B$4816,2))))))</f>
        <v>Предоставление субсидий бюджетным, автономным учреждениям и иным некоммерческим организациям</v>
      </c>
      <c r="B1139" s="760"/>
      <c r="C1139" s="820"/>
      <c r="D1139" s="760"/>
      <c r="E1139" s="760"/>
      <c r="F1139" s="763">
        <v>600</v>
      </c>
      <c r="G1139" s="812">
        <v>215000</v>
      </c>
      <c r="H1139" s="812">
        <v>-41925</v>
      </c>
      <c r="I1139" s="805">
        <f>G1139+H1139</f>
        <v>173075</v>
      </c>
    </row>
    <row r="1140" spans="1:9" s="119" customFormat="1" ht="78.75" x14ac:dyDescent="0.25">
      <c r="A1140" s="826" t="str">
        <f>IF(B1140&gt;0,VLOOKUP(B1140,КВСР!A395:B1560,2),IF(C1140&gt;0,VLOOKUP(C1140,КФСР!A395:B1907,2),IF(D1140&gt;0,VLOOKUP(D1140,Программа!A$1:B$5124,2),IF(F1140&gt;0,VLOOKUP(F1140,КВР!A$1:B$5001,2),IF(E1140&gt;0,VLOOKUP(E1140,Направление!A$1:B$4816,2)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40" s="760"/>
      <c r="C1140" s="820"/>
      <c r="D1140" s="760"/>
      <c r="E1140" s="760">
        <v>70760</v>
      </c>
      <c r="F1140" s="763"/>
      <c r="G1140" s="812">
        <v>900000</v>
      </c>
      <c r="H1140" s="812">
        <f t="shared" ref="H1140:I1140" si="258">H1141</f>
        <v>0</v>
      </c>
      <c r="I1140" s="805">
        <f t="shared" si="258"/>
        <v>900000</v>
      </c>
    </row>
    <row r="1141" spans="1:9" s="119" customFormat="1" ht="47.25" x14ac:dyDescent="0.25">
      <c r="A1141" s="826" t="str">
        <f>IF(B1141&gt;0,VLOOKUP(B1141,КВСР!A396:B1561,2),IF(C1141&gt;0,VLOOKUP(C1141,КФСР!A396:B1908,2),IF(D1141&gt;0,VLOOKUP(D1141,Программа!A$1:B$5124,2),IF(F1141&gt;0,VLOOKUP(F1141,КВР!A$1:B$5001,2),IF(E1141&gt;0,VLOOKUP(E1141,Направление!A$1:B$4816,2))))))</f>
        <v>Предоставление субсидий бюджетным, автономным учреждениям и иным некоммерческим организациям</v>
      </c>
      <c r="B1141" s="760"/>
      <c r="C1141" s="820"/>
      <c r="D1141" s="760"/>
      <c r="E1141" s="760"/>
      <c r="F1141" s="763">
        <v>600</v>
      </c>
      <c r="G1141" s="812">
        <v>900000</v>
      </c>
      <c r="H1141" s="812"/>
      <c r="I1141" s="805">
        <f>G1141+H1141</f>
        <v>900000</v>
      </c>
    </row>
    <row r="1142" spans="1:9" s="119" customFormat="1" ht="63" x14ac:dyDescent="0.25">
      <c r="A1142" s="826" t="str">
        <f>IF(B1142&gt;0,VLOOKUP(B1142,КВСР!A397:B1562,2),IF(C1142&gt;0,VLOOKUP(C1142,КФСР!A397:B1909,2),IF(D1142&gt;0,VLOOKUP(D1142,Программа!A$1:B$5124,2),IF(F1142&gt;0,VLOOKUP(F1142,КВР!A$1:B$5001,2),IF(E1142&gt;0,VLOOKUP(E1142,Направление!A$1:B$4816,2))))))</f>
        <v>Расходы на улучшение значений показателей по отдельным направлениям развития муниципальных образований ЯО</v>
      </c>
      <c r="B1142" s="760"/>
      <c r="C1142" s="820"/>
      <c r="D1142" s="760"/>
      <c r="E1142" s="760">
        <v>70780</v>
      </c>
      <c r="F1142" s="763"/>
      <c r="G1142" s="812">
        <v>71220</v>
      </c>
      <c r="H1142" s="812">
        <f t="shared" ref="H1142:I1142" si="259">H1143</f>
        <v>0</v>
      </c>
      <c r="I1142" s="805">
        <f t="shared" si="259"/>
        <v>71220</v>
      </c>
    </row>
    <row r="1143" spans="1:9" s="119" customFormat="1" ht="47.25" x14ac:dyDescent="0.25">
      <c r="A1143" s="826" t="str">
        <f>IF(B1143&gt;0,VLOOKUP(B1143,КВСР!A398:B1563,2),IF(C1143&gt;0,VLOOKUP(C1143,КФСР!A398:B1910,2),IF(D1143&gt;0,VLOOKUP(D1143,Программа!A$1:B$5124,2),IF(F1143&gt;0,VLOOKUP(F1143,КВР!A$1:B$5001,2),IF(E1143&gt;0,VLOOKUP(E1143,Направление!A$1:B$4816,2))))))</f>
        <v>Предоставление субсидий бюджетным, автономным учреждениям и иным некоммерческим организациям</v>
      </c>
      <c r="B1143" s="760"/>
      <c r="C1143" s="820"/>
      <c r="D1143" s="760"/>
      <c r="E1143" s="760"/>
      <c r="F1143" s="763">
        <v>600</v>
      </c>
      <c r="G1143" s="812">
        <v>71220</v>
      </c>
      <c r="H1143" s="812"/>
      <c r="I1143" s="805">
        <f>G1143+H1143</f>
        <v>71220</v>
      </c>
    </row>
    <row r="1144" spans="1:9" s="119" customFormat="1" ht="47.25" x14ac:dyDescent="0.25">
      <c r="A1144" s="826" t="str">
        <f>IF(B1144&gt;0,VLOOKUP(B1144,КВСР!A395:B1560,2),IF(C1144&gt;0,VLOOKUP(C1144,КФСР!A395:B1907,2),IF(D1144&gt;0,VLOOKUP(D1144,Программа!A$1:B$5124,2),IF(F1144&gt;0,VLOOKUP(F1144,КВР!A$1:B$5001,2),IF(E1144&gt;0,VLOOKUP(E1144,Направление!A$1:B$4816,2))))))</f>
        <v>Расходы на реализацию мероприятий инициативного бюджетирования на территории Ярославской области</v>
      </c>
      <c r="B1144" s="760"/>
      <c r="C1144" s="820"/>
      <c r="D1144" s="760"/>
      <c r="E1144" s="760">
        <v>75350</v>
      </c>
      <c r="F1144" s="763"/>
      <c r="G1144" s="812">
        <v>1000000</v>
      </c>
      <c r="H1144" s="812">
        <f t="shared" ref="H1144:I1144" si="260">H1145</f>
        <v>0</v>
      </c>
      <c r="I1144" s="805">
        <f t="shared" si="260"/>
        <v>1000000</v>
      </c>
    </row>
    <row r="1145" spans="1:9" s="119" customFormat="1" ht="47.25" x14ac:dyDescent="0.25">
      <c r="A1145" s="826" t="str">
        <f>IF(B1145&gt;0,VLOOKUP(B1145,КВСР!A396:B1561,2),IF(C1145&gt;0,VLOOKUP(C1145,КФСР!A396:B1908,2),IF(D1145&gt;0,VLOOKUP(D1145,Программа!A$1:B$5124,2),IF(F1145&gt;0,VLOOKUP(F1145,КВР!A$1:B$5001,2),IF(E1145&gt;0,VLOOKUP(E1145,Направление!A$1:B$4816,2))))))</f>
        <v>Предоставление субсидий бюджетным, автономным учреждениям и иным некоммерческим организациям</v>
      </c>
      <c r="B1145" s="760"/>
      <c r="C1145" s="820"/>
      <c r="D1145" s="760"/>
      <c r="E1145" s="760"/>
      <c r="F1145" s="763">
        <v>600</v>
      </c>
      <c r="G1145" s="812">
        <v>1000000</v>
      </c>
      <c r="H1145" s="812"/>
      <c r="I1145" s="805">
        <f>G1145+H1145</f>
        <v>1000000</v>
      </c>
    </row>
    <row r="1146" spans="1:9" s="119" customFormat="1" ht="47.25" x14ac:dyDescent="0.25">
      <c r="A1146" s="826" t="str">
        <f>IF(B1146&gt;0,VLOOKUP(B1146,КВСР!A393:B1558,2),IF(C1146&gt;0,VLOOKUP(C1146,КФСР!A393:B1905,2),IF(D1146&gt;0,VLOOKUP(D1146,Программа!A$1:B$5124,2),IF(F1146&gt;0,VLOOKUP(F1146,КВР!A$1:B$5001,2),IF(E1146&gt;0,VLOOKUP(E1146,Направление!A$1:B$4816,2))))))</f>
        <v>Расходы на повышение оплаты труда работников муниципальных учреждений в сфере культуры</v>
      </c>
      <c r="B1146" s="760"/>
      <c r="C1146" s="820"/>
      <c r="D1146" s="760"/>
      <c r="E1146" s="760">
        <v>75900</v>
      </c>
      <c r="F1146" s="763"/>
      <c r="G1146" s="812">
        <v>22303904</v>
      </c>
      <c r="H1146" s="812">
        <f>H1147</f>
        <v>0</v>
      </c>
      <c r="I1146" s="805">
        <f>I1147</f>
        <v>22303904</v>
      </c>
    </row>
    <row r="1147" spans="1:9" s="119" customFormat="1" ht="47.25" x14ac:dyDescent="0.25">
      <c r="A1147" s="826" t="str">
        <f>IF(B1147&gt;0,VLOOKUP(B1147,КВСР!A394:B1559,2),IF(C1147&gt;0,VLOOKUP(C1147,КФСР!A394:B1906,2),IF(D1147&gt;0,VLOOKUP(D1147,Программа!A$1:B$5124,2),IF(F1147&gt;0,VLOOKUP(F1147,КВР!A$1:B$5001,2),IF(E1147&gt;0,VLOOKUP(E1147,Направление!A$1:B$4816,2))))))</f>
        <v>Предоставление субсидий бюджетным, автономным учреждениям и иным некоммерческим организациям</v>
      </c>
      <c r="B1147" s="760"/>
      <c r="C1147" s="820"/>
      <c r="D1147" s="760"/>
      <c r="E1147" s="760"/>
      <c r="F1147" s="763">
        <v>600</v>
      </c>
      <c r="G1147" s="812">
        <v>22303904</v>
      </c>
      <c r="H1147" s="812"/>
      <c r="I1147" s="805">
        <f t="shared" si="245"/>
        <v>22303904</v>
      </c>
    </row>
    <row r="1148" spans="1:9" s="119" customFormat="1" ht="78.75" x14ac:dyDescent="0.25">
      <c r="A1148" s="826" t="str">
        <f>IF(B1148&gt;0,VLOOKUP(B1148,КВСР!A395:B1560,2),IF(C1148&gt;0,VLOOKUP(C1148,КФСР!A395:B1907,2),IF(D1148&gt;0,VLOOKUP(D1148,Программа!A$1:B$5124,2),IF(F1148&gt;0,VLOOKUP(F1148,КВР!A$1:B$5001,2),IF(E1148&gt;0,VLOOKUP(E1148,Направление!A$1:B$4816,2)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48" s="760"/>
      <c r="C1148" s="820"/>
      <c r="D1148" s="760"/>
      <c r="E1148" s="760" t="s">
        <v>1494</v>
      </c>
      <c r="F1148" s="763"/>
      <c r="G1148" s="812">
        <v>1636323</v>
      </c>
      <c r="H1148" s="812">
        <f t="shared" ref="H1148:I1148" si="261">H1149</f>
        <v>0</v>
      </c>
      <c r="I1148" s="805">
        <f t="shared" si="261"/>
        <v>1636323</v>
      </c>
    </row>
    <row r="1149" spans="1:9" s="119" customFormat="1" ht="47.25" x14ac:dyDescent="0.25">
      <c r="A1149" s="826" t="str">
        <f>IF(B1149&gt;0,VLOOKUP(B1149,КВСР!A396:B1561,2),IF(C1149&gt;0,VLOOKUP(C1149,КФСР!A396:B1908,2),IF(D1149&gt;0,VLOOKUP(D1149,Программа!A$1:B$5124,2),IF(F1149&gt;0,VLOOKUP(F1149,КВР!A$1:B$5001,2),IF(E1149&gt;0,VLOOKUP(E1149,Направление!A$1:B$4816,2))))))</f>
        <v>Предоставление субсидий бюджетным, автономным учреждениям и иным некоммерческим организациям</v>
      </c>
      <c r="B1149" s="760"/>
      <c r="C1149" s="820"/>
      <c r="D1149" s="760"/>
      <c r="E1149" s="760"/>
      <c r="F1149" s="763">
        <v>600</v>
      </c>
      <c r="G1149" s="812">
        <v>1636323</v>
      </c>
      <c r="H1149" s="812"/>
      <c r="I1149" s="805">
        <f>G1149+H1149</f>
        <v>1636323</v>
      </c>
    </row>
    <row r="1150" spans="1:9" s="119" customFormat="1" ht="47.25" x14ac:dyDescent="0.25">
      <c r="A1150" s="826" t="str">
        <f>IF(B1150&gt;0,VLOOKUP(B1150,КВСР!A395:B1560,2),IF(C1150&gt;0,VLOOKUP(C1150,КФСР!A395:B1907,2),IF(D1150&gt;0,VLOOKUP(D1150,Программа!A$1:B$5124,2),IF(F1150&gt;0,VLOOKUP(F1150,КВР!A$1:B$5001,2),IF(E1150&gt;0,VLOOKUP(E1150,Направление!A$1:B$4816,2))))))</f>
        <v>Поддержка доступа граждан к информационно-библиотечным ресурсам</v>
      </c>
      <c r="B1150" s="760"/>
      <c r="C1150" s="820"/>
      <c r="D1150" s="760" t="s">
        <v>517</v>
      </c>
      <c r="E1150" s="760"/>
      <c r="F1150" s="763"/>
      <c r="G1150" s="812">
        <v>26887693</v>
      </c>
      <c r="H1150" s="812">
        <f>H1151+H1153+H1155+H1157+H1159+H1161+H1163+H1165</f>
        <v>-3003</v>
      </c>
      <c r="I1150" s="805">
        <f>I1151+I1153+I1157+I1155+I1165+I1161+I1159+I1163</f>
        <v>26884690</v>
      </c>
    </row>
    <row r="1151" spans="1:9" s="119" customFormat="1" x14ac:dyDescent="0.25">
      <c r="A1151" s="826" t="str">
        <f>IF(B1151&gt;0,VLOOKUP(B1151,КВСР!A396:B1561,2),IF(C1151&gt;0,VLOOKUP(C1151,КФСР!A396:B1908,2),IF(D1151&gt;0,VLOOKUP(D1151,Программа!A$1:B$5124,2),IF(F1151&gt;0,VLOOKUP(F1151,КВР!A$1:B$5001,2),IF(E1151&gt;0,VLOOKUP(E1151,Направление!A$1:B$4816,2))))))</f>
        <v>Обеспечение деятельности библиотек</v>
      </c>
      <c r="B1151" s="760"/>
      <c r="C1151" s="820"/>
      <c r="D1151" s="760"/>
      <c r="E1151" s="760">
        <v>15110</v>
      </c>
      <c r="F1151" s="763"/>
      <c r="G1151" s="812">
        <v>4686291</v>
      </c>
      <c r="H1151" s="812">
        <f>H1152</f>
        <v>-2</v>
      </c>
      <c r="I1151" s="805">
        <f>I1152</f>
        <v>4686289</v>
      </c>
    </row>
    <row r="1152" spans="1:9" s="119" customFormat="1" ht="47.25" x14ac:dyDescent="0.25">
      <c r="A1152" s="826" t="str">
        <f>IF(B1152&gt;0,VLOOKUP(B1152,КВСР!A397:B1562,2),IF(C1152&gt;0,VLOOKUP(C1152,КФСР!A397:B1909,2),IF(D1152&gt;0,VLOOKUP(D1152,Программа!A$1:B$5124,2),IF(F1152&gt;0,VLOOKUP(F1152,КВР!A$1:B$5001,2),IF(E1152&gt;0,VLOOKUP(E1152,Направление!A$1:B$4816,2))))))</f>
        <v>Предоставление субсидий бюджетным, автономным учреждениям и иным некоммерческим организациям</v>
      </c>
      <c r="B1152" s="760"/>
      <c r="C1152" s="820"/>
      <c r="D1152" s="760"/>
      <c r="E1152" s="760"/>
      <c r="F1152" s="763">
        <v>600</v>
      </c>
      <c r="G1152" s="812">
        <v>4686291</v>
      </c>
      <c r="H1152" s="812">
        <v>-2</v>
      </c>
      <c r="I1152" s="805">
        <f t="shared" si="245"/>
        <v>4686289</v>
      </c>
    </row>
    <row r="1153" spans="1:9" s="119" customFormat="1" x14ac:dyDescent="0.25">
      <c r="A1153" s="826" t="str">
        <f>IF(B1153&gt;0,VLOOKUP(B1153,КВСР!A398:B1563,2),IF(C1153&gt;0,VLOOKUP(C1153,КФСР!A398:B1910,2),IF(D1153&gt;0,VLOOKUP(D1153,Программа!A$1:B$5124,2),IF(F1153&gt;0,VLOOKUP(F1153,КВР!A$1:B$5001,2),IF(E1153&gt;0,VLOOKUP(E1153,Направление!A$1:B$4816,2))))))</f>
        <v>Мероприятия в сфере культуры</v>
      </c>
      <c r="B1153" s="760"/>
      <c r="C1153" s="820"/>
      <c r="D1153" s="760"/>
      <c r="E1153" s="760">
        <v>15220</v>
      </c>
      <c r="F1153" s="763"/>
      <c r="G1153" s="812">
        <v>300000</v>
      </c>
      <c r="H1153" s="812">
        <f>H1154</f>
        <v>0</v>
      </c>
      <c r="I1153" s="805">
        <f>I1154</f>
        <v>300000</v>
      </c>
    </row>
    <row r="1154" spans="1:9" s="119" customFormat="1" ht="47.25" x14ac:dyDescent="0.25">
      <c r="A1154" s="826" t="str">
        <f>IF(B1154&gt;0,VLOOKUP(B1154,КВСР!A399:B1564,2),IF(C1154&gt;0,VLOOKUP(C1154,КФСР!A399:B1911,2),IF(D1154&gt;0,VLOOKUP(D1154,Программа!A$1:B$5124,2),IF(F1154&gt;0,VLOOKUP(F1154,КВР!A$1:B$5001,2),IF(E1154&gt;0,VLOOKUP(E1154,Направление!A$1:B$4816,2))))))</f>
        <v>Предоставление субсидий бюджетным, автономным учреждениям и иным некоммерческим организациям</v>
      </c>
      <c r="B1154" s="760"/>
      <c r="C1154" s="820"/>
      <c r="D1154" s="760"/>
      <c r="E1154" s="760"/>
      <c r="F1154" s="763">
        <v>600</v>
      </c>
      <c r="G1154" s="812">
        <v>300000</v>
      </c>
      <c r="H1154" s="812"/>
      <c r="I1154" s="805">
        <f t="shared" si="245"/>
        <v>300000</v>
      </c>
    </row>
    <row r="1155" spans="1:9" s="119" customFormat="1" ht="47.25" x14ac:dyDescent="0.25">
      <c r="A1155" s="826" t="str">
        <f>IF(B1155&gt;0,VLOOKUP(B1155,КВСР!A400:B1565,2),IF(C1155&gt;0,VLOOKUP(C1155,КФСР!A400:B1912,2),IF(D1155&gt;0,VLOOKUP(D1155,Программа!A$1:B$5124,2),IF(F1155&gt;0,VLOOKUP(F1155,КВР!A$1:B$5001,2),IF(E1155&gt;0,VLOOKUP(E1155,Направление!A$1:B$4816,2))))))</f>
        <v>Расходы на реализацию мероприятий инициативного бюджетирования на территории Ярославской области</v>
      </c>
      <c r="B1155" s="760"/>
      <c r="C1155" s="820"/>
      <c r="D1155" s="760"/>
      <c r="E1155" s="760">
        <v>15350</v>
      </c>
      <c r="F1155" s="763"/>
      <c r="G1155" s="812">
        <v>50000</v>
      </c>
      <c r="H1155" s="812">
        <f t="shared" ref="H1155:I1155" si="262">H1156</f>
        <v>0</v>
      </c>
      <c r="I1155" s="805">
        <f t="shared" si="262"/>
        <v>50000</v>
      </c>
    </row>
    <row r="1156" spans="1:9" s="119" customFormat="1" ht="47.25" x14ac:dyDescent="0.25">
      <c r="A1156" s="826" t="str">
        <f>IF(B1156&gt;0,VLOOKUP(B1156,КВСР!A401:B1566,2),IF(C1156&gt;0,VLOOKUP(C1156,КФСР!A401:B1913,2),IF(D1156&gt;0,VLOOKUP(D1156,Программа!A$1:B$5124,2),IF(F1156&gt;0,VLOOKUP(F1156,КВР!A$1:B$5001,2),IF(E1156&gt;0,VLOOKUP(E1156,Направление!A$1:B$4816,2))))))</f>
        <v>Предоставление субсидий бюджетным, автономным учреждениям и иным некоммерческим организациям</v>
      </c>
      <c r="B1156" s="760"/>
      <c r="C1156" s="820"/>
      <c r="D1156" s="760"/>
      <c r="E1156" s="760"/>
      <c r="F1156" s="763">
        <v>600</v>
      </c>
      <c r="G1156" s="812">
        <v>50000</v>
      </c>
      <c r="H1156" s="812"/>
      <c r="I1156" s="805">
        <f t="shared" si="245"/>
        <v>50000</v>
      </c>
    </row>
    <row r="1157" spans="1:9" s="119" customFormat="1" ht="47.25" x14ac:dyDescent="0.25">
      <c r="A1157" s="826" t="str">
        <f>IF(B1157&gt;0,VLOOKUP(B1157,КВСР!A400:B1565,2),IF(C1157&gt;0,VLOOKUP(C1157,КФСР!A400:B1912,2),IF(D1157&gt;0,VLOOKUP(D1157,Программа!A$1:B$5124,2),IF(F1157&gt;0,VLOOKUP(F1157,КВР!A$1:B$5001,2),IF(E1157&gt;0,VLOOKUP(E1157,Направление!A$1:B$4816,2))))))</f>
        <v>Расходы на повышение оплаты труда работников муниципальных учреждений в сфере культуры</v>
      </c>
      <c r="B1157" s="760"/>
      <c r="C1157" s="820"/>
      <c r="D1157" s="760"/>
      <c r="E1157" s="760">
        <v>15900</v>
      </c>
      <c r="F1157" s="763"/>
      <c r="G1157" s="812">
        <v>12705583</v>
      </c>
      <c r="H1157" s="812">
        <f t="shared" ref="H1157:I1157" si="263">H1158</f>
        <v>0</v>
      </c>
      <c r="I1157" s="805">
        <f t="shared" si="263"/>
        <v>12705583</v>
      </c>
    </row>
    <row r="1158" spans="1:9" s="119" customFormat="1" ht="47.25" x14ac:dyDescent="0.25">
      <c r="A1158" s="826" t="str">
        <f>IF(B1158&gt;0,VLOOKUP(B1158,КВСР!A401:B1566,2),IF(C1158&gt;0,VLOOKUP(C1158,КФСР!A401:B1913,2),IF(D1158&gt;0,VLOOKUP(D1158,Программа!A$1:B$5124,2),IF(F1158&gt;0,VLOOKUP(F1158,КВР!A$1:B$5001,2),IF(E1158&gt;0,VLOOKUP(E1158,Направление!A$1:B$4816,2))))))</f>
        <v>Предоставление субсидий бюджетным, автономным учреждениям и иным некоммерческим организациям</v>
      </c>
      <c r="B1158" s="760"/>
      <c r="C1158" s="820"/>
      <c r="D1158" s="760"/>
      <c r="E1158" s="760"/>
      <c r="F1158" s="763">
        <v>600</v>
      </c>
      <c r="G1158" s="812">
        <v>12705583</v>
      </c>
      <c r="H1158" s="812"/>
      <c r="I1158" s="805">
        <f>G1158+H1158</f>
        <v>12705583</v>
      </c>
    </row>
    <row r="1159" spans="1:9" s="119" customFormat="1" hidden="1" x14ac:dyDescent="0.25">
      <c r="A1159" s="826" t="str">
        <f>IF(B1159&gt;0,VLOOKUP(B1159,КВСР!A402:B1567,2),IF(C1159&gt;0,VLOOKUP(C1159,КФСР!A402:B1914,2),IF(D1159&gt;0,VLOOKUP(D1159,Программа!A$1:B$5124,2),IF(F1159&gt;0,VLOOKUP(F1159,КВР!A$1:B$5001,2),IF(E1159&gt;0,VLOOKUP(E1159,Направление!A$1:B$4816,2))))))</f>
        <v>Библиотечное обслуживание населения</v>
      </c>
      <c r="B1159" s="760"/>
      <c r="C1159" s="820"/>
      <c r="D1159" s="760"/>
      <c r="E1159" s="760">
        <v>29786</v>
      </c>
      <c r="F1159" s="763"/>
      <c r="G1159" s="812">
        <v>0</v>
      </c>
      <c r="H1159" s="812">
        <f t="shared" ref="H1159:I1159" si="264">H1160</f>
        <v>0</v>
      </c>
      <c r="I1159" s="805">
        <f t="shared" si="264"/>
        <v>0</v>
      </c>
    </row>
    <row r="1160" spans="1:9" s="119" customFormat="1" ht="47.25" hidden="1" x14ac:dyDescent="0.25">
      <c r="A1160" s="826" t="str">
        <f>IF(B1160&gt;0,VLOOKUP(B1160,КВСР!A403:B1568,2),IF(C1160&gt;0,VLOOKUP(C1160,КФСР!A403:B1915,2),IF(D1160&gt;0,VLOOKUP(D1160,Программа!A$1:B$5124,2),IF(F1160&gt;0,VLOOKUP(F1160,КВР!A$1:B$5001,2),IF(E1160&gt;0,VLOOKUP(E1160,Направление!A$1:B$4816,2))))))</f>
        <v>Предоставление субсидий бюджетным, автономным учреждениям и иным некоммерческим организациям</v>
      </c>
      <c r="B1160" s="760"/>
      <c r="C1160" s="820"/>
      <c r="D1160" s="760"/>
      <c r="E1160" s="760"/>
      <c r="F1160" s="763">
        <v>600</v>
      </c>
      <c r="G1160" s="812">
        <v>0</v>
      </c>
      <c r="H1160" s="812"/>
      <c r="I1160" s="805">
        <f t="shared" ref="I1160" si="265">G1160+H1160</f>
        <v>0</v>
      </c>
    </row>
    <row r="1161" spans="1:9" s="119" customFormat="1" ht="31.5" x14ac:dyDescent="0.25">
      <c r="A1161" s="826" t="str">
        <f>IF(B1161&gt;0,VLOOKUP(B1161,КВСР!A402:B1567,2),IF(C1161&gt;0,VLOOKUP(C1161,КФСР!A402:B1914,2),IF(D1161&gt;0,VLOOKUP(D1161,Программа!A$1:B$5124,2),IF(F1161&gt;0,VLOOKUP(F1161,КВР!A$1:B$5001,2),IF(E1161&gt;0,VLOOKUP(E1161,Направление!A$1:B$4816,2))))))</f>
        <v>Расходы на комплектование книжных фондов муниципальных библиотек</v>
      </c>
      <c r="B1161" s="760"/>
      <c r="C1161" s="820"/>
      <c r="D1161" s="760"/>
      <c r="E1161" s="760" t="s">
        <v>1752</v>
      </c>
      <c r="F1161" s="763"/>
      <c r="G1161" s="812">
        <v>176275</v>
      </c>
      <c r="H1161" s="812">
        <f t="shared" ref="H1161:I1161" si="266">H1162</f>
        <v>-3001</v>
      </c>
      <c r="I1161" s="805">
        <f t="shared" si="266"/>
        <v>173274</v>
      </c>
    </row>
    <row r="1162" spans="1:9" s="119" customFormat="1" ht="47.25" x14ac:dyDescent="0.25">
      <c r="A1162" s="826" t="str">
        <f>IF(B1162&gt;0,VLOOKUP(B1162,КВСР!A403:B1568,2),IF(C1162&gt;0,VLOOKUP(C1162,КФСР!A403:B1915,2),IF(D1162&gt;0,VLOOKUP(D1162,Программа!A$1:B$5124,2),IF(F1162&gt;0,VLOOKUP(F1162,КВР!A$1:B$5001,2),IF(E1162&gt;0,VLOOKUP(E1162,Направление!A$1:B$4816,2))))))</f>
        <v>Предоставление субсидий бюджетным, автономным учреждениям и иным некоммерческим организациям</v>
      </c>
      <c r="B1162" s="760"/>
      <c r="C1162" s="820"/>
      <c r="D1162" s="760"/>
      <c r="E1162" s="760"/>
      <c r="F1162" s="763">
        <v>600</v>
      </c>
      <c r="G1162" s="812">
        <v>176275</v>
      </c>
      <c r="H1162" s="812">
        <v>-3001</v>
      </c>
      <c r="I1162" s="805">
        <f>G1162+H1162</f>
        <v>173274</v>
      </c>
    </row>
    <row r="1163" spans="1:9" s="119" customFormat="1" ht="47.25" x14ac:dyDescent="0.25">
      <c r="A1163" s="826" t="str">
        <f>IF(B1163&gt;0,VLOOKUP(B1163,КВСР!A404:B1569,2),IF(C1163&gt;0,VLOOKUP(C1163,КФСР!A404:B1916,2),IF(D1163&gt;0,VLOOKUP(D1163,Программа!A$1:B$5124,2),IF(F1163&gt;0,VLOOKUP(F1163,КВР!A$1:B$5001,2),IF(E1163&gt;0,VLOOKUP(E1163,Направление!A$1:B$4816,2))))))</f>
        <v>Расходы на реализацию мероприятий инициативного бюджетирования на территории Ярославской области</v>
      </c>
      <c r="B1163" s="760"/>
      <c r="C1163" s="820"/>
      <c r="D1163" s="760"/>
      <c r="E1163" s="760">
        <v>75350</v>
      </c>
      <c r="F1163" s="763"/>
      <c r="G1163" s="812">
        <v>950000</v>
      </c>
      <c r="H1163" s="812">
        <f t="shared" ref="H1163:I1163" si="267">H1164</f>
        <v>0</v>
      </c>
      <c r="I1163" s="805">
        <f t="shared" si="267"/>
        <v>950000</v>
      </c>
    </row>
    <row r="1164" spans="1:9" s="119" customFormat="1" ht="47.25" x14ac:dyDescent="0.25">
      <c r="A1164" s="826" t="str">
        <f>IF(B1164&gt;0,VLOOKUP(B1164,КВСР!A405:B1570,2),IF(C1164&gt;0,VLOOKUP(C1164,КФСР!A405:B1917,2),IF(D1164&gt;0,VLOOKUP(D1164,Программа!A$1:B$5124,2),IF(F1164&gt;0,VLOOKUP(F1164,КВР!A$1:B$5001,2),IF(E1164&gt;0,VLOOKUP(E1164,Направление!A$1:B$4816,2))))))</f>
        <v>Предоставление субсидий бюджетным, автономным учреждениям и иным некоммерческим организациям</v>
      </c>
      <c r="B1164" s="760"/>
      <c r="C1164" s="820"/>
      <c r="D1164" s="760"/>
      <c r="E1164" s="760"/>
      <c r="F1164" s="763">
        <v>600</v>
      </c>
      <c r="G1164" s="812">
        <v>950000</v>
      </c>
      <c r="H1164" s="812"/>
      <c r="I1164" s="805">
        <f>G1164+H1164</f>
        <v>950000</v>
      </c>
    </row>
    <row r="1165" spans="1:9" s="119" customFormat="1" ht="47.25" x14ac:dyDescent="0.25">
      <c r="A1165" s="826" t="str">
        <f>IF(B1165&gt;0,VLOOKUP(B1165,КВСР!A402:B1567,2),IF(C1165&gt;0,VLOOKUP(C1165,КФСР!A402:B1914,2),IF(D1165&gt;0,VLOOKUP(D1165,Программа!A$1:B$5124,2),IF(F1165&gt;0,VLOOKUP(F1165,КВР!A$1:B$5001,2),IF(E1165&gt;0,VLOOKUP(E1165,Направление!A$1:B$4816,2))))))</f>
        <v>Расходы на повышение оплаты труда работников муниципальных учреждений в сфере культуры</v>
      </c>
      <c r="B1165" s="760"/>
      <c r="C1165" s="820"/>
      <c r="D1165" s="760"/>
      <c r="E1165" s="760">
        <v>75900</v>
      </c>
      <c r="F1165" s="763"/>
      <c r="G1165" s="812">
        <v>8019544</v>
      </c>
      <c r="H1165" s="812">
        <f>H1166</f>
        <v>0</v>
      </c>
      <c r="I1165" s="805">
        <f t="shared" ref="I1165" si="268">I1166</f>
        <v>8019544</v>
      </c>
    </row>
    <row r="1166" spans="1:9" s="119" customFormat="1" ht="47.25" x14ac:dyDescent="0.25">
      <c r="A1166" s="826" t="str">
        <f>IF(B1166&gt;0,VLOOKUP(B1166,КВСР!A403:B1568,2),IF(C1166&gt;0,VLOOKUP(C1166,КФСР!A403:B1915,2),IF(D1166&gt;0,VLOOKUP(D1166,Программа!A$1:B$5124,2),IF(F1166&gt;0,VLOOKUP(F1166,КВР!A$1:B$5001,2),IF(E1166&gt;0,VLOOKUP(E1166,Направление!A$1:B$4816,2))))))</f>
        <v>Предоставление субсидий бюджетным, автономным учреждениям и иным некоммерческим организациям</v>
      </c>
      <c r="B1166" s="760"/>
      <c r="C1166" s="820"/>
      <c r="D1166" s="760"/>
      <c r="E1166" s="760"/>
      <c r="F1166" s="763">
        <v>600</v>
      </c>
      <c r="G1166" s="812">
        <v>8019544</v>
      </c>
      <c r="H1166" s="812"/>
      <c r="I1166" s="805">
        <f t="shared" ref="I1166" si="269">G1166+H1166</f>
        <v>8019544</v>
      </c>
    </row>
    <row r="1167" spans="1:9" s="119" customFormat="1" x14ac:dyDescent="0.25">
      <c r="A1167" s="826" t="str">
        <f>IF(B1167&gt;0,VLOOKUP(B1167,КВСР!A404:B1569,2),IF(C1167&gt;0,VLOOKUP(C1167,КФСР!A404:B1916,2),IF(D1167&gt;0,VLOOKUP(D1167,Программа!A$1:B$5124,2),IF(F1167&gt;0,VLOOKUP(F1167,КВР!A$1:B$5001,2),IF(E1167&gt;0,VLOOKUP(E1167,Направление!A$1:B$4816,2))))))</f>
        <v>Федеральный проект "Культурная среда"</v>
      </c>
      <c r="B1167" s="760"/>
      <c r="C1167" s="820"/>
      <c r="D1167" s="760" t="s">
        <v>1567</v>
      </c>
      <c r="E1167" s="760"/>
      <c r="F1167" s="763"/>
      <c r="G1167" s="812">
        <v>5014545</v>
      </c>
      <c r="H1167" s="812">
        <f>H1170+H1168+H1172</f>
        <v>0</v>
      </c>
      <c r="I1167" s="805">
        <f>I1170+I1168+I1172</f>
        <v>5014545</v>
      </c>
    </row>
    <row r="1168" spans="1:9" s="119" customFormat="1" ht="31.5" x14ac:dyDescent="0.25">
      <c r="A1168" s="826" t="str">
        <f>IF(B1168&gt;0,VLOOKUP(B1168,КВСР!A405:B1570,2),IF(C1168&gt;0,VLOOKUP(C1168,КФСР!A405:B1917,2),IF(D1168&gt;0,VLOOKUP(D1168,Программа!A$1:B$5124,2),IF(F1168&gt;0,VLOOKUP(F1168,КВР!A$1:B$5001,2),IF(E1168&gt;0,VLOOKUP(E1168,Направление!A$1:B$4816,2))))))</f>
        <v>Расходы на проведение капитального ремонта муниципальных библиотек</v>
      </c>
      <c r="B1168" s="760"/>
      <c r="C1168" s="820"/>
      <c r="D1168" s="760"/>
      <c r="E1168" s="760">
        <v>14540</v>
      </c>
      <c r="F1168" s="763"/>
      <c r="G1168" s="812">
        <v>1469853</v>
      </c>
      <c r="H1168" s="812">
        <f t="shared" ref="H1168:I1168" si="270">H1169</f>
        <v>0</v>
      </c>
      <c r="I1168" s="805">
        <f t="shared" si="270"/>
        <v>1469853</v>
      </c>
    </row>
    <row r="1169" spans="1:9" s="119" customFormat="1" ht="51.75" customHeight="1" x14ac:dyDescent="0.25">
      <c r="A1169" s="826" t="str">
        <f>IF(B1169&gt;0,VLOOKUP(B1169,КВСР!A406:B1571,2),IF(C1169&gt;0,VLOOKUP(C1169,КФСР!A406:B1918,2),IF(D1169&gt;0,VLOOKUP(D1169,Программа!A$1:B$5124,2),IF(F1169&gt;0,VLOOKUP(F1169,КВР!A$1:B$5001,2),IF(E1169&gt;0,VLOOKUP(E1169,Направление!A$1:B$4816,2))))))</f>
        <v>Предоставление субсидий бюджетным, автономным учреждениям и иным некоммерческим организациям</v>
      </c>
      <c r="B1169" s="760"/>
      <c r="C1169" s="820"/>
      <c r="D1169" s="760"/>
      <c r="E1169" s="760"/>
      <c r="F1169" s="763">
        <v>600</v>
      </c>
      <c r="G1169" s="812">
        <v>1469853</v>
      </c>
      <c r="H1169" s="812"/>
      <c r="I1169" s="805">
        <f>G1169+H1169</f>
        <v>1469853</v>
      </c>
    </row>
    <row r="1170" spans="1:9" s="119" customFormat="1" ht="47.85" customHeight="1" x14ac:dyDescent="0.25">
      <c r="A1170" s="826" t="str">
        <f>IF(B1170&gt;0,VLOOKUP(B1170,КВСР!A407:B1572,2),IF(C1170&gt;0,VLOOKUP(C1170,КФСР!A407:B1919,2),IF(D1170&gt;0,VLOOKUP(D1170,Программа!A$1:B$5124,2),IF(F1170&gt;0,VLOOKUP(F1170,КВР!A$1:B$5001,2),IF(E1170&gt;0,VLOOKUP(E1170,Направление!A$1:B$4816,2))))))</f>
        <v>Расходы на капитальный ремонт учреждений культурно-досугового типа в сельской местности</v>
      </c>
      <c r="B1170" s="760"/>
      <c r="C1170" s="820"/>
      <c r="D1170" s="760"/>
      <c r="E1170" s="760">
        <v>55133</v>
      </c>
      <c r="F1170" s="763"/>
      <c r="G1170" s="812">
        <v>334765</v>
      </c>
      <c r="H1170" s="812">
        <f>H1171</f>
        <v>0</v>
      </c>
      <c r="I1170" s="805">
        <f>I1171</f>
        <v>334765</v>
      </c>
    </row>
    <row r="1171" spans="1:9" s="119" customFormat="1" ht="47.25" x14ac:dyDescent="0.25">
      <c r="A1171" s="826" t="str">
        <f>IF(B1171&gt;0,VLOOKUP(B1171,КВСР!A406:B1571,2),IF(C1171&gt;0,VLOOKUP(C1171,КФСР!A406:B1918,2),IF(D1171&gt;0,VLOOKUP(D1171,Программа!A$1:B$5124,2),IF(F1171&gt;0,VLOOKUP(F1171,КВР!A$1:B$5001,2),IF(E1171&gt;0,VLOOKUP(E1171,Направление!A$1:B$4816,2))))))</f>
        <v>Предоставление субсидий бюджетным, автономным учреждениям и иным некоммерческим организациям</v>
      </c>
      <c r="B1171" s="760"/>
      <c r="C1171" s="820"/>
      <c r="D1171" s="760"/>
      <c r="E1171" s="760"/>
      <c r="F1171" s="763">
        <v>600</v>
      </c>
      <c r="G1171" s="812">
        <v>334765</v>
      </c>
      <c r="H1171" s="812"/>
      <c r="I1171" s="805">
        <f t="shared" ref="I1171:I1173" si="271">G1171+H1171</f>
        <v>334765</v>
      </c>
    </row>
    <row r="1172" spans="1:9" s="119" customFormat="1" ht="31.5" x14ac:dyDescent="0.25">
      <c r="A1172" s="826" t="str">
        <f>IF(B1172&gt;0,VLOOKUP(B1172,КВСР!A407:B1572,2),IF(C1172&gt;0,VLOOKUP(C1172,КФСР!A407:B1919,2),IF(D1172&gt;0,VLOOKUP(D1172,Программа!A$1:B$5124,2),IF(F1172&gt;0,VLOOKUP(F1172,КВР!A$1:B$5001,2),IF(E1172&gt;0,VLOOKUP(E1172,Направление!A$1:B$4816,2))))))</f>
        <v>Расходы на проведение капитального ремонта муниципальных библиотек</v>
      </c>
      <c r="B1172" s="760"/>
      <c r="C1172" s="820"/>
      <c r="D1172" s="760"/>
      <c r="E1172" s="760">
        <v>74540</v>
      </c>
      <c r="F1172" s="763"/>
      <c r="G1172" s="812">
        <v>3209927</v>
      </c>
      <c r="H1172" s="812">
        <f t="shared" ref="H1172:I1172" si="272">H1173</f>
        <v>0</v>
      </c>
      <c r="I1172" s="805">
        <f t="shared" si="272"/>
        <v>3209927</v>
      </c>
    </row>
    <row r="1173" spans="1:9" s="119" customFormat="1" ht="47.25" x14ac:dyDescent="0.25">
      <c r="A1173" s="826" t="str">
        <f>IF(B1173&gt;0,VLOOKUP(B1173,КВСР!A408:B1573,2),IF(C1173&gt;0,VLOOKUP(C1173,КФСР!A408:B1920,2),IF(D1173&gt;0,VLOOKUP(D1173,Программа!A$1:B$5124,2),IF(F1173&gt;0,VLOOKUP(F1173,КВР!A$1:B$5001,2),IF(E1173&gt;0,VLOOKUP(E1173,Направление!A$1:B$4816,2))))))</f>
        <v>Предоставление субсидий бюджетным, автономным учреждениям и иным некоммерческим организациям</v>
      </c>
      <c r="B1173" s="760"/>
      <c r="C1173" s="820"/>
      <c r="D1173" s="760"/>
      <c r="E1173" s="760"/>
      <c r="F1173" s="763">
        <v>600</v>
      </c>
      <c r="G1173" s="812">
        <v>3209927</v>
      </c>
      <c r="H1173" s="812"/>
      <c r="I1173" s="805">
        <f t="shared" si="271"/>
        <v>3209927</v>
      </c>
    </row>
    <row r="1174" spans="1:9" s="119" customFormat="1" ht="47.25" x14ac:dyDescent="0.25">
      <c r="A1174" s="826" t="str">
        <f>IF(B1174&gt;0,VLOOKUP(B1174,КВСР!A398:B1563,2),IF(C1174&gt;0,VLOOKUP(C1174,КФСР!A398:B1910,2),IF(D1174&gt;0,VLOOKUP(D1174,Программа!A$1:B$5124,2),IF(F1174&gt;0,VLOOKUP(F1174,КВР!A$1:B$5001,2),IF(E1174&gt;0,VLOOKUP(E1174,Направление!A$1:B$4816,2))))))</f>
        <v>Муниципальная программа "Социальная поддержка населения Тутаевского муниципального района"</v>
      </c>
      <c r="B1174" s="760"/>
      <c r="C1174" s="820"/>
      <c r="D1174" s="760" t="s">
        <v>376</v>
      </c>
      <c r="E1174" s="760"/>
      <c r="F1174" s="763"/>
      <c r="G1174" s="812">
        <v>377920</v>
      </c>
      <c r="H1174" s="812">
        <f>H1175</f>
        <v>-37404</v>
      </c>
      <c r="I1174" s="805">
        <f>I1175</f>
        <v>340516</v>
      </c>
    </row>
    <row r="1175" spans="1:9" s="119" customFormat="1" ht="47.25" x14ac:dyDescent="0.25">
      <c r="A1175" s="826" t="str">
        <f>IF(B1175&gt;0,VLOOKUP(B1175,КВСР!A399:B1564,2),IF(C1175&gt;0,VLOOKUP(C1175,КФСР!A399:B1911,2),IF(D1175&gt;0,VLOOKUP(D1175,Программа!A$1:B$5124,2),IF(F1175&gt;0,VLOOKUP(F1175,КВР!A$1:B$5001,2),IF(E1175&gt;0,VLOOKUP(E1175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75" s="760"/>
      <c r="C1175" s="820"/>
      <c r="D1175" s="760" t="s">
        <v>378</v>
      </c>
      <c r="E1175" s="760"/>
      <c r="F1175" s="763"/>
      <c r="G1175" s="812">
        <v>377920</v>
      </c>
      <c r="H1175" s="812">
        <f t="shared" ref="H1175" si="273">H1176+H1182+H1179</f>
        <v>-37404</v>
      </c>
      <c r="I1175" s="805">
        <f t="shared" ref="I1175" si="274">I1176+I1182+I1179</f>
        <v>340516</v>
      </c>
    </row>
    <row r="1176" spans="1:9" s="119" customFormat="1" ht="63" x14ac:dyDescent="0.25">
      <c r="A1176" s="826" t="str">
        <f>IF(B1176&gt;0,VLOOKUP(B1176,КВСР!A400:B1565,2),IF(C1176&gt;0,VLOOKUP(C1176,КФСР!A400:B1912,2),IF(D1176&gt;0,VLOOKUP(D1176,Программа!A$1:B$5124,2),IF(F1176&gt;0,VLOOKUP(F1176,КВР!A$1:B$5001,2),IF(E1176&gt;0,VLOOKUP(E1176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76" s="760"/>
      <c r="C1176" s="820"/>
      <c r="D1176" s="760" t="s">
        <v>379</v>
      </c>
      <c r="E1176" s="760"/>
      <c r="F1176" s="763"/>
      <c r="G1176" s="812">
        <v>55400</v>
      </c>
      <c r="H1176" s="812">
        <f>H1177</f>
        <v>-6600</v>
      </c>
      <c r="I1176" s="805">
        <f>I1177</f>
        <v>48800</v>
      </c>
    </row>
    <row r="1177" spans="1:9" s="119" customFormat="1" ht="31.5" x14ac:dyDescent="0.25">
      <c r="A1177" s="826" t="str">
        <f>IF(B1177&gt;0,VLOOKUP(B1177,КВСР!A401:B1566,2),IF(C1177&gt;0,VLOOKUP(C1177,КФСР!A401:B1913,2),IF(D1177&gt;0,VLOOKUP(D1177,Программа!A$1:B$5124,2),IF(F1177&gt;0,VLOOKUP(F1177,КВР!A$1:B$5001,2),IF(E1177&gt;0,VLOOKUP(E1177,Направление!A$1:B$4816,2))))))</f>
        <v>Расходы на реализацию мероприятий по улучшению условий и охраны труда</v>
      </c>
      <c r="B1177" s="760"/>
      <c r="C1177" s="820"/>
      <c r="D1177" s="760"/>
      <c r="E1177" s="760">
        <v>16150</v>
      </c>
      <c r="F1177" s="763"/>
      <c r="G1177" s="812">
        <v>55400</v>
      </c>
      <c r="H1177" s="812">
        <f>H1178</f>
        <v>-6600</v>
      </c>
      <c r="I1177" s="805">
        <f>I1178</f>
        <v>48800</v>
      </c>
    </row>
    <row r="1178" spans="1:9" s="119" customFormat="1" ht="47.25" x14ac:dyDescent="0.25">
      <c r="A1178" s="826" t="str">
        <f>IF(B1178&gt;0,VLOOKUP(B1178,КВСР!A402:B1567,2),IF(C1178&gt;0,VLOOKUP(C1178,КФСР!A402:B1914,2),IF(D1178&gt;0,VLOOKUP(D1178,Программа!A$1:B$5124,2),IF(F1178&gt;0,VLOOKUP(F1178,КВР!A$1:B$5001,2),IF(E1178&gt;0,VLOOKUP(E1178,Направление!A$1:B$4816,2))))))</f>
        <v>Предоставление субсидий бюджетным, автономным учреждениям и иным некоммерческим организациям</v>
      </c>
      <c r="B1178" s="760"/>
      <c r="C1178" s="820"/>
      <c r="D1178" s="760"/>
      <c r="E1178" s="760"/>
      <c r="F1178" s="763">
        <v>600</v>
      </c>
      <c r="G1178" s="812">
        <v>55400</v>
      </c>
      <c r="H1178" s="812">
        <v>-6600</v>
      </c>
      <c r="I1178" s="805">
        <f t="shared" si="245"/>
        <v>48800</v>
      </c>
    </row>
    <row r="1179" spans="1:9" s="119" customFormat="1" ht="63" x14ac:dyDescent="0.25">
      <c r="A1179" s="826" t="str">
        <f>IF(B1179&gt;0,VLOOKUP(B1179,КВСР!A403:B1568,2),IF(C1179&gt;0,VLOOKUP(C1179,КФСР!A403:B1915,2),IF(D1179&gt;0,VLOOKUP(D1179,Программа!A$1:B$5124,2),IF(F1179&gt;0,VLOOKUP(F1179,КВР!A$1:B$5001,2),IF(E1179&gt;0,VLOOKUP(E1179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179" s="760"/>
      <c r="C1179" s="820"/>
      <c r="D1179" s="760" t="s">
        <v>1341</v>
      </c>
      <c r="E1179" s="760"/>
      <c r="F1179" s="763"/>
      <c r="G1179" s="812">
        <v>215105</v>
      </c>
      <c r="H1179" s="812">
        <f t="shared" ref="H1179:I1180" si="275">H1180</f>
        <v>-20009</v>
      </c>
      <c r="I1179" s="805">
        <f t="shared" si="275"/>
        <v>195096</v>
      </c>
    </row>
    <row r="1180" spans="1:9" s="119" customFormat="1" ht="31.5" x14ac:dyDescent="0.25">
      <c r="A1180" s="826" t="str">
        <f>IF(B1180&gt;0,VLOOKUP(B1180,КВСР!A404:B1569,2),IF(C1180&gt;0,VLOOKUP(C1180,КФСР!A404:B1916,2),IF(D1180&gt;0,VLOOKUP(D1180,Программа!A$1:B$5124,2),IF(F1180&gt;0,VLOOKUP(F1180,КВР!A$1:B$5001,2),IF(E1180&gt;0,VLOOKUP(E1180,Направление!A$1:B$4816,2))))))</f>
        <v>Расходы на реализацию мероприятий по улучшению условий и охраны труда</v>
      </c>
      <c r="B1180" s="760"/>
      <c r="C1180" s="820"/>
      <c r="D1180" s="760"/>
      <c r="E1180" s="760">
        <v>16150</v>
      </c>
      <c r="F1180" s="763"/>
      <c r="G1180" s="812">
        <v>215105</v>
      </c>
      <c r="H1180" s="812">
        <f t="shared" si="275"/>
        <v>-20009</v>
      </c>
      <c r="I1180" s="805">
        <f t="shared" si="275"/>
        <v>195096</v>
      </c>
    </row>
    <row r="1181" spans="1:9" s="119" customFormat="1" ht="47.25" x14ac:dyDescent="0.25">
      <c r="A1181" s="826" t="str">
        <f>IF(B1181&gt;0,VLOOKUP(B1181,КВСР!A405:B1570,2),IF(C1181&gt;0,VLOOKUP(C1181,КФСР!A405:B1917,2),IF(D1181&gt;0,VLOOKUP(D1181,Программа!A$1:B$5124,2),IF(F1181&gt;0,VLOOKUP(F1181,КВР!A$1:B$5001,2),IF(E1181&gt;0,VLOOKUP(E1181,Направление!A$1:B$4816,2))))))</f>
        <v>Предоставление субсидий бюджетным, автономным учреждениям и иным некоммерческим организациям</v>
      </c>
      <c r="B1181" s="760"/>
      <c r="C1181" s="820"/>
      <c r="D1181" s="760"/>
      <c r="E1181" s="760"/>
      <c r="F1181" s="763">
        <v>600</v>
      </c>
      <c r="G1181" s="812">
        <v>215105</v>
      </c>
      <c r="H1181" s="812">
        <v>-20009</v>
      </c>
      <c r="I1181" s="805">
        <f t="shared" si="245"/>
        <v>195096</v>
      </c>
    </row>
    <row r="1182" spans="1:9" s="119" customFormat="1" ht="47.25" x14ac:dyDescent="0.25">
      <c r="A1182" s="826" t="str">
        <f>IF(B1182&gt;0,VLOOKUP(B1182,КВСР!A403:B1568,2),IF(C1182&gt;0,VLOOKUP(C1182,КФСР!A403:B1915,2),IF(D1182&gt;0,VLOOKUP(D1182,Программа!A$1:B$5124,2),IF(F1182&gt;0,VLOOKUP(F1182,КВР!A$1:B$5001,2),IF(E1182&gt;0,VLOOKUP(E1182,Направление!A$1:B$4816,2))))))</f>
        <v>Обучение по охране труда работников организаций Тутаевского муниципального района</v>
      </c>
      <c r="B1182" s="760"/>
      <c r="C1182" s="820"/>
      <c r="D1182" s="760" t="s">
        <v>1036</v>
      </c>
      <c r="E1182" s="760"/>
      <c r="F1182" s="763"/>
      <c r="G1182" s="812">
        <v>107415</v>
      </c>
      <c r="H1182" s="812">
        <f>H1183</f>
        <v>-10795</v>
      </c>
      <c r="I1182" s="805">
        <f>I1183</f>
        <v>96620</v>
      </c>
    </row>
    <row r="1183" spans="1:9" s="119" customFormat="1" ht="31.5" x14ac:dyDescent="0.25">
      <c r="A1183" s="826" t="str">
        <f>IF(B1183&gt;0,VLOOKUP(B1183,КВСР!A404:B1569,2),IF(C1183&gt;0,VLOOKUP(C1183,КФСР!A404:B1916,2),IF(D1183&gt;0,VLOOKUP(D1183,Программа!A$1:B$5124,2),IF(F1183&gt;0,VLOOKUP(F1183,КВР!A$1:B$5001,2),IF(E1183&gt;0,VLOOKUP(E1183,Направление!A$1:B$4816,2))))))</f>
        <v>Расходы на реализацию мероприятий по улучшению условий и охраны труда</v>
      </c>
      <c r="B1183" s="760"/>
      <c r="C1183" s="820"/>
      <c r="D1183" s="760"/>
      <c r="E1183" s="760">
        <v>16150</v>
      </c>
      <c r="F1183" s="763"/>
      <c r="G1183" s="812">
        <v>107415</v>
      </c>
      <c r="H1183" s="812">
        <f>H1184</f>
        <v>-10795</v>
      </c>
      <c r="I1183" s="805">
        <f>I1184</f>
        <v>96620</v>
      </c>
    </row>
    <row r="1184" spans="1:9" s="119" customFormat="1" ht="47.25" x14ac:dyDescent="0.25">
      <c r="A1184" s="826" t="str">
        <f>IF(B1184&gt;0,VLOOKUP(B1184,КВСР!A405:B1570,2),IF(C1184&gt;0,VLOOKUP(C1184,КФСР!A405:B1917,2),IF(D1184&gt;0,VLOOKUP(D1184,Программа!A$1:B$5124,2),IF(F1184&gt;0,VLOOKUP(F1184,КВР!A$1:B$5001,2),IF(E1184&gt;0,VLOOKUP(E1184,Направление!A$1:B$4816,2))))))</f>
        <v>Предоставление субсидий бюджетным, автономным учреждениям и иным некоммерческим организациям</v>
      </c>
      <c r="B1184" s="760"/>
      <c r="C1184" s="820"/>
      <c r="D1184" s="760"/>
      <c r="E1184" s="760"/>
      <c r="F1184" s="763">
        <v>600</v>
      </c>
      <c r="G1184" s="812">
        <v>107415</v>
      </c>
      <c r="H1184" s="812">
        <v>-10795</v>
      </c>
      <c r="I1184" s="805">
        <f t="shared" si="245"/>
        <v>96620</v>
      </c>
    </row>
    <row r="1185" spans="1:9" s="119" customFormat="1" ht="31.5" hidden="1" x14ac:dyDescent="0.25">
      <c r="A1185" s="826" t="str">
        <f>IF(B1185&gt;0,VLOOKUP(B1185,КВСР!A401:B1566,2),IF(C1185&gt;0,VLOOKUP(C1185,КФСР!A401:B1913,2),IF(D1185&gt;0,VLOOKUP(D1185,Программа!A$1:B$5124,2),IF(F1185&gt;0,VLOOKUP(F1185,КВР!A$1:B$5001,2),IF(E1185&gt;0,VLOOKUP(E1185,Направление!A$1:B$4816,2))))))</f>
        <v>Муниципальная программа "Доступная среда "</v>
      </c>
      <c r="B1185" s="760"/>
      <c r="C1185" s="820"/>
      <c r="D1185" s="760" t="s">
        <v>508</v>
      </c>
      <c r="E1185" s="760"/>
      <c r="F1185" s="763"/>
      <c r="G1185" s="812">
        <v>0</v>
      </c>
      <c r="H1185" s="812">
        <f t="shared" ref="H1185:H1187" si="276">H1186</f>
        <v>0</v>
      </c>
      <c r="I1185" s="805">
        <f t="shared" si="245"/>
        <v>0</v>
      </c>
    </row>
    <row r="1186" spans="1:9" s="119" customFormat="1" ht="94.5" hidden="1" x14ac:dyDescent="0.25">
      <c r="A1186" s="826" t="str">
        <f>IF(B1186&gt;0,VLOOKUP(B1186,КВСР!A396:B1561,2),IF(C1186&gt;0,VLOOKUP(C1186,КФСР!A396:B1908,2),IF(D1186&gt;0,VLOOKUP(D1186,Программа!A$1:B$5124,2),IF(F1186&gt;0,VLOOKUP(F1186,КВР!A$1:B$5001,2),IF(E1186&gt;0,VLOOKUP(E1186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86" s="760"/>
      <c r="C1186" s="820"/>
      <c r="D1186" s="760" t="s">
        <v>509</v>
      </c>
      <c r="E1186" s="760"/>
      <c r="F1186" s="763"/>
      <c r="G1186" s="812">
        <v>0</v>
      </c>
      <c r="H1186" s="812">
        <f t="shared" si="276"/>
        <v>0</v>
      </c>
      <c r="I1186" s="805">
        <f t="shared" si="245"/>
        <v>0</v>
      </c>
    </row>
    <row r="1187" spans="1:9" s="119" customFormat="1" ht="47.25" hidden="1" x14ac:dyDescent="0.25">
      <c r="A1187" s="826" t="str">
        <f>IF(B1187&gt;0,VLOOKUP(B1187,КВСР!A397:B1562,2),IF(C1187&gt;0,VLOOKUP(C1187,КФСР!A397:B1909,2),IF(D1187&gt;0,VLOOKUP(D1187,Программа!A$1:B$5124,2),IF(F1187&gt;0,VLOOKUP(F1187,КВР!A$1:B$5001,2),IF(E1187&gt;0,VLOOKUP(E1187,Направление!A$1:B$4816,2))))))</f>
        <v>Расходы на оборудование социально значимых объектов с целью обеспечения доступности для инвалидов</v>
      </c>
      <c r="B1187" s="760"/>
      <c r="C1187" s="820"/>
      <c r="D1187" s="760"/>
      <c r="E1187" s="760">
        <v>16250</v>
      </c>
      <c r="F1187" s="763"/>
      <c r="G1187" s="812">
        <v>0</v>
      </c>
      <c r="H1187" s="812">
        <f t="shared" si="276"/>
        <v>0</v>
      </c>
      <c r="I1187" s="805">
        <f t="shared" si="245"/>
        <v>0</v>
      </c>
    </row>
    <row r="1188" spans="1:9" s="119" customFormat="1" ht="47.25" hidden="1" x14ac:dyDescent="0.25">
      <c r="A1188" s="826" t="str">
        <f>IF(B1188&gt;0,VLOOKUP(B1188,КВСР!A398:B1563,2),IF(C1188&gt;0,VLOOKUP(C1188,КФСР!A398:B1910,2),IF(D1188&gt;0,VLOOKUP(D1188,Программа!A$1:B$5124,2),IF(F1188&gt;0,VLOOKUP(F1188,КВР!A$1:B$5001,2),IF(E1188&gt;0,VLOOKUP(E1188,Направление!A$1:B$4816,2))))))</f>
        <v>Предоставление субсидий бюджетным, автономным учреждениям и иным некоммерческим организациям</v>
      </c>
      <c r="B1188" s="760"/>
      <c r="C1188" s="820"/>
      <c r="D1188" s="760"/>
      <c r="E1188" s="760"/>
      <c r="F1188" s="763">
        <v>600</v>
      </c>
      <c r="G1188" s="812">
        <v>0</v>
      </c>
      <c r="H1188" s="812"/>
      <c r="I1188" s="805">
        <f t="shared" si="245"/>
        <v>0</v>
      </c>
    </row>
    <row r="1189" spans="1:9" s="119" customFormat="1" ht="31.5" x14ac:dyDescent="0.25">
      <c r="A1189" s="826" t="str">
        <f>IF(B1189&gt;0,VLOOKUP(B1189,КВСР!A402:B1567,2),IF(C1189&gt;0,VLOOKUP(C1189,КФСР!A402:B1914,2),IF(D1189&gt;0,VLOOKUP(D1189,Программа!A$1:B$5124,2),IF(F1189&gt;0,VLOOKUP(F1189,КВР!A$1:B$5001,2),IF(E1189&gt;0,VLOOKUP(E1189,Направление!A$1:B$4816,2))))))</f>
        <v>Другие вопросы в области культуры, кинематографии</v>
      </c>
      <c r="B1189" s="760"/>
      <c r="C1189" s="827">
        <v>804</v>
      </c>
      <c r="D1189" s="760"/>
      <c r="E1189" s="760"/>
      <c r="F1189" s="763"/>
      <c r="G1189" s="812">
        <v>36884432</v>
      </c>
      <c r="H1189" s="812">
        <f>H1190+H1224+H1206+H1211+H1216+H1220</f>
        <v>872507.08</v>
      </c>
      <c r="I1189" s="805">
        <f>I1190+I1224+I1206+I1211+I1216+I1220</f>
        <v>37756939.079999998</v>
      </c>
    </row>
    <row r="1190" spans="1:9" s="119" customFormat="1" ht="63" x14ac:dyDescent="0.25">
      <c r="A1190" s="826" t="str">
        <f>IF(B1190&gt;0,VLOOKUP(B1190,КВСР!A403:B1568,2),IF(C1190&gt;0,VLOOKUP(C1190,КФСР!A403:B1915,2),IF(D1190&gt;0,VLOOKUP(D1190,Программа!A$1:B$5124,2),IF(F1190&gt;0,VLOOKUP(F1190,КВР!A$1:B$5001,2),IF(E1190&gt;0,VLOOKUP(E1190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90" s="760"/>
      <c r="C1190" s="820"/>
      <c r="D1190" s="760" t="s">
        <v>396</v>
      </c>
      <c r="E1190" s="760"/>
      <c r="F1190" s="763"/>
      <c r="G1190" s="812">
        <v>36715172</v>
      </c>
      <c r="H1190" s="812">
        <f>H1191</f>
        <v>872507.08</v>
      </c>
      <c r="I1190" s="805">
        <f>I1191</f>
        <v>37587679.079999998</v>
      </c>
    </row>
    <row r="1191" spans="1:9" s="119" customFormat="1" ht="47.25" x14ac:dyDescent="0.25">
      <c r="A1191" s="826" t="str">
        <f>IF(B1191&gt;0,VLOOKUP(B1191,КВСР!A404:B1569,2),IF(C1191&gt;0,VLOOKUP(C1191,КФСР!A404:B1916,2),IF(D1191&gt;0,VLOOKUP(D1191,Программа!A$1:B$5124,2),IF(F1191&gt;0,VLOOKUP(F1191,КВР!A$1:B$5001,2),IF(E1191&gt;0,VLOOKUP(E1191,Направление!A$1:B$4816,2))))))</f>
        <v>Ведомственная целевая программа «Сохранение и развитие культуры Тутаевского муниципального района»</v>
      </c>
      <c r="B1191" s="760"/>
      <c r="C1191" s="820"/>
      <c r="D1191" s="760" t="s">
        <v>494</v>
      </c>
      <c r="E1191" s="760"/>
      <c r="F1191" s="763"/>
      <c r="G1191" s="812">
        <v>36715172</v>
      </c>
      <c r="H1191" s="812">
        <f>H1192</f>
        <v>872507.08</v>
      </c>
      <c r="I1191" s="805">
        <f>I1192</f>
        <v>37587679.079999998</v>
      </c>
    </row>
    <row r="1192" spans="1:9" s="119" customFormat="1" ht="31.5" x14ac:dyDescent="0.25">
      <c r="A1192" s="826" t="str">
        <f>IF(B1192&gt;0,VLOOKUP(B1192,КВСР!A405:B1570,2),IF(C1192&gt;0,VLOOKUP(C1192,КФСР!A405:B1917,2),IF(D1192&gt;0,VLOOKUP(D1192,Программа!A$1:B$5124,2),IF(F1192&gt;0,VLOOKUP(F1192,КВР!A$1:B$5001,2),IF(E1192&gt;0,VLOOKUP(E1192,Направление!A$1:B$4816,2))))))</f>
        <v>Обеспечение эффективности управления системой культуры</v>
      </c>
      <c r="B1192" s="760"/>
      <c r="C1192" s="820"/>
      <c r="D1192" s="760" t="s">
        <v>520</v>
      </c>
      <c r="E1192" s="760"/>
      <c r="F1192" s="763"/>
      <c r="G1192" s="812">
        <v>36715172</v>
      </c>
      <c r="H1192" s="812">
        <f>H1193+H1197+H1201+H1204</f>
        <v>872507.08</v>
      </c>
      <c r="I1192" s="805">
        <f>I1193+I1197+I1201+I1204</f>
        <v>37587679.079999998</v>
      </c>
    </row>
    <row r="1193" spans="1:9" s="119" customFormat="1" x14ac:dyDescent="0.25">
      <c r="A1193" s="826" t="str">
        <f>IF(B1193&gt;0,VLOOKUP(B1193,КВСР!A405:B1570,2),IF(C1193&gt;0,VLOOKUP(C1193,КФСР!A405:B1917,2),IF(D1193&gt;0,VLOOKUP(D1193,Программа!A$1:B$5124,2),IF(F1193&gt;0,VLOOKUP(F1193,КВР!A$1:B$5001,2),IF(E1193&gt;0,VLOOKUP(E1193,Направление!A$1:B$4816,2))))))</f>
        <v>Содержание центрального аппарата</v>
      </c>
      <c r="B1193" s="760"/>
      <c r="C1193" s="820"/>
      <c r="D1193" s="760"/>
      <c r="E1193" s="760">
        <v>12010</v>
      </c>
      <c r="F1193" s="763"/>
      <c r="G1193" s="812">
        <v>4112619</v>
      </c>
      <c r="H1193" s="812">
        <f>H1194+H1195+H1196</f>
        <v>102821</v>
      </c>
      <c r="I1193" s="805">
        <f>I1194+I1195+I1196</f>
        <v>4215440</v>
      </c>
    </row>
    <row r="1194" spans="1:9" s="119" customFormat="1" ht="110.25" x14ac:dyDescent="0.25">
      <c r="A1194" s="826" t="str">
        <f>IF(B1194&gt;0,VLOOKUP(B1194,КВСР!A406:B1571,2),IF(C1194&gt;0,VLOOKUP(C1194,КФСР!A406:B1918,2),IF(D1194&gt;0,VLOOKUP(D1194,Программа!A$1:B$5124,2),IF(F1194&gt;0,VLOOKUP(F1194,КВР!A$1:B$5001,2),IF(E1194&gt;0,VLOOKUP(E1194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4" s="760"/>
      <c r="C1194" s="820"/>
      <c r="D1194" s="760"/>
      <c r="E1194" s="760"/>
      <c r="F1194" s="763">
        <v>100</v>
      </c>
      <c r="G1194" s="812">
        <v>3815728</v>
      </c>
      <c r="H1194" s="812">
        <f>56278.1+3819+170114.9-60000-1</f>
        <v>170211</v>
      </c>
      <c r="I1194" s="805">
        <f t="shared" si="245"/>
        <v>3985939</v>
      </c>
    </row>
    <row r="1195" spans="1:9" s="119" customFormat="1" ht="63" x14ac:dyDescent="0.25">
      <c r="A1195" s="826" t="str">
        <f>IF(B1195&gt;0,VLOOKUP(B1195,КВСР!A407:B1572,2),IF(C1195&gt;0,VLOOKUP(C1195,КФСР!A407:B1919,2),IF(D1195&gt;0,VLOOKUP(D1195,Программа!A$1:B$5124,2),IF(F1195&gt;0,VLOOKUP(F1195,КВР!A$1:B$5001,2),IF(E1195&gt;0,VLOOKUP(E1195,Направление!A$1:B$4816,2))))))</f>
        <v xml:space="preserve">Закупка товаров, работ и услуг для обеспечения государственных (муниципальных) нужд
</v>
      </c>
      <c r="B1195" s="760"/>
      <c r="C1195" s="820"/>
      <c r="D1195" s="760"/>
      <c r="E1195" s="760"/>
      <c r="F1195" s="763">
        <v>200</v>
      </c>
      <c r="G1195" s="812">
        <v>253891</v>
      </c>
      <c r="H1195" s="812">
        <f>32888-97278</f>
        <v>-64390</v>
      </c>
      <c r="I1195" s="805">
        <f t="shared" si="245"/>
        <v>189501</v>
      </c>
    </row>
    <row r="1196" spans="1:9" s="119" customFormat="1" x14ac:dyDescent="0.25">
      <c r="A1196" s="826" t="str">
        <f>IF(B1196&gt;0,VLOOKUP(B1196,КВСР!A408:B1573,2),IF(C1196&gt;0,VLOOKUP(C1196,КФСР!A408:B1920,2),IF(D1196&gt;0,VLOOKUP(D1196,Программа!A$1:B$5124,2),IF(F1196&gt;0,VLOOKUP(F1196,КВР!A$1:B$5001,2),IF(E1196&gt;0,VLOOKUP(E1196,Направление!A$1:B$4816,2))))))</f>
        <v>Иные бюджетные ассигнования</v>
      </c>
      <c r="B1196" s="760"/>
      <c r="C1196" s="820"/>
      <c r="D1196" s="760"/>
      <c r="E1196" s="760"/>
      <c r="F1196" s="763">
        <v>800</v>
      </c>
      <c r="G1196" s="812">
        <v>43000</v>
      </c>
      <c r="H1196" s="812">
        <v>-3000</v>
      </c>
      <c r="I1196" s="805">
        <f t="shared" si="245"/>
        <v>40000</v>
      </c>
    </row>
    <row r="1197" spans="1:9" s="119" customFormat="1" ht="31.5" x14ac:dyDescent="0.25">
      <c r="A1197" s="826" t="str">
        <f>IF(B1197&gt;0,VLOOKUP(B1197,КВСР!A409:B1574,2),IF(C1197&gt;0,VLOOKUP(C1197,КФСР!A409:B1921,2),IF(D1197&gt;0,VLOOKUP(D1197,Программа!A$1:B$5124,2),IF(F1197&gt;0,VLOOKUP(F1197,КВР!A$1:B$5001,2),IF(E1197&gt;0,VLOOKUP(E1197,Направление!A$1:B$4816,2))))))</f>
        <v>Обеспечение деятельности прочих учреждений в сфере культуры</v>
      </c>
      <c r="B1197" s="760"/>
      <c r="C1197" s="820"/>
      <c r="D1197" s="760"/>
      <c r="E1197" s="760">
        <v>15210</v>
      </c>
      <c r="F1197" s="763"/>
      <c r="G1197" s="812">
        <v>30991693</v>
      </c>
      <c r="H1197" s="812">
        <f>H1198+H1199+H1200</f>
        <v>787286.08</v>
      </c>
      <c r="I1197" s="805">
        <f>I1198+I1199+I1200</f>
        <v>31778979.079999998</v>
      </c>
    </row>
    <row r="1198" spans="1:9" s="119" customFormat="1" ht="110.25" x14ac:dyDescent="0.25">
      <c r="A1198" s="826" t="str">
        <f>IF(B1198&gt;0,VLOOKUP(B1198,КВСР!A410:B1575,2),IF(C1198&gt;0,VLOOKUP(C1198,КФСР!A410:B1922,2),IF(D1198&gt;0,VLOOKUP(D1198,Программа!A$1:B$5124,2),IF(F1198&gt;0,VLOOKUP(F1198,КВР!A$1:B$5001,2),IF(E1198&gt;0,VLOOKUP(E1198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8" s="760"/>
      <c r="C1198" s="820"/>
      <c r="D1198" s="760"/>
      <c r="E1198" s="760"/>
      <c r="F1198" s="763">
        <v>100</v>
      </c>
      <c r="G1198" s="812">
        <v>30398433</v>
      </c>
      <c r="H1198" s="812">
        <f>400864+120103+109021+17311+5228+56883+80759-10000+24389-1</f>
        <v>804557</v>
      </c>
      <c r="I1198" s="805">
        <f t="shared" si="245"/>
        <v>31202990</v>
      </c>
    </row>
    <row r="1199" spans="1:9" s="119" customFormat="1" ht="63" x14ac:dyDescent="0.25">
      <c r="A1199" s="826" t="str">
        <f>IF(B1199&gt;0,VLOOKUP(B1199,КВСР!A411:B1576,2),IF(C1199&gt;0,VLOOKUP(C1199,КФСР!A411:B1923,2),IF(D1199&gt;0,VLOOKUP(D1199,Программа!A$1:B$5124,2),IF(F1199&gt;0,VLOOKUP(F1199,КВР!A$1:B$5001,2),IF(E1199&gt;0,VLOOKUP(E1199,Направление!A$1:B$4816,2))))))</f>
        <v xml:space="preserve">Закупка товаров, работ и услуг для обеспечения государственных (муниципальных) нужд
</v>
      </c>
      <c r="B1199" s="760"/>
      <c r="C1199" s="820"/>
      <c r="D1199" s="760"/>
      <c r="E1199" s="760"/>
      <c r="F1199" s="763">
        <v>200</v>
      </c>
      <c r="G1199" s="812">
        <v>565260</v>
      </c>
      <c r="H1199" s="812">
        <v>-7000</v>
      </c>
      <c r="I1199" s="805">
        <f t="shared" si="245"/>
        <v>558260</v>
      </c>
    </row>
    <row r="1200" spans="1:9" s="119" customFormat="1" x14ac:dyDescent="0.25">
      <c r="A1200" s="826" t="str">
        <f>IF(B1200&gt;0,VLOOKUP(B1200,КВСР!A412:B1577,2),IF(C1200&gt;0,VLOOKUP(C1200,КФСР!A412:B1924,2),IF(D1200&gt;0,VLOOKUP(D1200,Программа!A$1:B$5124,2),IF(F1200&gt;0,VLOOKUP(F1200,КВР!A$1:B$5001,2),IF(E1200&gt;0,VLOOKUP(E1200,Направление!A$1:B$4816,2))))))</f>
        <v>Иные бюджетные ассигнования</v>
      </c>
      <c r="B1200" s="760"/>
      <c r="C1200" s="820"/>
      <c r="D1200" s="760"/>
      <c r="E1200" s="760"/>
      <c r="F1200" s="763">
        <v>800</v>
      </c>
      <c r="G1200" s="812">
        <v>28000</v>
      </c>
      <c r="H1200" s="812">
        <v>-10270.92</v>
      </c>
      <c r="I1200" s="805">
        <f t="shared" ref="I1200:I1227" si="277">SUM(G1200:H1200)</f>
        <v>17729.080000000002</v>
      </c>
    </row>
    <row r="1201" spans="1:9" s="119" customFormat="1" x14ac:dyDescent="0.25">
      <c r="A1201" s="826" t="str">
        <f>IF(B1201&gt;0,VLOOKUP(B1201,КВСР!A412:B1577,2),IF(C1201&gt;0,VLOOKUP(C1201,КФСР!A412:B1924,2),IF(D1201&gt;0,VLOOKUP(D1201,Программа!A$1:B$5124,2),IF(F1201&gt;0,VLOOKUP(F1201,КВР!A$1:B$5001,2),IF(E1201&gt;0,VLOOKUP(E1201,Направление!A$1:B$4816,2))))))</f>
        <v>Мероприятия в сфере культуры</v>
      </c>
      <c r="B1201" s="760"/>
      <c r="C1201" s="820"/>
      <c r="D1201" s="760"/>
      <c r="E1201" s="760">
        <v>15220</v>
      </c>
      <c r="F1201" s="763"/>
      <c r="G1201" s="812">
        <v>1558780</v>
      </c>
      <c r="H1201" s="812">
        <f>H1202+H1203</f>
        <v>-17600</v>
      </c>
      <c r="I1201" s="805">
        <f t="shared" si="277"/>
        <v>1541180</v>
      </c>
    </row>
    <row r="1202" spans="1:9" s="119" customFormat="1" ht="110.25" hidden="1" x14ac:dyDescent="0.25">
      <c r="A1202" s="826" t="str">
        <f>IF(B1202&gt;0,VLOOKUP(B1202,КВСР!A413:B1578,2),IF(C1202&gt;0,VLOOKUP(C1202,КФСР!A413:B1925,2),IF(D1202&gt;0,VLOOKUP(D1202,Программа!A$1:B$5124,2),IF(F1202&gt;0,VLOOKUP(F1202,КВР!A$1:B$5001,2),IF(E1202&gt;0,VLOOKUP(E1202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2" s="760"/>
      <c r="C1202" s="820"/>
      <c r="D1202" s="760"/>
      <c r="E1202" s="760"/>
      <c r="F1202" s="763">
        <v>100</v>
      </c>
      <c r="G1202" s="812">
        <v>0</v>
      </c>
      <c r="H1202" s="812"/>
      <c r="I1202" s="805">
        <f t="shared" si="277"/>
        <v>0</v>
      </c>
    </row>
    <row r="1203" spans="1:9" s="119" customFormat="1" ht="63" x14ac:dyDescent="0.25">
      <c r="A1203" s="826" t="str">
        <f>IF(B1203&gt;0,VLOOKUP(B1203,КВСР!A414:B1579,2),IF(C1203&gt;0,VLOOKUP(C1203,КФСР!A414:B1926,2),IF(D1203&gt;0,VLOOKUP(D1203,Программа!A$1:B$5124,2),IF(F1203&gt;0,VLOOKUP(F1203,КВР!A$1:B$5001,2),IF(E1203&gt;0,VLOOKUP(E1203,Направление!A$1:B$4816,2))))))</f>
        <v xml:space="preserve">Закупка товаров, работ и услуг для обеспечения государственных (муниципальных) нужд
</v>
      </c>
      <c r="B1203" s="760"/>
      <c r="C1203" s="820"/>
      <c r="D1203" s="760"/>
      <c r="E1203" s="760"/>
      <c r="F1203" s="763">
        <v>200</v>
      </c>
      <c r="G1203" s="812">
        <v>1558780</v>
      </c>
      <c r="H1203" s="812">
        <v>-17600</v>
      </c>
      <c r="I1203" s="805">
        <f t="shared" si="277"/>
        <v>1541180</v>
      </c>
    </row>
    <row r="1204" spans="1:9" s="119" customFormat="1" ht="63" x14ac:dyDescent="0.25">
      <c r="A1204" s="826" t="str">
        <f>IF(B1204&gt;0,VLOOKUP(B1204,КВСР!A415:B1580,2),IF(C1204&gt;0,VLOOKUP(C1204,КФСР!A415:B1927,2),IF(D1204&gt;0,VLOOKUP(D1204,Программа!A$1:B$5124,2),IF(F1204&gt;0,VLOOKUP(F1204,КВР!A$1:B$5001,2),IF(E1204&gt;0,VLOOKUP(E1204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204" s="760"/>
      <c r="C1204" s="820"/>
      <c r="D1204" s="760"/>
      <c r="E1204" s="760">
        <v>55490</v>
      </c>
      <c r="F1204" s="763"/>
      <c r="G1204" s="812">
        <v>52080</v>
      </c>
      <c r="H1204" s="812">
        <f t="shared" ref="H1204:I1204" si="278">H1205</f>
        <v>0</v>
      </c>
      <c r="I1204" s="805">
        <f t="shared" si="278"/>
        <v>52080</v>
      </c>
    </row>
    <row r="1205" spans="1:9" s="119" customFormat="1" ht="110.25" x14ac:dyDescent="0.25">
      <c r="A1205" s="826" t="str">
        <f>IF(B1205&gt;0,VLOOKUP(B1205,КВСР!A416:B1581,2),IF(C1205&gt;0,VLOOKUP(C1205,КФСР!A416:B1928,2),IF(D1205&gt;0,VLOOKUP(D1205,Программа!A$1:B$5124,2),IF(F1205&gt;0,VLOOKUP(F1205,КВР!A$1:B$5001,2),IF(E1205&gt;0,VLOOKUP(E1205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5" s="760"/>
      <c r="C1205" s="820"/>
      <c r="D1205" s="760"/>
      <c r="E1205" s="760"/>
      <c r="F1205" s="763">
        <v>100</v>
      </c>
      <c r="G1205" s="812">
        <v>52080</v>
      </c>
      <c r="H1205" s="812"/>
      <c r="I1205" s="805">
        <f>SUM(G1205:H1205)</f>
        <v>52080</v>
      </c>
    </row>
    <row r="1206" spans="1:9" s="119" customFormat="1" ht="63" hidden="1" x14ac:dyDescent="0.25">
      <c r="A1206" s="826" t="str">
        <f>IF(B1206&gt;0,VLOOKUP(B1206,КВСР!A415:B1580,2),IF(C1206&gt;0,VLOOKUP(C1206,КФСР!A415:B1927,2),IF(D1206&gt;0,VLOOKUP(D1206,Программа!A$1:B$5124,2),IF(F1206&gt;0,VLOOKUP(F1206,КВР!A$1:B$5001,2),IF(E1206&gt;0,VLOOKUP(E1206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1206" s="760"/>
      <c r="C1206" s="820"/>
      <c r="D1206" s="760" t="s">
        <v>367</v>
      </c>
      <c r="E1206" s="760"/>
      <c r="F1206" s="763"/>
      <c r="G1206" s="812">
        <v>0</v>
      </c>
      <c r="H1206" s="812">
        <f t="shared" ref="H1206:H1209" si="279">H1207</f>
        <v>0</v>
      </c>
      <c r="I1206" s="805">
        <f t="shared" si="277"/>
        <v>0</v>
      </c>
    </row>
    <row r="1207" spans="1:9" s="119" customFormat="1" ht="63" hidden="1" x14ac:dyDescent="0.25">
      <c r="A1207" s="826" t="str">
        <f>IF(B1207&gt;0,VLOOKUP(B1207,КВСР!A416:B1581,2),IF(C1207&gt;0,VLOOKUP(C1207,КФСР!A416:B1928,2),IF(D1207&gt;0,VLOOKUP(D1207,Программа!A$1:B$5124,2),IF(F1207&gt;0,VLOOKUP(F1207,КВР!A$1:B$5001,2),IF(E1207&gt;0,VLOOKUP(E1207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207" s="760"/>
      <c r="C1207" s="820"/>
      <c r="D1207" s="760" t="s">
        <v>418</v>
      </c>
      <c r="E1207" s="760"/>
      <c r="F1207" s="763"/>
      <c r="G1207" s="812">
        <v>0</v>
      </c>
      <c r="H1207" s="812">
        <f t="shared" si="279"/>
        <v>0</v>
      </c>
      <c r="I1207" s="805">
        <f t="shared" si="277"/>
        <v>0</v>
      </c>
    </row>
    <row r="1208" spans="1:9" s="119" customFormat="1" ht="47.25" hidden="1" x14ac:dyDescent="0.25">
      <c r="A1208" s="826" t="str">
        <f>IF(B1208&gt;0,VLOOKUP(B1208,КВСР!A417:B1582,2),IF(C1208&gt;0,VLOOKUP(C1208,КФСР!A417:B1929,2),IF(D1208&gt;0,VLOOKUP(D1208,Программа!A$1:B$5124,2),IF(F1208&gt;0,VLOOKUP(F1208,КВР!A$1:B$5001,2),IF(E1208&gt;0,VLOOKUP(E1208,Направление!A$1:B$4816,2))))))</f>
        <v>Реализация мер по созданию целостной системы духовно-нравственного воспитания и просвещения населения</v>
      </c>
      <c r="B1208" s="760"/>
      <c r="C1208" s="820"/>
      <c r="D1208" s="760" t="s">
        <v>420</v>
      </c>
      <c r="E1208" s="760"/>
      <c r="F1208" s="763"/>
      <c r="G1208" s="812">
        <v>0</v>
      </c>
      <c r="H1208" s="812">
        <f t="shared" si="279"/>
        <v>0</v>
      </c>
      <c r="I1208" s="805">
        <f t="shared" si="277"/>
        <v>0</v>
      </c>
    </row>
    <row r="1209" spans="1:9" s="119" customFormat="1" ht="47.25" hidden="1" x14ac:dyDescent="0.25">
      <c r="A1209" s="826" t="str">
        <f>IF(B1209&gt;0,VLOOKUP(B1209,КВСР!A418:B1583,2),IF(C1209&gt;0,VLOOKUP(C1209,КФСР!A418:B1930,2),IF(D1209&gt;0,VLOOKUP(D1209,Программа!A$1:B$5124,2),IF(F1209&gt;0,VLOOKUP(F1209,КВР!A$1:B$5001,2),IF(E1209&gt;0,VLOOKUP(E1209,Направление!A$1:B$4816,2))))))</f>
        <v>Расходы на реализацию МЦП "Духовно - нравственное воспитание и просвещение населения ТМР"</v>
      </c>
      <c r="B1209" s="760"/>
      <c r="C1209" s="820"/>
      <c r="D1209" s="760"/>
      <c r="E1209" s="760">
        <v>13810</v>
      </c>
      <c r="F1209" s="763"/>
      <c r="G1209" s="812">
        <v>0</v>
      </c>
      <c r="H1209" s="812">
        <f t="shared" si="279"/>
        <v>0</v>
      </c>
      <c r="I1209" s="805">
        <f t="shared" si="277"/>
        <v>0</v>
      </c>
    </row>
    <row r="1210" spans="1:9" s="119" customFormat="1" ht="63" hidden="1" x14ac:dyDescent="0.25">
      <c r="A1210" s="826" t="str">
        <f>IF(B1210&gt;0,VLOOKUP(B1210,КВСР!A418:B1583,2),IF(C1210&gt;0,VLOOKUP(C1210,КФСР!A418:B1930,2),IF(D1210&gt;0,VLOOKUP(D1210,Программа!A$1:B$5124,2),IF(F1210&gt;0,VLOOKUP(F1210,КВР!A$1:B$5001,2),IF(E1210&gt;0,VLOOKUP(E1210,Направление!A$1:B$4816,2))))))</f>
        <v xml:space="preserve">Закупка товаров, работ и услуг для обеспечения государственных (муниципальных) нужд
</v>
      </c>
      <c r="B1210" s="760"/>
      <c r="C1210" s="820"/>
      <c r="D1210" s="760"/>
      <c r="E1210" s="760"/>
      <c r="F1210" s="763">
        <v>200</v>
      </c>
      <c r="G1210" s="812">
        <v>0</v>
      </c>
      <c r="H1210" s="812"/>
      <c r="I1210" s="805">
        <f t="shared" si="277"/>
        <v>0</v>
      </c>
    </row>
    <row r="1211" spans="1:9" s="119" customFormat="1" ht="47.25" hidden="1" x14ac:dyDescent="0.25">
      <c r="A1211" s="826" t="str">
        <f>IF(B1211&gt;0,VLOOKUP(B1211,КВСР!A419:B1584,2),IF(C1211&gt;0,VLOOKUP(C1211,КФСР!A419:B1931,2),IF(D1211&gt;0,VLOOKUP(D1211,Программа!A$1:B$5124,2),IF(F1211&gt;0,VLOOKUP(F1211,КВР!A$1:B$5001,2),IF(E1211&gt;0,VLOOKUP(E1211,Направление!A$1:B$4816,2))))))</f>
        <v>Муниципальная программа "Социальная поддержка населения Тутаевского муниципального района"</v>
      </c>
      <c r="B1211" s="760"/>
      <c r="C1211" s="820"/>
      <c r="D1211" s="760" t="s">
        <v>376</v>
      </c>
      <c r="E1211" s="760"/>
      <c r="F1211" s="763"/>
      <c r="G1211" s="812">
        <v>0</v>
      </c>
      <c r="H1211" s="812">
        <f t="shared" ref="H1211:H1214" si="280">H1212</f>
        <v>0</v>
      </c>
      <c r="I1211" s="805">
        <f t="shared" si="277"/>
        <v>0</v>
      </c>
    </row>
    <row r="1212" spans="1:9" s="119" customFormat="1" ht="47.25" hidden="1" x14ac:dyDescent="0.25">
      <c r="A1212" s="826" t="str">
        <f>IF(B1212&gt;0,VLOOKUP(B1212,КВСР!A420:B1585,2),IF(C1212&gt;0,VLOOKUP(C1212,КФСР!A420:B1932,2),IF(D1212&gt;0,VLOOKUP(D1212,Программа!A$1:B$5124,2),IF(F1212&gt;0,VLOOKUP(F1212,КВР!A$1:B$5001,2),IF(E1212&gt;0,VLOOKUP(E1212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212" s="760"/>
      <c r="C1212" s="820"/>
      <c r="D1212" s="760" t="s">
        <v>378</v>
      </c>
      <c r="E1212" s="760"/>
      <c r="F1212" s="763"/>
      <c r="G1212" s="812">
        <v>0</v>
      </c>
      <c r="H1212" s="812">
        <f t="shared" si="280"/>
        <v>0</v>
      </c>
      <c r="I1212" s="805">
        <f t="shared" si="277"/>
        <v>0</v>
      </c>
    </row>
    <row r="1213" spans="1:9" s="119" customFormat="1" ht="47.25" hidden="1" x14ac:dyDescent="0.25">
      <c r="A1213" s="826" t="str">
        <f>IF(B1213&gt;0,VLOOKUP(B1213,КВСР!A421:B1586,2),IF(C1213&gt;0,VLOOKUP(C1213,КФСР!A421:B1933,2),IF(D1213&gt;0,VLOOKUP(D1213,Программа!A$1:B$5124,2),IF(F1213&gt;0,VLOOKUP(F1213,КВР!A$1:B$5001,2),IF(E1213&gt;0,VLOOKUP(E1213,Направление!A$1:B$4816,2))))))</f>
        <v>Обучение по охране труда работников организаций Тутаевского муниципального района</v>
      </c>
      <c r="B1213" s="760"/>
      <c r="C1213" s="820"/>
      <c r="D1213" s="760" t="s">
        <v>1036</v>
      </c>
      <c r="E1213" s="760"/>
      <c r="F1213" s="763"/>
      <c r="G1213" s="812">
        <v>0</v>
      </c>
      <c r="H1213" s="812">
        <f t="shared" si="280"/>
        <v>0</v>
      </c>
      <c r="I1213" s="805">
        <f t="shared" si="277"/>
        <v>0</v>
      </c>
    </row>
    <row r="1214" spans="1:9" s="119" customFormat="1" ht="31.5" hidden="1" x14ac:dyDescent="0.25">
      <c r="A1214" s="826" t="str">
        <f>IF(B1214&gt;0,VLOOKUP(B1214,КВСР!A422:B1587,2),IF(C1214&gt;0,VLOOKUP(C1214,КФСР!A422:B1934,2),IF(D1214&gt;0,VLOOKUP(D1214,Программа!A$1:B$5124,2),IF(F1214&gt;0,VLOOKUP(F1214,КВР!A$1:B$5001,2),IF(E1214&gt;0,VLOOKUP(E1214,Направление!A$1:B$4816,2))))))</f>
        <v>Расходы на реализацию мероприятий по улучшению условий и охраны труда</v>
      </c>
      <c r="B1214" s="760"/>
      <c r="C1214" s="820"/>
      <c r="D1214" s="760"/>
      <c r="E1214" s="760">
        <v>16150</v>
      </c>
      <c r="F1214" s="763"/>
      <c r="G1214" s="812">
        <v>0</v>
      </c>
      <c r="H1214" s="812">
        <f t="shared" si="280"/>
        <v>0</v>
      </c>
      <c r="I1214" s="805">
        <f t="shared" si="277"/>
        <v>0</v>
      </c>
    </row>
    <row r="1215" spans="1:9" s="119" customFormat="1" ht="47.25" hidden="1" x14ac:dyDescent="0.25">
      <c r="A1215" s="826" t="str">
        <f>IF(B1215&gt;0,VLOOKUP(B1215,КВСР!A423:B1588,2),IF(C1215&gt;0,VLOOKUP(C1215,КФСР!A423:B1935,2),IF(D1215&gt;0,VLOOKUP(D1215,Программа!A$1:B$5124,2),IF(F1215&gt;0,VLOOKUP(F1215,КВР!A$1:B$5001,2),IF(E1215&gt;0,VLOOKUP(E1215,Направление!A$1:B$4816,2))))))</f>
        <v>Предоставление субсидий бюджетным, автономным учреждениям и иным некоммерческим организациям</v>
      </c>
      <c r="B1215" s="760"/>
      <c r="C1215" s="820"/>
      <c r="D1215" s="760"/>
      <c r="E1215" s="760"/>
      <c r="F1215" s="763">
        <v>600</v>
      </c>
      <c r="G1215" s="812">
        <v>0</v>
      </c>
      <c r="H1215" s="812"/>
      <c r="I1215" s="805">
        <f t="shared" si="277"/>
        <v>0</v>
      </c>
    </row>
    <row r="1216" spans="1:9" s="119" customFormat="1" ht="94.5" hidden="1" x14ac:dyDescent="0.25">
      <c r="A1216" s="826" t="str">
        <f>IF(B1216&gt;0,VLOOKUP(B1216,КВСР!A424:B1589,2),IF(C1216&gt;0,VLOOKUP(C1216,КФСР!A424:B1936,2),IF(D1216&gt;0,VLOOKUP(D1216,Программа!A$1:B$5124,2),IF(F1216&gt;0,VLOOKUP(F1216,КВР!A$1:B$5001,2),IF(E1216&gt;0,VLOOKUP(E1216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16" s="760"/>
      <c r="C1216" s="820"/>
      <c r="D1216" s="760" t="s">
        <v>322</v>
      </c>
      <c r="E1216" s="760"/>
      <c r="F1216" s="763"/>
      <c r="G1216" s="812">
        <v>0</v>
      </c>
      <c r="H1216" s="812">
        <f t="shared" ref="H1216:H1218" si="281">H1217</f>
        <v>0</v>
      </c>
      <c r="I1216" s="805">
        <f t="shared" si="277"/>
        <v>0</v>
      </c>
    </row>
    <row r="1217" spans="1:9" s="119" customFormat="1" ht="78.75" hidden="1" x14ac:dyDescent="0.25">
      <c r="A1217" s="826" t="str">
        <f>IF(B1217&gt;0,VLOOKUP(B1217,КВСР!A425:B1590,2),IF(C1217&gt;0,VLOOKUP(C1217,КФСР!A425:B1937,2),IF(D1217&gt;0,VLOOKUP(D1217,Программа!A$1:B$5124,2),IF(F1217&gt;0,VLOOKUP(F1217,КВР!A$1:B$5001,2),IF(E1217&gt;0,VLOOKUP(E1217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217" s="760"/>
      <c r="C1217" s="820"/>
      <c r="D1217" s="760" t="s">
        <v>323</v>
      </c>
      <c r="E1217" s="760"/>
      <c r="F1217" s="763"/>
      <c r="G1217" s="812">
        <v>0</v>
      </c>
      <c r="H1217" s="812">
        <f t="shared" si="281"/>
        <v>0</v>
      </c>
      <c r="I1217" s="805">
        <f t="shared" si="277"/>
        <v>0</v>
      </c>
    </row>
    <row r="1218" spans="1:9" s="119" customFormat="1" ht="31.5" hidden="1" x14ac:dyDescent="0.25">
      <c r="A1218" s="826" t="str">
        <f>IF(B1218&gt;0,VLOOKUP(B1218,КВСР!A426:B1591,2),IF(C1218&gt;0,VLOOKUP(C1218,КФСР!A426:B1938,2),IF(D1218&gt;0,VLOOKUP(D1218,Программа!A$1:B$5124,2),IF(F1218&gt;0,VLOOKUP(F1218,КВР!A$1:B$5001,2),IF(E1218&gt;0,VLOOKUP(E1218,Направление!A$1:B$4816,2))))))</f>
        <v>Расходы на развитие муниципальной службы</v>
      </c>
      <c r="B1218" s="760"/>
      <c r="C1218" s="820"/>
      <c r="D1218" s="760"/>
      <c r="E1218" s="760">
        <v>12200</v>
      </c>
      <c r="F1218" s="763"/>
      <c r="G1218" s="812">
        <v>0</v>
      </c>
      <c r="H1218" s="812">
        <f t="shared" si="281"/>
        <v>0</v>
      </c>
      <c r="I1218" s="805">
        <f t="shared" si="277"/>
        <v>0</v>
      </c>
    </row>
    <row r="1219" spans="1:9" s="119" customFormat="1" ht="63" hidden="1" x14ac:dyDescent="0.25">
      <c r="A1219" s="826" t="str">
        <f>IF(B1219&gt;0,VLOOKUP(B1219,КВСР!A427:B1592,2),IF(C1219&gt;0,VLOOKUP(C1219,КФСР!A427:B1939,2),IF(D1219&gt;0,VLOOKUP(D1219,Программа!A$1:B$5124,2),IF(F1219&gt;0,VLOOKUP(F1219,КВР!A$1:B$5001,2),IF(E1219&gt;0,VLOOKUP(E1219,Направление!A$1:B$4816,2))))))</f>
        <v xml:space="preserve">Закупка товаров, работ и услуг для обеспечения государственных (муниципальных) нужд
</v>
      </c>
      <c r="B1219" s="760"/>
      <c r="C1219" s="820"/>
      <c r="D1219" s="760"/>
      <c r="E1219" s="760"/>
      <c r="F1219" s="763">
        <v>200</v>
      </c>
      <c r="G1219" s="812">
        <v>0</v>
      </c>
      <c r="H1219" s="812"/>
      <c r="I1219" s="805">
        <f t="shared" si="277"/>
        <v>0</v>
      </c>
    </row>
    <row r="1220" spans="1:9" s="119" customFormat="1" ht="63" hidden="1" x14ac:dyDescent="0.25">
      <c r="A1220" s="826" t="str">
        <f>IF(B1220&gt;0,VLOOKUP(B1220,КВСР!A428:B1593,2),IF(C1220&gt;0,VLOOKUP(C1220,КФСР!A428:B1940,2),IF(D1220&gt;0,VLOOKUP(D1220,Программа!A$1:B$5124,2),IF(F1220&gt;0,VLOOKUP(F1220,КВР!A$1:B$5001,2),IF(E1220&gt;0,VLOOKUP(E1220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20" s="760"/>
      <c r="C1220" s="820"/>
      <c r="D1220" s="760" t="s">
        <v>326</v>
      </c>
      <c r="E1220" s="760"/>
      <c r="F1220" s="763"/>
      <c r="G1220" s="812">
        <v>0</v>
      </c>
      <c r="H1220" s="812">
        <f t="shared" ref="H1220:H1222" si="282">H1221</f>
        <v>0</v>
      </c>
      <c r="I1220" s="805">
        <f t="shared" si="277"/>
        <v>0</v>
      </c>
    </row>
    <row r="1221" spans="1:9" s="119" customFormat="1" ht="31.5" hidden="1" x14ac:dyDescent="0.25">
      <c r="A1221" s="826" t="str">
        <f>IF(B1221&gt;0,VLOOKUP(B1221,КВСР!A429:B1594,2),IF(C1221&gt;0,VLOOKUP(C1221,КФСР!A429:B1941,2),IF(D1221&gt;0,VLOOKUP(D1221,Программа!A$1:B$5124,2),IF(F1221&gt;0,VLOOKUP(F1221,КВР!A$1:B$5001,2),IF(E1221&gt;0,VLOOKUP(E1221,Направление!A$1:B$4816,2))))))</f>
        <v>Бесперебойное функционирование информационных систем</v>
      </c>
      <c r="B1221" s="760"/>
      <c r="C1221" s="820"/>
      <c r="D1221" s="760" t="s">
        <v>360</v>
      </c>
      <c r="E1221" s="760"/>
      <c r="F1221" s="763"/>
      <c r="G1221" s="812">
        <v>0</v>
      </c>
      <c r="H1221" s="812">
        <f t="shared" si="282"/>
        <v>0</v>
      </c>
      <c r="I1221" s="805">
        <f t="shared" si="277"/>
        <v>0</v>
      </c>
    </row>
    <row r="1222" spans="1:9" s="119" customFormat="1" ht="31.5" hidden="1" x14ac:dyDescent="0.25">
      <c r="A1222" s="826" t="str">
        <f>IF(B1222&gt;0,VLOOKUP(B1222,КВСР!A430:B1595,2),IF(C1222&gt;0,VLOOKUP(C1222,КФСР!A430:B1942,2),IF(D1222&gt;0,VLOOKUP(D1222,Программа!A$1:B$5124,2),IF(F1222&gt;0,VLOOKUP(F1222,КВР!A$1:B$5001,2),IF(E1222&gt;0,VLOOKUP(E1222,Направление!A$1:B$4816,2))))))</f>
        <v>Расходы на проведение мероприятий по информатизации</v>
      </c>
      <c r="B1222" s="760"/>
      <c r="C1222" s="820"/>
      <c r="D1222" s="760"/>
      <c r="E1222" s="760">
        <v>12210</v>
      </c>
      <c r="F1222" s="763"/>
      <c r="G1222" s="812">
        <v>0</v>
      </c>
      <c r="H1222" s="812">
        <f t="shared" si="282"/>
        <v>0</v>
      </c>
      <c r="I1222" s="805">
        <f t="shared" si="277"/>
        <v>0</v>
      </c>
    </row>
    <row r="1223" spans="1:9" s="119" customFormat="1" ht="63" hidden="1" x14ac:dyDescent="0.25">
      <c r="A1223" s="826" t="str">
        <f>IF(B1223&gt;0,VLOOKUP(B1223,КВСР!A431:B1596,2),IF(C1223&gt;0,VLOOKUP(C1223,КФСР!A431:B1943,2),IF(D1223&gt;0,VLOOKUP(D1223,Программа!A$1:B$5124,2),IF(F1223&gt;0,VLOOKUP(F1223,КВР!A$1:B$5001,2),IF(E1223&gt;0,VLOOKUP(E1223,Направление!A$1:B$4816,2))))))</f>
        <v xml:space="preserve">Закупка товаров, работ и услуг для обеспечения государственных (муниципальных) нужд
</v>
      </c>
      <c r="B1223" s="760"/>
      <c r="C1223" s="820"/>
      <c r="D1223" s="760"/>
      <c r="E1223" s="760"/>
      <c r="F1223" s="763">
        <v>200</v>
      </c>
      <c r="G1223" s="812">
        <v>0</v>
      </c>
      <c r="H1223" s="812"/>
      <c r="I1223" s="805">
        <f t="shared" si="277"/>
        <v>0</v>
      </c>
    </row>
    <row r="1224" spans="1:9" ht="94.5" x14ac:dyDescent="0.25">
      <c r="A1224" s="826" t="str">
        <f>IF(B1224&gt;0,VLOOKUP(B1224,КВСР!A433:B1598,2),IF(C1224&gt;0,VLOOKUP(C1224,КФСР!A433:B1945,2),IF(D1224&gt;0,VLOOKUP(D1224,Программа!A$1:B$5124,2),IF(F1224&gt;0,VLOOKUP(F1224,КВР!A$1:B$5001,2),IF(E1224&gt;0,VLOOKUP(E1224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24" s="760"/>
      <c r="C1224" s="820"/>
      <c r="D1224" s="760" t="s">
        <v>322</v>
      </c>
      <c r="E1224" s="760"/>
      <c r="F1224" s="763"/>
      <c r="G1224" s="812">
        <v>169260</v>
      </c>
      <c r="H1224" s="812">
        <f t="shared" ref="H1224:I1226" si="283">H1225</f>
        <v>0</v>
      </c>
      <c r="I1224" s="805">
        <f t="shared" si="283"/>
        <v>169260</v>
      </c>
    </row>
    <row r="1225" spans="1:9" ht="94.5" x14ac:dyDescent="0.25">
      <c r="A1225" s="826" t="str">
        <f>IF(B1225&gt;0,VLOOKUP(B1225,КВСР!A434:B1599,2),IF(C1225&gt;0,VLOOKUP(C1225,КФСР!A434:B1946,2),IF(D1225&gt;0,VLOOKUP(D1225,Программа!A$1:B$5124,2),IF(F1225&gt;0,VLOOKUP(F1225,КВР!A$1:B$5001,2),IF(E1225&gt;0,VLOOKUP(E1225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225" s="760"/>
      <c r="C1225" s="820"/>
      <c r="D1225" s="760" t="s">
        <v>1516</v>
      </c>
      <c r="E1225" s="760"/>
      <c r="F1225" s="763"/>
      <c r="G1225" s="812">
        <v>169260</v>
      </c>
      <c r="H1225" s="812">
        <f t="shared" si="283"/>
        <v>0</v>
      </c>
      <c r="I1225" s="805">
        <f t="shared" si="283"/>
        <v>169260</v>
      </c>
    </row>
    <row r="1226" spans="1:9" ht="31.5" x14ac:dyDescent="0.25">
      <c r="A1226" s="826" t="str">
        <f>IF(B1226&gt;0,VLOOKUP(B1226,КВСР!A435:B1600,2),IF(C1226&gt;0,VLOOKUP(C1226,КФСР!A435:B1947,2),IF(D1226&gt;0,VLOOKUP(D1226,Программа!A$1:B$5124,2),IF(F1226&gt;0,VLOOKUP(F1226,КВР!A$1:B$5001,2),IF(E1226&gt;0,VLOOKUP(E1226,Направление!A$1:B$4816,2))))))</f>
        <v>Внедрение проектной деятельности и бережливых технологий</v>
      </c>
      <c r="B1226" s="760"/>
      <c r="C1226" s="820"/>
      <c r="D1226" s="760"/>
      <c r="E1226" s="760">
        <v>12300</v>
      </c>
      <c r="F1226" s="763"/>
      <c r="G1226" s="812">
        <v>169260</v>
      </c>
      <c r="H1226" s="812">
        <f t="shared" si="283"/>
        <v>0</v>
      </c>
      <c r="I1226" s="805">
        <f t="shared" si="283"/>
        <v>169260</v>
      </c>
    </row>
    <row r="1227" spans="1:9" ht="110.25" x14ac:dyDescent="0.25">
      <c r="A1227" s="826" t="str">
        <f>IF(B1227&gt;0,VLOOKUP(B1227,КВСР!A436:B1601,2),IF(C1227&gt;0,VLOOKUP(C1227,КФСР!A436:B1948,2),IF(D1227&gt;0,VLOOKUP(D1227,Программа!A$1:B$5124,2),IF(F1227&gt;0,VLOOKUP(F1227,КВР!A$1:B$5001,2),IF(E1227&gt;0,VLOOKUP(E1227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7" s="760"/>
      <c r="C1227" s="820"/>
      <c r="D1227" s="760"/>
      <c r="E1227" s="760"/>
      <c r="F1227" s="763">
        <v>100</v>
      </c>
      <c r="G1227" s="812">
        <v>169260</v>
      </c>
      <c r="H1227" s="812"/>
      <c r="I1227" s="805">
        <f t="shared" si="277"/>
        <v>169260</v>
      </c>
    </row>
    <row r="1228" spans="1:9" hidden="1" x14ac:dyDescent="0.25">
      <c r="A1228" s="826" t="str">
        <f>IF(B1228&gt;0,VLOOKUP(B1228,КВСР!A437:B1602,2),IF(C1228&gt;0,VLOOKUP(C1228,КФСР!A437:B1949,2),IF(D1228&gt;0,VLOOKUP(D1228,Программа!A$1:B$5124,2),IF(F1228&gt;0,VLOOKUP(F1228,КВР!A$1:B$5001,2),IF(E1228&gt;0,VLOOKUP(E1228,Направление!A$1:B$4816,2))))))</f>
        <v>Охрана семьи и детства</v>
      </c>
      <c r="B1228" s="760"/>
      <c r="C1228" s="820">
        <v>1004</v>
      </c>
      <c r="D1228" s="760"/>
      <c r="E1228" s="760"/>
      <c r="F1228" s="763"/>
      <c r="G1228" s="812">
        <v>0</v>
      </c>
      <c r="H1228" s="812">
        <f t="shared" ref="H1228:I1232" si="284">H1229</f>
        <v>0</v>
      </c>
      <c r="I1228" s="805">
        <f t="shared" si="284"/>
        <v>0</v>
      </c>
    </row>
    <row r="1229" spans="1:9" ht="63" hidden="1" x14ac:dyDescent="0.25">
      <c r="A1229" s="826" t="str">
        <f>IF(B1229&gt;0,VLOOKUP(B1229,КВСР!A438:B1603,2),IF(C1229&gt;0,VLOOKUP(C1229,КФСР!A438:B1950,2),IF(D1229&gt;0,VLOOKUP(D1229,Программа!A$1:B$5124,2),IF(F1229&gt;0,VLOOKUP(F1229,КВР!A$1:B$5001,2),IF(E1229&gt;0,VLOOKUP(E1229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229" s="760"/>
      <c r="C1229" s="820"/>
      <c r="D1229" s="760" t="s">
        <v>396</v>
      </c>
      <c r="E1229" s="760"/>
      <c r="F1229" s="763"/>
      <c r="G1229" s="812">
        <v>0</v>
      </c>
      <c r="H1229" s="812">
        <f t="shared" si="284"/>
        <v>0</v>
      </c>
      <c r="I1229" s="805">
        <f t="shared" si="284"/>
        <v>0</v>
      </c>
    </row>
    <row r="1230" spans="1:9" ht="47.25" hidden="1" x14ac:dyDescent="0.25">
      <c r="A1230" s="826" t="str">
        <f>IF(B1230&gt;0,VLOOKUP(B1230,КВСР!A439:B1604,2),IF(C1230&gt;0,VLOOKUP(C1230,КФСР!A439:B1951,2),IF(D1230&gt;0,VLOOKUP(D1230,Программа!A$1:B$5124,2),IF(F1230&gt;0,VLOOKUP(F1230,КВР!A$1:B$5001,2),IF(E1230&gt;0,VLOOKUP(E1230,Направление!A$1:B$4816,2))))))</f>
        <v>Ведомственная целевая программа «Сохранение и развитие культуры Тутаевского муниципального района»</v>
      </c>
      <c r="B1230" s="760"/>
      <c r="C1230" s="820"/>
      <c r="D1230" s="760" t="s">
        <v>494</v>
      </c>
      <c r="E1230" s="760"/>
      <c r="F1230" s="763"/>
      <c r="G1230" s="812">
        <v>0</v>
      </c>
      <c r="H1230" s="812">
        <f t="shared" si="284"/>
        <v>0</v>
      </c>
      <c r="I1230" s="805">
        <f t="shared" si="284"/>
        <v>0</v>
      </c>
    </row>
    <row r="1231" spans="1:9" ht="31.5" hidden="1" x14ac:dyDescent="0.25">
      <c r="A1231" s="826" t="str">
        <f>IF(B1231&gt;0,VLOOKUP(B1231,КВСР!A440:B1605,2),IF(C1231&gt;0,VLOOKUP(C1231,КФСР!A440:B1952,2),IF(D1231&gt;0,VLOOKUP(D1231,Программа!A$1:B$5124,2),IF(F1231&gt;0,VLOOKUP(F1231,КВР!A$1:B$5001,2),IF(E1231&gt;0,VLOOKUP(E1231,Направление!A$1:B$4816,2))))))</f>
        <v>Обеспечение эффективности управления системой культуры</v>
      </c>
      <c r="B1231" s="760"/>
      <c r="C1231" s="820"/>
      <c r="D1231" s="760" t="s">
        <v>520</v>
      </c>
      <c r="E1231" s="760"/>
      <c r="F1231" s="763"/>
      <c r="G1231" s="812">
        <v>0</v>
      </c>
      <c r="H1231" s="812">
        <f t="shared" si="284"/>
        <v>0</v>
      </c>
      <c r="I1231" s="805">
        <f t="shared" si="284"/>
        <v>0</v>
      </c>
    </row>
    <row r="1232" spans="1:9" ht="31.5" hidden="1" x14ac:dyDescent="0.25">
      <c r="A1232" s="826" t="str">
        <f>IF(B1232&gt;0,VLOOKUP(B1232,КВСР!A441:B1606,2),IF(C1232&gt;0,VLOOKUP(C1232,КФСР!A441:B1953,2),IF(D1232&gt;0,VLOOKUP(D1232,Программа!A$1:B$5124,2),IF(F1232&gt;0,VLOOKUP(F1232,КВР!A$1:B$5001,2),IF(E1232&gt;0,VLOOKUP(E1232,Направление!A$1:B$4816,2))))))</f>
        <v>Обеспечение деятельности прочих учреждений в сфере культуры</v>
      </c>
      <c r="B1232" s="760"/>
      <c r="C1232" s="820"/>
      <c r="D1232" s="760"/>
      <c r="E1232" s="760">
        <v>15210</v>
      </c>
      <c r="F1232" s="763"/>
      <c r="G1232" s="812">
        <v>0</v>
      </c>
      <c r="H1232" s="812">
        <f t="shared" si="284"/>
        <v>0</v>
      </c>
      <c r="I1232" s="805">
        <f t="shared" si="284"/>
        <v>0</v>
      </c>
    </row>
    <row r="1233" spans="1:9" ht="110.25" hidden="1" x14ac:dyDescent="0.25">
      <c r="A1233" s="826" t="str">
        <f>IF(B1233&gt;0,VLOOKUP(B1233,КВСР!A442:B1607,2),IF(C1233&gt;0,VLOOKUP(C1233,КФСР!A442:B1954,2),IF(D1233&gt;0,VLOOKUP(D1233,Программа!A$1:B$5124,2),IF(F1233&gt;0,VLOOKUP(F1233,КВР!A$1:B$5001,2),IF(E1233&gt;0,VLOOKUP(E1233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3" s="760"/>
      <c r="C1233" s="820"/>
      <c r="D1233" s="760"/>
      <c r="E1233" s="760"/>
      <c r="F1233" s="763">
        <v>100</v>
      </c>
      <c r="G1233" s="812">
        <v>0</v>
      </c>
      <c r="H1233" s="812"/>
      <c r="I1233" s="805">
        <f>H1233+G1233</f>
        <v>0</v>
      </c>
    </row>
    <row r="1234" spans="1:9" x14ac:dyDescent="0.25">
      <c r="A1234" s="824" t="str">
        <f>IF(B1234&gt;0,VLOOKUP(B1234,КВСР!A527:B1692,2),IF(C1234&gt;0,VLOOKUP(C1234,КФСР!A527:B2039,2),IF(D1234&gt;0,VLOOKUP(D1234,Программа!A$1:B$5124,2),IF(F1234&gt;0,VLOOKUP(F1234,КВР!A$1:B$5001,2),IF(E1234&gt;0,VLOOKUP(E1234,Направление!A$1:B$4816,2))))))</f>
        <v>МУ Контрольно-счетная палата ТМР</v>
      </c>
      <c r="B1234" s="758">
        <v>982</v>
      </c>
      <c r="C1234" s="820"/>
      <c r="D1234" s="758"/>
      <c r="E1234" s="758"/>
      <c r="F1234" s="801"/>
      <c r="G1234" s="811">
        <v>1699818</v>
      </c>
      <c r="H1234" s="811">
        <f>H1235+H1252+H1247</f>
        <v>0</v>
      </c>
      <c r="I1234" s="804">
        <f>I1235+I1252+I1247</f>
        <v>1699818</v>
      </c>
    </row>
    <row r="1235" spans="1:9" ht="63" x14ac:dyDescent="0.25">
      <c r="A1235" s="826" t="str">
        <f>IF(B1235&gt;0,VLOOKUP(B1235,КВСР!A528:B1693,2),IF(C1235&gt;0,VLOOKUP(C1235,КФСР!A528:B2040,2),IF(D1235&gt;0,VLOOKUP(D1235,Программа!A$1:B$5124,2),IF(F1235&gt;0,VLOOKUP(F1235,КВР!A$1:B$5001,2),IF(E1235&gt;0,VLOOKUP(E1235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35" s="760"/>
      <c r="C1235" s="827">
        <v>106</v>
      </c>
      <c r="D1235" s="760"/>
      <c r="E1235" s="760"/>
      <c r="F1235" s="763"/>
      <c r="G1235" s="812">
        <v>1699818</v>
      </c>
      <c r="H1235" s="812">
        <f>H1236</f>
        <v>0</v>
      </c>
      <c r="I1235" s="805">
        <f>I1236</f>
        <v>1699818</v>
      </c>
    </row>
    <row r="1236" spans="1:9" x14ac:dyDescent="0.25">
      <c r="A1236" s="826" t="str">
        <f>IF(B1236&gt;0,VLOOKUP(B1236,КВСР!A529:B1694,2),IF(C1236&gt;0,VLOOKUP(C1236,КФСР!A529:B2041,2),IF(D1236&gt;0,VLOOKUP(D1236,Программа!A$1:B$5124,2),IF(F1236&gt;0,VLOOKUP(F1236,КВР!A$1:B$5001,2),IF(E1236&gt;0,VLOOKUP(E1236,Направление!A$1:B$4816,2))))))</f>
        <v>Непрограммные расходы бюджета</v>
      </c>
      <c r="B1236" s="760"/>
      <c r="C1236" s="820"/>
      <c r="D1236" s="760" t="s">
        <v>311</v>
      </c>
      <c r="E1236" s="760"/>
      <c r="F1236" s="763"/>
      <c r="G1236" s="812">
        <v>1699818</v>
      </c>
      <c r="H1236" s="812">
        <f>H1237+H1242+H1244</f>
        <v>0</v>
      </c>
      <c r="I1236" s="805">
        <f>I1237+I1242+I1244</f>
        <v>1699818</v>
      </c>
    </row>
    <row r="1237" spans="1:9" x14ac:dyDescent="0.25">
      <c r="A1237" s="826" t="str">
        <f>IF(B1237&gt;0,VLOOKUP(B1237,КВСР!A530:B1695,2),IF(C1237&gt;0,VLOOKUP(C1237,КФСР!A530:B2042,2),IF(D1237&gt;0,VLOOKUP(D1237,Программа!A$1:B$5124,2),IF(F1237&gt;0,VLOOKUP(F1237,КВР!A$1:B$5001,2),IF(E1237&gt;0,VLOOKUP(E1237,Направление!A$1:B$4816,2))))))</f>
        <v>Содержание центрального аппарата</v>
      </c>
      <c r="B1237" s="760"/>
      <c r="C1237" s="820"/>
      <c r="D1237" s="760"/>
      <c r="E1237" s="760">
        <v>12010</v>
      </c>
      <c r="F1237" s="763"/>
      <c r="G1237" s="812">
        <v>621286</v>
      </c>
      <c r="H1237" s="812">
        <f>H1238+H1239+H1240+H1241</f>
        <v>0</v>
      </c>
      <c r="I1237" s="805">
        <f>I1238+I1239+I1240+I1241</f>
        <v>621286</v>
      </c>
    </row>
    <row r="1238" spans="1:9" ht="110.25" x14ac:dyDescent="0.25">
      <c r="A1238" s="826" t="str">
        <f>IF(B1238&gt;0,VLOOKUP(B1238,КВСР!A531:B1696,2),IF(C1238&gt;0,VLOOKUP(C1238,КФСР!A531:B2043,2),IF(D1238&gt;0,VLOOKUP(D1238,Программа!A$1:B$5124,2),IF(F1238&gt;0,VLOOKUP(F1238,КВР!A$1:B$5001,2),IF(E1238&gt;0,VLOOKUP(E1238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8" s="760"/>
      <c r="C1238" s="820"/>
      <c r="D1238" s="760"/>
      <c r="E1238" s="760"/>
      <c r="F1238" s="763">
        <v>100</v>
      </c>
      <c r="G1238" s="812">
        <v>609336</v>
      </c>
      <c r="H1238" s="812"/>
      <c r="I1238" s="805">
        <f t="shared" ref="I1238:I1246" si="285">SUM(G1238:H1238)</f>
        <v>609336</v>
      </c>
    </row>
    <row r="1239" spans="1:9" ht="63" x14ac:dyDescent="0.25">
      <c r="A1239" s="826" t="str">
        <f>IF(B1239&gt;0,VLOOKUP(B1239,КВСР!A532:B1697,2),IF(C1239&gt;0,VLOOKUP(C1239,КФСР!A532:B2044,2),IF(D1239&gt;0,VLOOKUP(D1239,Программа!A$1:B$5124,2),IF(F1239&gt;0,VLOOKUP(F1239,КВР!A$1:B$5001,2),IF(E1239&gt;0,VLOOKUP(E1239,Направление!A$1:B$4816,2))))))</f>
        <v xml:space="preserve">Закупка товаров, работ и услуг для обеспечения государственных (муниципальных) нужд
</v>
      </c>
      <c r="B1239" s="760"/>
      <c r="C1239" s="820"/>
      <c r="D1239" s="760"/>
      <c r="E1239" s="760"/>
      <c r="F1239" s="763">
        <v>200</v>
      </c>
      <c r="G1239" s="812">
        <v>11950</v>
      </c>
      <c r="H1239" s="812"/>
      <c r="I1239" s="805">
        <f t="shared" si="285"/>
        <v>11950</v>
      </c>
    </row>
    <row r="1240" spans="1:9" ht="31.5" hidden="1" x14ac:dyDescent="0.25">
      <c r="A1240" s="826" t="str">
        <f>IF(B1240&gt;0,VLOOKUP(B1240,КВСР!A533:B1698,2),IF(C1240&gt;0,VLOOKUP(C1240,КФСР!A533:B2045,2),IF(D1240&gt;0,VLOOKUP(D1240,Программа!A$1:B$5124,2),IF(F1240&gt;0,VLOOKUP(F1240,КВР!A$1:B$5001,2),IF(E1240&gt;0,VLOOKUP(E1240,Направление!A$1:B$4816,2))))))</f>
        <v>Социальное обеспечение и иные выплаты населению</v>
      </c>
      <c r="B1240" s="760"/>
      <c r="C1240" s="820"/>
      <c r="D1240" s="760"/>
      <c r="E1240" s="760"/>
      <c r="F1240" s="763">
        <v>300</v>
      </c>
      <c r="G1240" s="812">
        <v>0</v>
      </c>
      <c r="H1240" s="812"/>
      <c r="I1240" s="805">
        <f t="shared" si="285"/>
        <v>0</v>
      </c>
    </row>
    <row r="1241" spans="1:9" hidden="1" x14ac:dyDescent="0.25">
      <c r="A1241" s="826" t="str">
        <f>IF(B1241&gt;0,VLOOKUP(B1241,КВСР!A534:B1699,2),IF(C1241&gt;0,VLOOKUP(C1241,КФСР!A534:B2046,2),IF(D1241&gt;0,VLOOKUP(D1241,Программа!A$1:B$5124,2),IF(F1241&gt;0,VLOOKUP(F1241,КВР!A$1:B$5001,2),IF(E1241&gt;0,VLOOKUP(E1241,Направление!A$1:B$4816,2))))))</f>
        <v>Иные бюджетные ассигнования</v>
      </c>
      <c r="B1241" s="760"/>
      <c r="C1241" s="820"/>
      <c r="D1241" s="760"/>
      <c r="E1241" s="760"/>
      <c r="F1241" s="763">
        <v>800</v>
      </c>
      <c r="G1241" s="812">
        <v>0</v>
      </c>
      <c r="H1241" s="812"/>
      <c r="I1241" s="805">
        <f t="shared" si="285"/>
        <v>0</v>
      </c>
    </row>
    <row r="1242" spans="1:9" ht="47.25" x14ac:dyDescent="0.25">
      <c r="A1242" s="826" t="str">
        <f>IF(B1242&gt;0,VLOOKUP(B1242,КВСР!A534:B1699,2),IF(C1242&gt;0,VLOOKUP(C1242,КФСР!A534:B2046,2),IF(D1242&gt;0,VLOOKUP(D1242,Программа!A$1:B$5124,2),IF(F1242&gt;0,VLOOKUP(F1242,КВР!A$1:B$5001,2),IF(E1242&gt;0,VLOOKUP(E1242,Направление!A$1:B$4816,2))))))</f>
        <v>Содержание руководителя контрольно-счетной палаты муниципального образования и его заместителей</v>
      </c>
      <c r="B1242" s="760"/>
      <c r="C1242" s="820"/>
      <c r="D1242" s="760"/>
      <c r="E1242" s="760">
        <v>12030</v>
      </c>
      <c r="F1242" s="763"/>
      <c r="G1242" s="812">
        <v>1020704</v>
      </c>
      <c r="H1242" s="812">
        <f>H1243</f>
        <v>0</v>
      </c>
      <c r="I1242" s="805">
        <f>I1243</f>
        <v>1020704</v>
      </c>
    </row>
    <row r="1243" spans="1:9" ht="110.25" x14ac:dyDescent="0.25">
      <c r="A1243" s="826" t="str">
        <f>IF(B1243&gt;0,VLOOKUP(B1243,КВСР!A535:B1700,2),IF(C1243&gt;0,VLOOKUP(C1243,КФСР!A535:B2047,2),IF(D1243&gt;0,VLOOKUP(D1243,Программа!A$1:B$5124,2),IF(F1243&gt;0,VLOOKUP(F1243,КВР!A$1:B$5001,2),IF(E1243&gt;0,VLOOKUP(E1243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3" s="760"/>
      <c r="C1243" s="820"/>
      <c r="D1243" s="760"/>
      <c r="E1243" s="760"/>
      <c r="F1243" s="763">
        <v>100</v>
      </c>
      <c r="G1243" s="812">
        <v>1020704</v>
      </c>
      <c r="H1243" s="812"/>
      <c r="I1243" s="805">
        <f t="shared" si="285"/>
        <v>1020704</v>
      </c>
    </row>
    <row r="1244" spans="1:9" ht="47.25" x14ac:dyDescent="0.25">
      <c r="A1244" s="826" t="str">
        <f>IF(B1244&gt;0,VLOOKUP(B1244,КВСР!A536:B1701,2),IF(C1244&gt;0,VLOOKUP(C1244,КФСР!A536:B2048,2),IF(D1244&gt;0,VLOOKUP(D1244,Программа!A$1:B$5124,2),IF(F1244&gt;0,VLOOKUP(F1244,КВР!A$1:B$5001,2),IF(E1244&gt;0,VLOOKUP(E1244,Направление!A$1:B$4816,2))))))</f>
        <v>Обеспечение мероприятий по осуществлению внешнего муниципального контроля</v>
      </c>
      <c r="B1244" s="760"/>
      <c r="C1244" s="820"/>
      <c r="D1244" s="760"/>
      <c r="E1244" s="760">
        <v>29386</v>
      </c>
      <c r="F1244" s="763"/>
      <c r="G1244" s="812">
        <v>57828</v>
      </c>
      <c r="H1244" s="812">
        <f>H1246+H1245</f>
        <v>0</v>
      </c>
      <c r="I1244" s="805">
        <f>I1246+I1245</f>
        <v>57828</v>
      </c>
    </row>
    <row r="1245" spans="1:9" ht="110.25" x14ac:dyDescent="0.25">
      <c r="A1245" s="826" t="str">
        <f>IF(B1245&gt;0,VLOOKUP(B1245,КВСР!A537:B1702,2),IF(C1245&gt;0,VLOOKUP(C1245,КФСР!A537:B2049,2),IF(D1245&gt;0,VLOOKUP(D1245,Программа!A$1:B$5124,2),IF(F1245&gt;0,VLOOKUP(F1245,КВР!A$1:B$5001,2),IF(E1245&gt;0,VLOOKUP(E1245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5" s="760"/>
      <c r="C1245" s="820"/>
      <c r="D1245" s="760"/>
      <c r="E1245" s="760"/>
      <c r="F1245" s="763">
        <v>100</v>
      </c>
      <c r="G1245" s="812">
        <v>48335.5</v>
      </c>
      <c r="H1245" s="812"/>
      <c r="I1245" s="805">
        <f t="shared" si="285"/>
        <v>48335.5</v>
      </c>
    </row>
    <row r="1246" spans="1:9" ht="63" x14ac:dyDescent="0.25">
      <c r="A1246" s="826" t="str">
        <f>IF(B1246&gt;0,VLOOKUP(B1246,КВСР!A537:B1702,2),IF(C1246&gt;0,VLOOKUP(C1246,КФСР!A537:B2049,2),IF(D1246&gt;0,VLOOKUP(D1246,Программа!A$1:B$5124,2),IF(F1246&gt;0,VLOOKUP(F1246,КВР!A$1:B$5001,2),IF(E1246&gt;0,VLOOKUP(E1246,Направление!A$1:B$4816,2))))))</f>
        <v xml:space="preserve">Закупка товаров, работ и услуг для обеспечения государственных (муниципальных) нужд
</v>
      </c>
      <c r="B1246" s="760"/>
      <c r="C1246" s="820"/>
      <c r="D1246" s="760"/>
      <c r="E1246" s="760"/>
      <c r="F1246" s="763">
        <v>200</v>
      </c>
      <c r="G1246" s="812">
        <v>9492.5</v>
      </c>
      <c r="H1246" s="812"/>
      <c r="I1246" s="805">
        <f t="shared" si="285"/>
        <v>9492.5</v>
      </c>
    </row>
    <row r="1247" spans="1:9" hidden="1" x14ac:dyDescent="0.25">
      <c r="A1247" s="826" t="str">
        <f>IF(B1247&gt;0,VLOOKUP(B1247,КВСР!A538:B1703,2),IF(C1247&gt;0,VLOOKUP(C1247,КФСР!A538:B2050,2),IF(D1247&gt;0,VLOOKUP(D1247,Программа!A$1:B$5124,2),IF(F1247&gt;0,VLOOKUP(F1247,КВР!A$1:B$5001,2),IF(E1247&gt;0,VLOOKUP(E1247,Направление!A$1:B$4816,2))))))</f>
        <v>Другие общегосударственные вопросы</v>
      </c>
      <c r="B1247" s="760"/>
      <c r="C1247" s="820">
        <v>113</v>
      </c>
      <c r="D1247" s="760"/>
      <c r="E1247" s="760"/>
      <c r="F1247" s="763"/>
      <c r="G1247" s="812">
        <v>0</v>
      </c>
      <c r="H1247" s="812">
        <f t="shared" ref="H1247:I1250" si="286">H1248</f>
        <v>0</v>
      </c>
      <c r="I1247" s="805">
        <f t="shared" si="286"/>
        <v>0</v>
      </c>
    </row>
    <row r="1248" spans="1:9" ht="63" hidden="1" x14ac:dyDescent="0.25">
      <c r="A1248" s="826" t="str">
        <f>IF(B1248&gt;0,VLOOKUP(B1248,КВСР!A539:B1704,2),IF(C1248&gt;0,VLOOKUP(C1248,КФСР!A539:B2051,2),IF(D1248&gt;0,VLOOKUP(D1248,Программа!A$1:B$5124,2),IF(F1248&gt;0,VLOOKUP(F1248,КВР!A$1:B$5001,2),IF(E1248&gt;0,VLOOKUP(E1248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48" s="760"/>
      <c r="C1248" s="820"/>
      <c r="D1248" s="760" t="s">
        <v>326</v>
      </c>
      <c r="E1248" s="760"/>
      <c r="F1248" s="763"/>
      <c r="G1248" s="812">
        <v>0</v>
      </c>
      <c r="H1248" s="812">
        <f t="shared" si="286"/>
        <v>0</v>
      </c>
      <c r="I1248" s="805">
        <f t="shared" si="286"/>
        <v>0</v>
      </c>
    </row>
    <row r="1249" spans="1:9" ht="63" hidden="1" x14ac:dyDescent="0.25">
      <c r="A1249" s="826" t="str">
        <f>IF(B1249&gt;0,VLOOKUP(B1249,КВСР!A540:B1705,2),IF(C1249&gt;0,VLOOKUP(C1249,КФСР!A540:B2052,2),IF(D1249&gt;0,VLOOKUP(D1249,Программа!A$1:B$5124,2),IF(F1249&gt;0,VLOOKUP(F1249,КВР!A$1:B$5001,2),IF(E1249&gt;0,VLOOKUP(E1249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249" s="760"/>
      <c r="C1249" s="820"/>
      <c r="D1249" s="760" t="s">
        <v>328</v>
      </c>
      <c r="E1249" s="760"/>
      <c r="F1249" s="763"/>
      <c r="G1249" s="812">
        <v>0</v>
      </c>
      <c r="H1249" s="812">
        <f t="shared" si="286"/>
        <v>0</v>
      </c>
      <c r="I1249" s="805">
        <f t="shared" si="286"/>
        <v>0</v>
      </c>
    </row>
    <row r="1250" spans="1:9" ht="31.5" hidden="1" x14ac:dyDescent="0.25">
      <c r="A1250" s="826" t="str">
        <f>IF(B1250&gt;0,VLOOKUP(B1250,КВСР!A541:B1706,2),IF(C1250&gt;0,VLOOKUP(C1250,КФСР!A541:B2053,2),IF(D1250&gt;0,VLOOKUP(D1250,Программа!A$1:B$5124,2),IF(F1250&gt;0,VLOOKUP(F1250,КВР!A$1:B$5001,2),IF(E1250&gt;0,VLOOKUP(E1250,Направление!A$1:B$4816,2))))))</f>
        <v>Расходы на проведение мероприятий по информатизации</v>
      </c>
      <c r="B1250" s="760"/>
      <c r="C1250" s="820"/>
      <c r="D1250" s="760"/>
      <c r="E1250" s="760">
        <v>12210</v>
      </c>
      <c r="F1250" s="763"/>
      <c r="G1250" s="812">
        <v>0</v>
      </c>
      <c r="H1250" s="812">
        <f t="shared" si="286"/>
        <v>0</v>
      </c>
      <c r="I1250" s="805">
        <f t="shared" si="286"/>
        <v>0</v>
      </c>
    </row>
    <row r="1251" spans="1:9" ht="63" hidden="1" x14ac:dyDescent="0.25">
      <c r="A1251" s="826" t="str">
        <f>IF(B1251&gt;0,VLOOKUP(B1251,КВСР!A542:B1707,2),IF(C1251&gt;0,VLOOKUP(C1251,КФСР!A542:B2054,2),IF(D1251&gt;0,VLOOKUP(D1251,Программа!A$1:B$5124,2),IF(F1251&gt;0,VLOOKUP(F1251,КВР!A$1:B$5001,2),IF(E1251&gt;0,VLOOKUP(E1251,Направление!A$1:B$4816,2))))))</f>
        <v xml:space="preserve">Закупка товаров, работ и услуг для обеспечения государственных (муниципальных) нужд
</v>
      </c>
      <c r="B1251" s="760"/>
      <c r="C1251" s="820"/>
      <c r="D1251" s="760"/>
      <c r="E1251" s="760"/>
      <c r="F1251" s="763">
        <v>200</v>
      </c>
      <c r="G1251" s="812">
        <v>0</v>
      </c>
      <c r="H1251" s="812"/>
      <c r="I1251" s="805">
        <f>G1251+H1251</f>
        <v>0</v>
      </c>
    </row>
    <row r="1252" spans="1:9" ht="47.25" hidden="1" x14ac:dyDescent="0.25">
      <c r="A1252" s="826" t="str">
        <f>IF(B1252&gt;0,VLOOKUP(B1252,КВСР!A538:B1703,2),IF(C1252&gt;0,VLOOKUP(C1252,КФСР!A538:B2050,2),IF(D1252&gt;0,VLOOKUP(D1252,Программа!A$1:B$5124,2),IF(F1252&gt;0,VLOOKUP(F1252,КВР!A$1:B$5001,2),IF(E1252&gt;0,VLOOKUP(E1252,Направление!A$1:B$4816,2))))))</f>
        <v>Профессиональная подготовка, переподготовка и повышение квалификации</v>
      </c>
      <c r="B1252" s="760"/>
      <c r="C1252" s="820">
        <v>705</v>
      </c>
      <c r="D1252" s="760"/>
      <c r="E1252" s="760"/>
      <c r="F1252" s="763"/>
      <c r="G1252" s="812">
        <v>0</v>
      </c>
      <c r="H1252" s="812">
        <f t="shared" ref="H1252:I1254" si="287">H1253</f>
        <v>0</v>
      </c>
      <c r="I1252" s="805">
        <f t="shared" si="287"/>
        <v>0</v>
      </c>
    </row>
    <row r="1253" spans="1:9" hidden="1" x14ac:dyDescent="0.25">
      <c r="A1253" s="826" t="str">
        <f>IF(B1253&gt;0,VLOOKUP(B1253,КВСР!A539:B1704,2),IF(C1253&gt;0,VLOOKUP(C1253,КФСР!A539:B2051,2),IF(D1253&gt;0,VLOOKUP(D1253,Программа!A$1:B$5124,2),IF(F1253&gt;0,VLOOKUP(F1253,КВР!A$1:B$5001,2),IF(E1253&gt;0,VLOOKUP(E1253,Направление!A$1:B$4816,2))))))</f>
        <v>Непрограммные расходы бюджета</v>
      </c>
      <c r="B1253" s="760"/>
      <c r="C1253" s="820"/>
      <c r="D1253" s="760" t="s">
        <v>311</v>
      </c>
      <c r="E1253" s="760"/>
      <c r="F1253" s="763"/>
      <c r="G1253" s="812">
        <v>0</v>
      </c>
      <c r="H1253" s="812">
        <f t="shared" si="287"/>
        <v>0</v>
      </c>
      <c r="I1253" s="805">
        <f t="shared" si="287"/>
        <v>0</v>
      </c>
    </row>
    <row r="1254" spans="1:9" hidden="1" x14ac:dyDescent="0.25">
      <c r="A1254" s="826" t="str">
        <f>IF(B1254&gt;0,VLOOKUP(B1254,КВСР!A540:B1705,2),IF(C1254&gt;0,VLOOKUP(C1254,КФСР!A540:B2052,2),IF(D1254&gt;0,VLOOKUP(D1254,Программа!A$1:B$5124,2),IF(F1254&gt;0,VLOOKUP(F1254,КВР!A$1:B$5001,2),IF(E1254&gt;0,VLOOKUP(E1254,Направление!A$1:B$4816,2))))))</f>
        <v>Содержание центрального аппарата</v>
      </c>
      <c r="B1254" s="760"/>
      <c r="C1254" s="820"/>
      <c r="D1254" s="760"/>
      <c r="E1254" s="760">
        <v>12010</v>
      </c>
      <c r="F1254" s="763"/>
      <c r="G1254" s="812">
        <v>0</v>
      </c>
      <c r="H1254" s="812">
        <f t="shared" si="287"/>
        <v>0</v>
      </c>
      <c r="I1254" s="805">
        <f t="shared" si="287"/>
        <v>0</v>
      </c>
    </row>
    <row r="1255" spans="1:9" ht="63" hidden="1" x14ac:dyDescent="0.25">
      <c r="A1255" s="826" t="str">
        <f>IF(B1255&gt;0,VLOOKUP(B1255,КВСР!A541:B1706,2),IF(C1255&gt;0,VLOOKUP(C1255,КФСР!A541:B2053,2),IF(D1255&gt;0,VLOOKUP(D1255,Программа!A$1:B$5124,2),IF(F1255&gt;0,VLOOKUP(F1255,КВР!A$1:B$5001,2),IF(E1255&gt;0,VLOOKUP(E1255,Направление!A$1:B$4816,2))))))</f>
        <v xml:space="preserve">Закупка товаров, работ и услуг для обеспечения государственных (муниципальных) нужд
</v>
      </c>
      <c r="B1255" s="760"/>
      <c r="C1255" s="820"/>
      <c r="D1255" s="760"/>
      <c r="E1255" s="760"/>
      <c r="F1255" s="763">
        <v>200</v>
      </c>
      <c r="G1255" s="812">
        <v>0</v>
      </c>
      <c r="H1255" s="812"/>
      <c r="I1255" s="805">
        <f>G1255+H1255</f>
        <v>0</v>
      </c>
    </row>
    <row r="1256" spans="1:9" x14ac:dyDescent="0.25">
      <c r="A1256" s="824" t="s">
        <v>129</v>
      </c>
      <c r="B1256" s="760"/>
      <c r="C1256" s="820"/>
      <c r="D1256" s="760"/>
      <c r="E1256" s="760"/>
      <c r="F1256" s="763"/>
      <c r="G1256" s="811">
        <v>2799288799.9299998</v>
      </c>
      <c r="H1256" s="811">
        <f>SUM(H10+H448+H510+H831+H981+H1032+H1234)</f>
        <v>16958495.400000002</v>
      </c>
      <c r="I1256" s="804">
        <f>SUM(I10+I448+I510+I831+I981+I1032+I1234)</f>
        <v>2816247295.3299999</v>
      </c>
    </row>
  </sheetData>
  <autoFilter ref="B1:B1260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2" type="noConversion"/>
  <printOptions gridLinesSet="0"/>
  <pageMargins left="0.9055118110236221" right="0.70866141732283472" top="0.74803149606299213" bottom="0.74803149606299213" header="0" footer="0.11811023622047245"/>
  <pageSetup paperSize="9" scale="76" fitToHeight="0" orientation="portrait" r:id="rId1"/>
  <headerFooter>
    <oddFooter>&amp;C&amp;P</oddFooter>
  </headerFooter>
  <rowBreaks count="8" manualBreakCount="8">
    <brk id="569" max="8" man="1"/>
    <brk id="592" max="8" man="1"/>
    <brk id="622" max="8" man="1"/>
    <brk id="651" max="8" man="1"/>
    <brk id="685" max="8" man="1"/>
    <brk id="707" max="8" man="1"/>
    <brk id="734" max="8" man="1"/>
    <brk id="75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2"/>
  <sheetViews>
    <sheetView showGridLines="0" view="pageBreakPreview" topLeftCell="A562" zoomScaleSheetLayoutView="100" workbookViewId="0">
      <selection activeCell="J549" sqref="J549"/>
    </sheetView>
  </sheetViews>
  <sheetFormatPr defaultColWidth="9.140625" defaultRowHeight="12.75" x14ac:dyDescent="0.2"/>
  <cols>
    <col min="1" max="1" width="46.85546875" style="40" customWidth="1"/>
    <col min="2" max="2" width="7.7109375" style="40" customWidth="1"/>
    <col min="3" max="3" width="7.85546875" style="40" customWidth="1"/>
    <col min="4" max="4" width="12" style="124" customWidth="1"/>
    <col min="5" max="5" width="7.85546875" style="125" bestFit="1" customWidth="1"/>
    <col min="6" max="6" width="7.28515625" style="40" customWidth="1"/>
    <col min="7" max="7" width="14" style="279" customWidth="1"/>
    <col min="8" max="8" width="15.85546875" style="666" customWidth="1"/>
    <col min="9" max="10" width="14.140625" customWidth="1"/>
    <col min="11" max="11" width="14.140625" style="666" customWidth="1"/>
    <col min="12" max="12" width="14.140625" style="40" customWidth="1"/>
    <col min="13" max="16384" width="9.140625" style="40"/>
  </cols>
  <sheetData>
    <row r="1" spans="1:12" ht="15.75" x14ac:dyDescent="0.25">
      <c r="A1" s="829" t="s">
        <v>1781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</row>
    <row r="2" spans="1:12" ht="15.75" x14ac:dyDescent="0.25">
      <c r="A2" s="829" t="s">
        <v>1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</row>
    <row r="3" spans="1:12" ht="15.75" x14ac:dyDescent="0.25">
      <c r="A3" s="829" t="s">
        <v>2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</row>
    <row r="4" spans="1:12" ht="15.75" x14ac:dyDescent="0.25">
      <c r="A4" s="829" t="s">
        <v>1754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</row>
    <row r="5" spans="1:12" ht="15.75" x14ac:dyDescent="0.25">
      <c r="A5" s="97"/>
      <c r="B5" s="98"/>
      <c r="C5" s="98"/>
      <c r="D5" s="99"/>
      <c r="E5" s="100"/>
      <c r="F5" s="98"/>
      <c r="G5" s="845"/>
      <c r="H5" s="845"/>
      <c r="I5" s="845"/>
      <c r="J5" s="845"/>
      <c r="K5" s="845"/>
      <c r="L5" s="845"/>
    </row>
    <row r="6" spans="1:12" ht="58.9" customHeight="1" x14ac:dyDescent="0.3">
      <c r="A6" s="904" t="s">
        <v>1687</v>
      </c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</row>
    <row r="7" spans="1:12" ht="15.75" x14ac:dyDescent="0.25">
      <c r="A7" s="93"/>
      <c r="B7" s="94"/>
      <c r="C7" s="94"/>
      <c r="D7" s="95"/>
      <c r="E7" s="96"/>
      <c r="F7" s="94"/>
      <c r="G7" s="905"/>
      <c r="H7" s="905"/>
      <c r="I7" s="905"/>
      <c r="J7" s="905"/>
      <c r="K7" s="905"/>
      <c r="L7" s="905"/>
    </row>
    <row r="8" spans="1:12" ht="12.75" customHeight="1" x14ac:dyDescent="0.2">
      <c r="A8" s="906" t="s">
        <v>139</v>
      </c>
      <c r="B8" s="907" t="s">
        <v>303</v>
      </c>
      <c r="C8" s="907" t="s">
        <v>304</v>
      </c>
      <c r="D8" s="909" t="s">
        <v>305</v>
      </c>
      <c r="E8" s="909"/>
      <c r="F8" s="907" t="s">
        <v>306</v>
      </c>
      <c r="G8" s="908" t="s">
        <v>1538</v>
      </c>
      <c r="H8" s="906" t="s">
        <v>1538</v>
      </c>
      <c r="I8" s="906" t="s">
        <v>1538</v>
      </c>
      <c r="J8" s="906" t="s">
        <v>1538</v>
      </c>
      <c r="K8" s="906" t="s">
        <v>1615</v>
      </c>
      <c r="L8" s="906" t="s">
        <v>1615</v>
      </c>
    </row>
    <row r="9" spans="1:12" ht="55.5" customHeight="1" x14ac:dyDescent="0.2">
      <c r="A9" s="906"/>
      <c r="B9" s="907"/>
      <c r="C9" s="907"/>
      <c r="D9" s="449" t="s">
        <v>307</v>
      </c>
      <c r="E9" s="450" t="s">
        <v>308</v>
      </c>
      <c r="F9" s="907"/>
      <c r="G9" s="908"/>
      <c r="H9" s="906"/>
      <c r="I9" s="906"/>
      <c r="J9" s="906"/>
      <c r="K9" s="906"/>
      <c r="L9" s="906"/>
    </row>
    <row r="10" spans="1:12" ht="31.5" x14ac:dyDescent="0.2">
      <c r="A10" s="102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3">
        <v>950</v>
      </c>
      <c r="C10" s="104"/>
      <c r="D10" s="105"/>
      <c r="E10" s="104"/>
      <c r="F10" s="106"/>
      <c r="G10" s="339">
        <v>413233506</v>
      </c>
      <c r="H10" s="338">
        <f>H11+H15+H27+H31+H67+H92+H102+H162+H211+H23+H157+H182+H62+H149+H229+H220</f>
        <v>-110108000</v>
      </c>
      <c r="I10" s="338">
        <f>I11+I15+I27+I31+I67+I92+I102+I162+I211+I23+I157+I182+I62+I149+I229+I220</f>
        <v>303125506</v>
      </c>
      <c r="J10" s="338">
        <v>494232109</v>
      </c>
      <c r="K10" s="338">
        <f>K11+K15+K27+K31+K67+K92+K102+K162+K211+K23+K157+K182+K62+K149+K229+K220</f>
        <v>0</v>
      </c>
      <c r="L10" s="338">
        <f>L11+L15+L27+L31+L67+L92+L102+L162+L211+L23+L157+L182+L62+L149+L229+L220</f>
        <v>494232109</v>
      </c>
    </row>
    <row r="11" spans="1:12" ht="63" x14ac:dyDescent="0.2">
      <c r="A11" s="107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08"/>
      <c r="C11" s="104">
        <v>102</v>
      </c>
      <c r="D11" s="105"/>
      <c r="E11" s="104"/>
      <c r="F11" s="106"/>
      <c r="G11" s="340">
        <v>1647072</v>
      </c>
      <c r="H11" s="335">
        <f t="shared" ref="H11:I13" si="0">H12</f>
        <v>0</v>
      </c>
      <c r="I11" s="335">
        <f t="shared" si="0"/>
        <v>1647072</v>
      </c>
      <c r="J11" s="335">
        <v>1647072</v>
      </c>
      <c r="K11" s="335">
        <f t="shared" ref="K11:L13" si="1">K12</f>
        <v>0</v>
      </c>
      <c r="L11" s="335">
        <f t="shared" si="1"/>
        <v>1647072</v>
      </c>
    </row>
    <row r="12" spans="1:12" ht="15.75" x14ac:dyDescent="0.2">
      <c r="A12" s="107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08"/>
      <c r="C12" s="104"/>
      <c r="D12" s="105" t="s">
        <v>311</v>
      </c>
      <c r="E12" s="104"/>
      <c r="F12" s="106"/>
      <c r="G12" s="340">
        <v>1647072</v>
      </c>
      <c r="H12" s="335">
        <f t="shared" si="0"/>
        <v>0</v>
      </c>
      <c r="I12" s="335">
        <f t="shared" si="0"/>
        <v>1647072</v>
      </c>
      <c r="J12" s="335">
        <v>1647072</v>
      </c>
      <c r="K12" s="335">
        <f t="shared" si="1"/>
        <v>0</v>
      </c>
      <c r="L12" s="335">
        <f t="shared" si="1"/>
        <v>1647072</v>
      </c>
    </row>
    <row r="13" spans="1:12" ht="31.5" x14ac:dyDescent="0.2">
      <c r="A13" s="107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08"/>
      <c r="C13" s="104"/>
      <c r="D13" s="105"/>
      <c r="E13" s="104">
        <v>12020</v>
      </c>
      <c r="F13" s="106"/>
      <c r="G13" s="340">
        <v>1647072</v>
      </c>
      <c r="H13" s="335">
        <f t="shared" si="0"/>
        <v>0</v>
      </c>
      <c r="I13" s="335">
        <f t="shared" si="0"/>
        <v>1647072</v>
      </c>
      <c r="J13" s="335">
        <v>1647072</v>
      </c>
      <c r="K13" s="335">
        <f t="shared" si="1"/>
        <v>0</v>
      </c>
      <c r="L13" s="335">
        <f t="shared" si="1"/>
        <v>1647072</v>
      </c>
    </row>
    <row r="14" spans="1:12" ht="110.25" x14ac:dyDescent="0.2">
      <c r="A14" s="107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08"/>
      <c r="C14" s="104"/>
      <c r="D14" s="105"/>
      <c r="E14" s="104"/>
      <c r="F14" s="106">
        <v>100</v>
      </c>
      <c r="G14" s="341">
        <v>1647072</v>
      </c>
      <c r="H14" s="335"/>
      <c r="I14" s="335">
        <f t="shared" ref="I14" si="2">SUM(G14:H14)</f>
        <v>1647072</v>
      </c>
      <c r="J14" s="335">
        <v>1647072</v>
      </c>
      <c r="K14" s="266"/>
      <c r="L14" s="266">
        <f t="shared" ref="L14" si="3">SUM(J14:K14)</f>
        <v>1647072</v>
      </c>
    </row>
    <row r="15" spans="1:12" ht="94.5" x14ac:dyDescent="0.2">
      <c r="A15" s="107" t="str">
        <f>IF(B15&gt;0,VLOOKUP(B15,КВСР!A7:B1172,2),IF(C15&gt;0,VLOOKUP(C15,КФСР!A7:B1519,2),IF(D15&gt;0,VLOOKUP(D15,Программа!A$1:B$5124,2),IF(F15&gt;0,VLOOKUP(F15,КВР!A$1:B$5001,2),IF(E15&gt;0,VLOOKUP(E15,Направление!A$1:B$4816,2))))))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08"/>
      <c r="C15" s="104">
        <v>104</v>
      </c>
      <c r="D15" s="105"/>
      <c r="E15" s="104"/>
      <c r="F15" s="106"/>
      <c r="G15" s="340">
        <v>27304988</v>
      </c>
      <c r="H15" s="335">
        <f t="shared" ref="H15:L15" si="4">H16</f>
        <v>0</v>
      </c>
      <c r="I15" s="335">
        <f t="shared" si="4"/>
        <v>27304988</v>
      </c>
      <c r="J15" s="335">
        <v>22304988</v>
      </c>
      <c r="K15" s="335">
        <f t="shared" si="4"/>
        <v>0</v>
      </c>
      <c r="L15" s="335">
        <f t="shared" si="4"/>
        <v>22304988</v>
      </c>
    </row>
    <row r="16" spans="1:12" ht="15.75" x14ac:dyDescent="0.2">
      <c r="A16" s="107" t="str">
        <f>IF(B16&gt;0,VLOOKUP(B16,КВСР!A8:B1173,2),IF(C16&gt;0,VLOOKUP(C16,КФСР!A8:B1520,2),IF(D16&gt;0,VLOOKUP(D16,Программа!A$1:B$5124,2),IF(F16&gt;0,VLOOKUP(F16,КВР!A$1:B$5001,2),IF(E16&gt;0,VLOOKUP(E16,Направление!A$1:B$4816,2))))))</f>
        <v>Непрограммные расходы бюджета</v>
      </c>
      <c r="B16" s="108"/>
      <c r="C16" s="104"/>
      <c r="D16" s="105" t="s">
        <v>311</v>
      </c>
      <c r="E16" s="104"/>
      <c r="F16" s="106"/>
      <c r="G16" s="340">
        <v>27304988</v>
      </c>
      <c r="H16" s="335">
        <f t="shared" ref="H16:I16" si="5">H17+H21</f>
        <v>0</v>
      </c>
      <c r="I16" s="335">
        <f t="shared" si="5"/>
        <v>27304988</v>
      </c>
      <c r="J16" s="335">
        <v>22304988</v>
      </c>
      <c r="K16" s="335">
        <f t="shared" ref="K16:L16" si="6">K17+K21</f>
        <v>0</v>
      </c>
      <c r="L16" s="335">
        <f t="shared" si="6"/>
        <v>22304988</v>
      </c>
    </row>
    <row r="17" spans="1:12" ht="15.75" x14ac:dyDescent="0.2">
      <c r="A17" s="107" t="str">
        <f>IF(B17&gt;0,VLOOKUP(B17,КВСР!A9:B1174,2),IF(C17&gt;0,VLOOKUP(C17,КФСР!A9:B1521,2),IF(D17&gt;0,VLOOKUP(D17,Программа!A$1:B$5124,2),IF(F17&gt;0,VLOOKUP(F17,КВР!A$1:B$5001,2),IF(E17&gt;0,VLOOKUP(E17,Направление!A$1:B$4816,2))))))</f>
        <v>Содержание центрального аппарата</v>
      </c>
      <c r="B17" s="108"/>
      <c r="C17" s="104"/>
      <c r="D17" s="105"/>
      <c r="E17" s="104">
        <v>12010</v>
      </c>
      <c r="F17" s="106"/>
      <c r="G17" s="340">
        <v>5000000</v>
      </c>
      <c r="H17" s="335">
        <f t="shared" ref="H17:I17" si="7">H18+H19+H20</f>
        <v>0</v>
      </c>
      <c r="I17" s="335">
        <f t="shared" si="7"/>
        <v>5000000</v>
      </c>
      <c r="J17" s="335">
        <v>0</v>
      </c>
      <c r="K17" s="335">
        <f t="shared" ref="K17:L17" si="8">K18+K19+K20</f>
        <v>0</v>
      </c>
      <c r="L17" s="335">
        <f t="shared" si="8"/>
        <v>0</v>
      </c>
    </row>
    <row r="18" spans="1:12" ht="110.25" x14ac:dyDescent="0.2">
      <c r="A18" s="107" t="str">
        <f>IF(B18&gt;0,VLOOKUP(B18,КВСР!A10:B1175,2),IF(C18&gt;0,VLOOKUP(C18,КФСР!A10:B1522,2),IF(D18&gt;0,VLOOKUP(D18,Программа!A$1:B$5124,2),IF(F18&gt;0,VLOOKUP(F18,КВР!A$1:B$5001,2),IF(E18&gt;0,VLOOKUP(E18,Направление!A$1:B$4816,2))))))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08"/>
      <c r="C18" s="104"/>
      <c r="D18" s="105"/>
      <c r="E18" s="104"/>
      <c r="F18" s="106">
        <v>100</v>
      </c>
      <c r="G18" s="341">
        <v>2000000</v>
      </c>
      <c r="H18" s="335"/>
      <c r="I18" s="335">
        <f t="shared" ref="I18:I300" si="9">SUM(G18:H18)</f>
        <v>2000000</v>
      </c>
      <c r="J18" s="335">
        <v>0</v>
      </c>
      <c r="K18" s="266"/>
      <c r="L18" s="266">
        <f t="shared" ref="L18:L300" si="10">SUM(J18:K18)</f>
        <v>0</v>
      </c>
    </row>
    <row r="19" spans="1:12" ht="62.25" customHeight="1" x14ac:dyDescent="0.2">
      <c r="A19" s="107" t="str">
        <f>IF(B19&gt;0,VLOOKUP(B19,КВСР!A13:B1178,2),IF(C19&gt;0,VLOOKUP(C19,КФСР!A13:B1525,2),IF(D19&gt;0,VLOOKUP(D19,Программа!A$1:B$5124,2),IF(F19&gt;0,VLOOKUP(F19,КВР!A$1:B$5001,2),IF(E19&gt;0,VLOOKUP(E19,Направление!A$1:B$4816,2))))))</f>
        <v xml:space="preserve">Закупка товаров, работ и услуг для обеспечения государственных (муниципальных) нужд
</v>
      </c>
      <c r="B19" s="108"/>
      <c r="C19" s="104"/>
      <c r="D19" s="105"/>
      <c r="E19" s="104"/>
      <c r="F19" s="106">
        <v>200</v>
      </c>
      <c r="G19" s="341">
        <v>3000000</v>
      </c>
      <c r="H19" s="335"/>
      <c r="I19" s="335">
        <f t="shared" si="9"/>
        <v>3000000</v>
      </c>
      <c r="J19" s="335">
        <v>0</v>
      </c>
      <c r="K19" s="266"/>
      <c r="L19" s="266">
        <f t="shared" si="10"/>
        <v>0</v>
      </c>
    </row>
    <row r="20" spans="1:12" ht="15.75" x14ac:dyDescent="0.2">
      <c r="A20" s="107" t="str">
        <f>IF(B20&gt;0,VLOOKUP(B20,КВСР!A14:B1179,2),IF(C20&gt;0,VLOOKUP(C20,КФСР!A14:B1526,2),IF(D20&gt;0,VLOOKUP(D20,Программа!A$1:B$5124,2),IF(F20&gt;0,VLOOKUP(F20,КВР!A$1:B$5001,2),IF(E20&gt;0,VLOOKUP(E20,Направление!A$1:B$4816,2))))))</f>
        <v>Иные бюджетные ассигнования</v>
      </c>
      <c r="B20" s="108"/>
      <c r="C20" s="104"/>
      <c r="D20" s="105"/>
      <c r="E20" s="104"/>
      <c r="F20" s="106">
        <v>800</v>
      </c>
      <c r="G20" s="341">
        <v>0</v>
      </c>
      <c r="H20" s="335"/>
      <c r="I20" s="335">
        <f t="shared" si="9"/>
        <v>0</v>
      </c>
      <c r="J20" s="335">
        <v>0</v>
      </c>
      <c r="K20" s="266"/>
      <c r="L20" s="266">
        <f t="shared" si="10"/>
        <v>0</v>
      </c>
    </row>
    <row r="21" spans="1:12" ht="47.25" x14ac:dyDescent="0.2">
      <c r="A21" s="107" t="str">
        <f>IF(B21&gt;0,VLOOKUP(B21,КВСР!A15:B1180,2),IF(C21&gt;0,VLOOKUP(C21,КФСР!A15:B1527,2),IF(D21&gt;0,VLOOKUP(D21,Программа!A$1:B$5124,2),IF(F21&gt;0,VLOOKUP(F21,КВР!A$1:B$5001,2),IF(E21&gt;0,VLOOKUP(E21,Направление!A$1:B$4816,2))))))</f>
        <v>Содержание органов местного самоуправления за счет средств поселений</v>
      </c>
      <c r="B21" s="108"/>
      <c r="C21" s="104"/>
      <c r="D21" s="105"/>
      <c r="E21" s="104">
        <v>29016</v>
      </c>
      <c r="F21" s="106"/>
      <c r="G21" s="341">
        <v>22304988</v>
      </c>
      <c r="H21" s="335">
        <f t="shared" ref="H21:L21" si="11">H22</f>
        <v>0</v>
      </c>
      <c r="I21" s="335">
        <f t="shared" si="11"/>
        <v>22304988</v>
      </c>
      <c r="J21" s="335">
        <v>22304988</v>
      </c>
      <c r="K21" s="335">
        <f t="shared" si="11"/>
        <v>0</v>
      </c>
      <c r="L21" s="335">
        <f t="shared" si="11"/>
        <v>22304988</v>
      </c>
    </row>
    <row r="22" spans="1:12" ht="110.25" x14ac:dyDescent="0.2">
      <c r="A22" s="107" t="str">
        <f>IF(B22&gt;0,VLOOKUP(B22,КВСР!A16:B1181,2),IF(C22&gt;0,VLOOKUP(C22,КФСР!A16:B1528,2),IF(D22&gt;0,VLOOKUP(D22,Программа!A$1:B$5124,2),IF(F22&gt;0,VLOOKUP(F22,КВР!A$1:B$5001,2),IF(E22&gt;0,VLOOKUP(E22,Направление!A$1:B$4816,2))))))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08"/>
      <c r="C22" s="104"/>
      <c r="D22" s="105"/>
      <c r="E22" s="104"/>
      <c r="F22" s="106">
        <v>100</v>
      </c>
      <c r="G22" s="341">
        <v>22304988</v>
      </c>
      <c r="H22" s="335"/>
      <c r="I22" s="335">
        <f>G22+H22</f>
        <v>22304988</v>
      </c>
      <c r="J22" s="335">
        <v>22304988</v>
      </c>
      <c r="K22" s="266"/>
      <c r="L22" s="266">
        <f>J22+K22</f>
        <v>22304988</v>
      </c>
    </row>
    <row r="23" spans="1:12" ht="15.75" x14ac:dyDescent="0.2">
      <c r="A23" s="107" t="str">
        <f>IF(B23&gt;0,VLOOKUP(B23,КВСР!A17:B1182,2),IF(C23&gt;0,VLOOKUP(C23,КФСР!A17:B1529,2),IF(D23&gt;0,VLOOKUP(D23,Программа!A$1:B$5124,2),IF(F23&gt;0,VLOOKUP(F23,КВР!A$1:B$5001,2),IF(E23&gt;0,VLOOKUP(E23,Направление!A$1:B$4816,2))))))</f>
        <v>Судебная система</v>
      </c>
      <c r="B23" s="108"/>
      <c r="C23" s="104">
        <v>105</v>
      </c>
      <c r="D23" s="105"/>
      <c r="E23" s="104"/>
      <c r="F23" s="106"/>
      <c r="G23" s="341">
        <v>3059</v>
      </c>
      <c r="H23" s="335">
        <f t="shared" ref="H23:L25" si="12">H24</f>
        <v>0</v>
      </c>
      <c r="I23" s="335">
        <f t="shared" si="12"/>
        <v>3059</v>
      </c>
      <c r="J23" s="335">
        <v>2726</v>
      </c>
      <c r="K23" s="335">
        <f t="shared" si="12"/>
        <v>0</v>
      </c>
      <c r="L23" s="335">
        <f t="shared" si="12"/>
        <v>2726</v>
      </c>
    </row>
    <row r="24" spans="1:12" ht="15.75" x14ac:dyDescent="0.2">
      <c r="A24" s="107" t="str">
        <f>IF(B24&gt;0,VLOOKUP(B24,КВСР!A18:B1183,2),IF(C24&gt;0,VLOOKUP(C24,КФСР!A18:B1530,2),IF(D24&gt;0,VLOOKUP(D24,Программа!A$1:B$5124,2),IF(F24&gt;0,VLOOKUP(F24,КВР!A$1:B$5001,2),IF(E24&gt;0,VLOOKUP(E24,Направление!A$1:B$4816,2))))))</f>
        <v>Непрограммные расходы бюджета</v>
      </c>
      <c r="B24" s="108"/>
      <c r="C24" s="104"/>
      <c r="D24" s="105" t="s">
        <v>311</v>
      </c>
      <c r="E24" s="104"/>
      <c r="F24" s="106"/>
      <c r="G24" s="341">
        <v>3059</v>
      </c>
      <c r="H24" s="335">
        <f t="shared" si="12"/>
        <v>0</v>
      </c>
      <c r="I24" s="335">
        <f t="shared" si="12"/>
        <v>3059</v>
      </c>
      <c r="J24" s="335">
        <v>2726</v>
      </c>
      <c r="K24" s="335">
        <f t="shared" si="12"/>
        <v>0</v>
      </c>
      <c r="L24" s="335">
        <f t="shared" si="12"/>
        <v>2726</v>
      </c>
    </row>
    <row r="25" spans="1:12" ht="78.75" x14ac:dyDescent="0.2">
      <c r="A25" s="107" t="str">
        <f>IF(B25&gt;0,VLOOKUP(B25,КВСР!A19:B1184,2),IF(C25&gt;0,VLOOKUP(C25,КФСР!A19:B1531,2),IF(D25&gt;0,VLOOKUP(D25,Программа!A$1:B$5124,2),IF(F25&gt;0,VLOOKUP(F25,КВР!A$1:B$5001,2),IF(E25&gt;0,VLOOKUP(E25,Направление!A$1:B$4816,2))))))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08"/>
      <c r="C25" s="104"/>
      <c r="D25" s="105"/>
      <c r="E25" s="104">
        <v>51200</v>
      </c>
      <c r="F25" s="106"/>
      <c r="G25" s="341">
        <v>3059</v>
      </c>
      <c r="H25" s="335">
        <f t="shared" si="12"/>
        <v>0</v>
      </c>
      <c r="I25" s="335">
        <f t="shared" si="12"/>
        <v>3059</v>
      </c>
      <c r="J25" s="335">
        <v>2726</v>
      </c>
      <c r="K25" s="335">
        <f t="shared" si="12"/>
        <v>0</v>
      </c>
      <c r="L25" s="335">
        <f t="shared" si="12"/>
        <v>2726</v>
      </c>
    </row>
    <row r="26" spans="1:12" ht="63" x14ac:dyDescent="0.2">
      <c r="A26" s="107" t="str">
        <f>IF(B26&gt;0,VLOOKUP(B26,КВСР!A20:B1185,2),IF(C26&gt;0,VLOOKUP(C26,КФСР!A20:B1532,2),IF(D26&gt;0,VLOOKUP(D26,Программа!A$1:B$5124,2),IF(F26&gt;0,VLOOKUP(F26,КВР!A$1:B$5001,2),IF(E26&gt;0,VLOOKUP(E26,Направление!A$1:B$4816,2))))))</f>
        <v xml:space="preserve">Закупка товаров, работ и услуг для обеспечения государственных (муниципальных) нужд
</v>
      </c>
      <c r="B26" s="108"/>
      <c r="C26" s="104"/>
      <c r="D26" s="105"/>
      <c r="E26" s="104"/>
      <c r="F26" s="106">
        <v>200</v>
      </c>
      <c r="G26" s="341">
        <v>3059</v>
      </c>
      <c r="H26" s="335"/>
      <c r="I26" s="335">
        <f>G26+H26</f>
        <v>3059</v>
      </c>
      <c r="J26" s="335">
        <v>2726</v>
      </c>
      <c r="K26" s="266"/>
      <c r="L26" s="266">
        <f>J26+K26</f>
        <v>2726</v>
      </c>
    </row>
    <row r="27" spans="1:12" ht="15.75" x14ac:dyDescent="0.2">
      <c r="A27" s="107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>Резервные фонды</v>
      </c>
      <c r="B27" s="108"/>
      <c r="C27" s="104">
        <v>111</v>
      </c>
      <c r="D27" s="105"/>
      <c r="E27" s="104"/>
      <c r="F27" s="106"/>
      <c r="G27" s="340">
        <v>3000000</v>
      </c>
      <c r="H27" s="335">
        <f t="shared" ref="H27:I29" si="13">H28</f>
        <v>0</v>
      </c>
      <c r="I27" s="335">
        <f t="shared" si="13"/>
        <v>3000000</v>
      </c>
      <c r="J27" s="335">
        <v>3000000</v>
      </c>
      <c r="K27" s="335">
        <f t="shared" ref="K27:L29" si="14">K28</f>
        <v>0</v>
      </c>
      <c r="L27" s="335">
        <f t="shared" si="14"/>
        <v>3000000</v>
      </c>
    </row>
    <row r="28" spans="1:12" ht="15.75" x14ac:dyDescent="0.2">
      <c r="A28" s="107" t="str">
        <f>IF(B28&gt;0,VLOOKUP(B28,КВСР!A22:B1187,2),IF(C28&gt;0,VLOOKUP(C28,КФСР!A22:B1534,2),IF(D28&gt;0,VLOOKUP(D28,Программа!A$1:B$5124,2),IF(F28&gt;0,VLOOKUP(F28,КВР!A$1:B$5001,2),IF(E28&gt;0,VLOOKUP(E28,Направление!A$1:B$4816,2))))))</f>
        <v>Непрограммные расходы бюджета</v>
      </c>
      <c r="B28" s="108"/>
      <c r="C28" s="104"/>
      <c r="D28" s="105" t="s">
        <v>311</v>
      </c>
      <c r="E28" s="104"/>
      <c r="F28" s="106"/>
      <c r="G28" s="340">
        <v>3000000</v>
      </c>
      <c r="H28" s="335">
        <f t="shared" si="13"/>
        <v>0</v>
      </c>
      <c r="I28" s="335">
        <f t="shared" si="13"/>
        <v>3000000</v>
      </c>
      <c r="J28" s="335">
        <v>3000000</v>
      </c>
      <c r="K28" s="335">
        <f t="shared" si="14"/>
        <v>0</v>
      </c>
      <c r="L28" s="335">
        <f t="shared" si="14"/>
        <v>3000000</v>
      </c>
    </row>
    <row r="29" spans="1:12" ht="31.5" x14ac:dyDescent="0.2">
      <c r="A29" s="107" t="str">
        <f>IF(B29&gt;0,VLOOKUP(B29,КВСР!A23:B1188,2),IF(C29&gt;0,VLOOKUP(C29,КФСР!A23:B1535,2),IF(D29&gt;0,VLOOKUP(D29,Программа!A$1:B$5124,2),IF(F29&gt;0,VLOOKUP(F29,КВР!A$1:B$5001,2),IF(E29&gt;0,VLOOKUP(E29,Направление!A$1:B$4816,2))))))</f>
        <v>Резервные фонды местных администраций</v>
      </c>
      <c r="B29" s="108"/>
      <c r="C29" s="104"/>
      <c r="D29" s="105"/>
      <c r="E29" s="104">
        <v>12900</v>
      </c>
      <c r="F29" s="106"/>
      <c r="G29" s="340">
        <v>3000000</v>
      </c>
      <c r="H29" s="335">
        <f t="shared" si="13"/>
        <v>0</v>
      </c>
      <c r="I29" s="335">
        <f t="shared" si="13"/>
        <v>3000000</v>
      </c>
      <c r="J29" s="335">
        <v>3000000</v>
      </c>
      <c r="K29" s="335">
        <f t="shared" si="14"/>
        <v>0</v>
      </c>
      <c r="L29" s="335">
        <f t="shared" si="14"/>
        <v>3000000</v>
      </c>
    </row>
    <row r="30" spans="1:12" ht="15.75" x14ac:dyDescent="0.2">
      <c r="A30" s="107" t="str">
        <f>IF(B30&gt;0,VLOOKUP(B30,КВСР!A24:B1189,2),IF(C30&gt;0,VLOOKUP(C30,КФСР!A24:B1536,2),IF(D30&gt;0,VLOOKUP(D30,Программа!A$1:B$5124,2),IF(F30&gt;0,VLOOKUP(F30,КВР!A$1:B$5001,2),IF(E30&gt;0,VLOOKUP(E30,Направление!A$1:B$4816,2))))))</f>
        <v>Иные бюджетные ассигнования</v>
      </c>
      <c r="B30" s="108"/>
      <c r="C30" s="104"/>
      <c r="D30" s="105"/>
      <c r="E30" s="104"/>
      <c r="F30" s="106">
        <v>800</v>
      </c>
      <c r="G30" s="341">
        <v>3000000</v>
      </c>
      <c r="H30" s="335"/>
      <c r="I30" s="335">
        <f t="shared" si="9"/>
        <v>3000000</v>
      </c>
      <c r="J30" s="335">
        <v>3000000</v>
      </c>
      <c r="K30" s="266"/>
      <c r="L30" s="266">
        <f t="shared" si="10"/>
        <v>3000000</v>
      </c>
    </row>
    <row r="31" spans="1:12" ht="15.75" x14ac:dyDescent="0.2">
      <c r="A31" s="107" t="str">
        <f>IF(B31&gt;0,VLOOKUP(B31,КВСР!A25:B1190,2),IF(C31&gt;0,VLOOKUP(C31,КФСР!A25:B1537,2),IF(D31&gt;0,VLOOKUP(D31,Программа!A$1:B$5124,2),IF(F31&gt;0,VLOOKUP(F31,КВР!A$1:B$5001,2),IF(E31&gt;0,VLOOKUP(E31,Направление!A$1:B$4816,2))))))</f>
        <v>Другие общегосударственные вопросы</v>
      </c>
      <c r="B31" s="108"/>
      <c r="C31" s="104">
        <v>113</v>
      </c>
      <c r="D31" s="105"/>
      <c r="E31" s="104"/>
      <c r="F31" s="106"/>
      <c r="G31" s="340">
        <v>25091738</v>
      </c>
      <c r="H31" s="335">
        <f t="shared" ref="H31:I31" si="15">H43+H37+H32</f>
        <v>0</v>
      </c>
      <c r="I31" s="335">
        <f t="shared" si="15"/>
        <v>25091738</v>
      </c>
      <c r="J31" s="335">
        <v>6784525</v>
      </c>
      <c r="K31" s="335">
        <f t="shared" ref="K31:L31" si="16">K43+K37+K32</f>
        <v>0</v>
      </c>
      <c r="L31" s="335">
        <f t="shared" si="16"/>
        <v>6784525</v>
      </c>
    </row>
    <row r="32" spans="1:12" ht="94.5" x14ac:dyDescent="0.2">
      <c r="A32" s="107" t="str">
        <f>IF(B32&gt;0,VLOOKUP(B32,КВСР!A26:B1191,2),IF(C32&gt;0,VLOOKUP(C32,КФСР!A26:B1538,2),IF(D32&gt;0,VLOOKUP(D32,Программа!A$1:B$5124,2),IF(F32&gt;0,VLOOKUP(F32,КВР!A$1:B$5001,2),IF(E32&gt;0,VLOOKUP(E32,Направление!A$1:B$4816,2))))))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08"/>
      <c r="C32" s="104"/>
      <c r="D32" s="105" t="s">
        <v>330</v>
      </c>
      <c r="E32" s="104"/>
      <c r="F32" s="106"/>
      <c r="G32" s="340">
        <v>600000</v>
      </c>
      <c r="H32" s="335">
        <f t="shared" ref="H32:I33" si="17">H33</f>
        <v>0</v>
      </c>
      <c r="I32" s="335">
        <f t="shared" si="17"/>
        <v>600000</v>
      </c>
      <c r="J32" s="335">
        <v>600000</v>
      </c>
      <c r="K32" s="335">
        <f t="shared" ref="K32:K33" si="18">K33</f>
        <v>0</v>
      </c>
      <c r="L32" s="335">
        <f t="shared" ref="L32:L33" si="19">L33</f>
        <v>600000</v>
      </c>
    </row>
    <row r="33" spans="1:12" ht="94.5" x14ac:dyDescent="0.2">
      <c r="A33" s="107" t="str">
        <f>IF(B33&gt;0,VLOOKUP(B33,КВСР!A27:B1192,2),IF(C33&gt;0,VLOOKUP(C33,КФСР!A27:B1539,2),IF(D33&gt;0,VLOOKUP(D33,Программа!A$1:B$5124,2),IF(F33&gt;0,VLOOKUP(F33,КВР!A$1:B$5001,2),IF(E33&gt;0,VLOOKUP(E33,Направление!A$1:B$4816,2))))))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08"/>
      <c r="C33" s="104"/>
      <c r="D33" s="105" t="s">
        <v>1684</v>
      </c>
      <c r="E33" s="104"/>
      <c r="F33" s="106"/>
      <c r="G33" s="340">
        <v>600000</v>
      </c>
      <c r="H33" s="335">
        <f t="shared" si="17"/>
        <v>0</v>
      </c>
      <c r="I33" s="335">
        <f t="shared" si="17"/>
        <v>600000</v>
      </c>
      <c r="J33" s="335">
        <v>600000</v>
      </c>
      <c r="K33" s="335">
        <f t="shared" si="18"/>
        <v>0</v>
      </c>
      <c r="L33" s="335">
        <f t="shared" si="19"/>
        <v>600000</v>
      </c>
    </row>
    <row r="34" spans="1:12" ht="47.25" x14ac:dyDescent="0.2">
      <c r="A34" s="107" t="str">
        <f>IF(B34&gt;0,VLOOKUP(B34,КВСР!A28:B1193,2),IF(C34&gt;0,VLOOKUP(C34,КФСР!A28:B1540,2),IF(D34&gt;0,VLOOKUP(D34,Программа!A$1:B$5124,2),IF(F34&gt;0,VLOOKUP(F34,КВР!A$1:B$5001,2),IF(E34&gt;0,VLOOKUP(E34,Направление!A$1:B$4816,2))))))</f>
        <v>Поддержки деятельности социально-ориентированных некоммерческих организаций</v>
      </c>
      <c r="B34" s="108"/>
      <c r="C34" s="104"/>
      <c r="D34" s="105"/>
      <c r="E34" s="104">
        <v>29516</v>
      </c>
      <c r="F34" s="106"/>
      <c r="G34" s="340">
        <v>600000</v>
      </c>
      <c r="H34" s="335">
        <f>H36+H35</f>
        <v>0</v>
      </c>
      <c r="I34" s="335">
        <f t="shared" ref="I34:L34" si="20">I36+I35</f>
        <v>600000</v>
      </c>
      <c r="J34" s="335">
        <v>600000</v>
      </c>
      <c r="K34" s="335">
        <f t="shared" si="20"/>
        <v>0</v>
      </c>
      <c r="L34" s="335">
        <f t="shared" si="20"/>
        <v>600000</v>
      </c>
    </row>
    <row r="35" spans="1:12" ht="31.5" x14ac:dyDescent="0.2">
      <c r="A35" s="107" t="str">
        <f>IF(B35&gt;0,VLOOKUP(B35,КВСР!A29:B1194,2),IF(C35&gt;0,VLOOKUP(C35,КФСР!A29:B1541,2),IF(D35&gt;0,VLOOKUP(D35,Программа!A$1:B$5124,2),IF(F35&gt;0,VLOOKUP(F35,КВР!A$1:B$5001,2),IF(E35&gt;0,VLOOKUP(E35,Направление!A$1:B$4816,2))))))</f>
        <v>Социальное обеспечение и иные выплаты населению</v>
      </c>
      <c r="B35" s="108"/>
      <c r="C35" s="104"/>
      <c r="D35" s="105"/>
      <c r="E35" s="104"/>
      <c r="F35" s="106">
        <v>300</v>
      </c>
      <c r="G35" s="340">
        <v>150000</v>
      </c>
      <c r="H35" s="335"/>
      <c r="I35" s="335">
        <f>G35+H35</f>
        <v>150000</v>
      </c>
      <c r="J35" s="335">
        <v>150000</v>
      </c>
      <c r="K35" s="335"/>
      <c r="L35" s="266">
        <f>J35+K35</f>
        <v>150000</v>
      </c>
    </row>
    <row r="36" spans="1:12" ht="47.25" x14ac:dyDescent="0.2">
      <c r="A36" s="107" t="str">
        <f>IF(B36&gt;0,VLOOKUP(B36,КВСР!A29:B1194,2),IF(C36&gt;0,VLOOKUP(C36,КФСР!A29:B1541,2),IF(D36&gt;0,VLOOKUP(D36,Программа!A$1:B$5124,2),IF(F36&gt;0,VLOOKUP(F36,КВР!A$1:B$5001,2),IF(E36&gt;0,VLOOKUP(E36,Направление!A$1:B$4816,2))))))</f>
        <v>Предоставление субсидий бюджетным, автономным учреждениям и иным некоммерческим организациям</v>
      </c>
      <c r="B36" s="108"/>
      <c r="C36" s="104"/>
      <c r="D36" s="105"/>
      <c r="E36" s="104"/>
      <c r="F36" s="106">
        <v>600</v>
      </c>
      <c r="G36" s="340">
        <v>450000</v>
      </c>
      <c r="H36" s="335"/>
      <c r="I36" s="335">
        <f>G36+H36</f>
        <v>450000</v>
      </c>
      <c r="J36" s="335">
        <v>450000</v>
      </c>
      <c r="K36" s="266"/>
      <c r="L36" s="266">
        <f>J36+K36</f>
        <v>450000</v>
      </c>
    </row>
    <row r="37" spans="1:12" ht="78.75" x14ac:dyDescent="0.2">
      <c r="A37" s="107" t="str">
        <f>IF(B37&gt;0,VLOOKUP(B37,КВСР!A26:B1191,2),IF(C37&gt;0,VLOOKUP(C37,КФСР!A26:B1538,2),IF(D37&gt;0,VLOOKUP(D37,Программа!A$1:B$5124,2),IF(F37&gt;0,VLOOKUP(F37,КВР!A$1:B$5001,2),IF(E37&gt;0,VLOOKUP(E37,Направление!A$1:B$4816,2))))))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08"/>
      <c r="C37" s="104"/>
      <c r="D37" s="105" t="s">
        <v>1136</v>
      </c>
      <c r="E37" s="104"/>
      <c r="F37" s="106"/>
      <c r="G37" s="340">
        <v>100000</v>
      </c>
      <c r="H37" s="335">
        <f t="shared" ref="H37:L41" si="21">H38</f>
        <v>0</v>
      </c>
      <c r="I37" s="335">
        <f t="shared" si="21"/>
        <v>220000</v>
      </c>
      <c r="J37" s="335">
        <v>100000</v>
      </c>
      <c r="K37" s="266">
        <f t="shared" si="21"/>
        <v>0</v>
      </c>
      <c r="L37" s="266">
        <f t="shared" si="21"/>
        <v>100000</v>
      </c>
    </row>
    <row r="38" spans="1:12" ht="31.5" x14ac:dyDescent="0.2">
      <c r="A38" s="107" t="str">
        <f>IF(B38&gt;0,VLOOKUP(B38,КВСР!A27:B1192,2),IF(C38&gt;0,VLOOKUP(C38,КФСР!A27:B1539,2),IF(D38&gt;0,VLOOKUP(D38,Программа!A$1:B$5124,2),IF(F38&gt;0,VLOOKUP(F38,КВР!A$1:B$5001,2),IF(E38&gt;0,VLOOKUP(E38,Направление!A$1:B$4816,2))))))</f>
        <v>Мероприятия по обеспечению безопасности жителей района</v>
      </c>
      <c r="B38" s="108"/>
      <c r="C38" s="104"/>
      <c r="D38" s="105" t="s">
        <v>1137</v>
      </c>
      <c r="E38" s="104"/>
      <c r="F38" s="106"/>
      <c r="G38" s="340">
        <v>100000</v>
      </c>
      <c r="H38" s="335">
        <f>H41+H39</f>
        <v>0</v>
      </c>
      <c r="I38" s="335">
        <f>I41+I39</f>
        <v>220000</v>
      </c>
      <c r="J38" s="335">
        <v>100000</v>
      </c>
      <c r="K38" s="266">
        <f>K41</f>
        <v>0</v>
      </c>
      <c r="L38" s="266">
        <f>L41</f>
        <v>100000</v>
      </c>
    </row>
    <row r="39" spans="1:12" ht="31.5" x14ac:dyDescent="0.2">
      <c r="A39" s="107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Расходы на обеспечение безопасности жителей района</v>
      </c>
      <c r="B39" s="108"/>
      <c r="C39" s="104"/>
      <c r="D39" s="105"/>
      <c r="E39" s="104">
        <v>12270</v>
      </c>
      <c r="F39" s="106"/>
      <c r="G39" s="340">
        <v>120000</v>
      </c>
      <c r="H39" s="335">
        <f>H40</f>
        <v>0</v>
      </c>
      <c r="I39" s="335">
        <f>H39+G39</f>
        <v>120000</v>
      </c>
      <c r="J39" s="335"/>
      <c r="K39" s="266"/>
      <c r="L39" s="266">
        <v>0</v>
      </c>
    </row>
    <row r="40" spans="1:12" ht="63" x14ac:dyDescent="0.2">
      <c r="A40" s="107" t="str">
        <f>IF(B40&gt;0,VLOOKUP(B40,КВСР!A29:B1194,2),IF(C40&gt;0,VLOOKUP(C40,КФСР!A29:B1541,2),IF(D40&gt;0,VLOOKUP(D40,Программа!A$1:B$5124,2),IF(F40&gt;0,VLOOKUP(F40,КВР!A$1:B$5001,2),IF(E40&gt;0,VLOOKUP(E40,Направление!A$1:B$4816,2))))))</f>
        <v xml:space="preserve">Закупка товаров, работ и услуг для обеспечения государственных (муниципальных) нужд
</v>
      </c>
      <c r="B40" s="108"/>
      <c r="C40" s="104"/>
      <c r="D40" s="105"/>
      <c r="E40" s="104"/>
      <c r="F40" s="106">
        <v>200</v>
      </c>
      <c r="G40" s="340">
        <v>120000</v>
      </c>
      <c r="H40" s="335"/>
      <c r="I40" s="335">
        <f>H40+G40</f>
        <v>120000</v>
      </c>
      <c r="J40" s="335"/>
      <c r="K40" s="266"/>
      <c r="L40" s="266">
        <v>0</v>
      </c>
    </row>
    <row r="41" spans="1:12" ht="31.5" x14ac:dyDescent="0.2">
      <c r="A41" s="107" t="str">
        <f>IF(B41&gt;0,VLOOKUP(B41,КВСР!A28:B1193,2),IF(C41&gt;0,VLOOKUP(C41,КФСР!A28:B1540,2),IF(D41&gt;0,VLOOKUP(D41,Программа!A$1:B$5124,2),IF(F41&gt;0,VLOOKUP(F41,КВР!A$1:B$5001,2),IF(E41&gt;0,VLOOKUP(E41,Направление!A$1:B$4816,2))))))</f>
        <v>Обеспечение мероприятий по безопасности жителей города</v>
      </c>
      <c r="B41" s="108"/>
      <c r="C41" s="104"/>
      <c r="D41" s="105"/>
      <c r="E41" s="104">
        <v>29766</v>
      </c>
      <c r="F41" s="106"/>
      <c r="G41" s="340">
        <v>100000</v>
      </c>
      <c r="H41" s="335">
        <f t="shared" si="21"/>
        <v>0</v>
      </c>
      <c r="I41" s="335">
        <f t="shared" si="21"/>
        <v>100000</v>
      </c>
      <c r="J41" s="335">
        <v>100000</v>
      </c>
      <c r="K41" s="266">
        <f t="shared" si="21"/>
        <v>0</v>
      </c>
      <c r="L41" s="266">
        <f t="shared" si="21"/>
        <v>100000</v>
      </c>
    </row>
    <row r="42" spans="1:12" ht="63" x14ac:dyDescent="0.2">
      <c r="A42" s="107" t="str">
        <f>IF(B42&gt;0,VLOOKUP(B42,КВСР!A29:B1194,2),IF(C42&gt;0,VLOOKUP(C42,КФСР!A29:B1541,2),IF(D42&gt;0,VLOOKUP(D42,Программа!A$1:B$5124,2),IF(F42&gt;0,VLOOKUP(F42,КВР!A$1:B$5001,2),IF(E42&gt;0,VLOOKUP(E42,Направление!A$1:B$4816,2))))))</f>
        <v xml:space="preserve">Закупка товаров, работ и услуг для обеспечения государственных (муниципальных) нужд
</v>
      </c>
      <c r="B42" s="108"/>
      <c r="C42" s="104"/>
      <c r="D42" s="105"/>
      <c r="E42" s="104"/>
      <c r="F42" s="106">
        <v>200</v>
      </c>
      <c r="G42" s="340">
        <v>100000</v>
      </c>
      <c r="H42" s="335"/>
      <c r="I42" s="335">
        <f>G42+H42</f>
        <v>100000</v>
      </c>
      <c r="J42" s="335">
        <v>100000</v>
      </c>
      <c r="K42" s="266"/>
      <c r="L42" s="266">
        <f>J42+K42</f>
        <v>100000</v>
      </c>
    </row>
    <row r="43" spans="1:12" ht="15.75" x14ac:dyDescent="0.2">
      <c r="A43" s="107" t="str">
        <f>IF(B43&gt;0,VLOOKUP(B43,КВСР!A38:B1203,2),IF(C43&gt;0,VLOOKUP(C43,КФСР!A38:B1550,2),IF(D43&gt;0,VLOOKUP(D43,Программа!A$1:B$5124,2),IF(F43&gt;0,VLOOKUP(F43,КВР!A$1:B$5001,2),IF(E43&gt;0,VLOOKUP(E43,Направление!A$1:B$4816,2))))))</f>
        <v>Непрограммные расходы бюджета</v>
      </c>
      <c r="B43" s="108"/>
      <c r="C43" s="104"/>
      <c r="D43" s="105" t="s">
        <v>311</v>
      </c>
      <c r="E43" s="104"/>
      <c r="F43" s="106"/>
      <c r="G43" s="340">
        <v>24391738</v>
      </c>
      <c r="H43" s="335">
        <f t="shared" ref="H43:L43" si="22">H56+H59+H46+H51+H53+H44</f>
        <v>0</v>
      </c>
      <c r="I43" s="335">
        <f t="shared" si="22"/>
        <v>24271738</v>
      </c>
      <c r="J43" s="335">
        <v>6084525</v>
      </c>
      <c r="K43" s="335">
        <f t="shared" si="22"/>
        <v>0</v>
      </c>
      <c r="L43" s="335">
        <f t="shared" si="22"/>
        <v>6084525</v>
      </c>
    </row>
    <row r="44" spans="1:12" ht="31.5" x14ac:dyDescent="0.2">
      <c r="A44" s="107" t="str">
        <f>IF(B44&gt;0,VLOOKUP(B44,КВСР!A37:B1202,2),IF(C44&gt;0,VLOOKUP(C44,КФСР!A37:B1549,2),IF(D44&gt;0,VLOOKUP(D44,Программа!A$1:B$5124,2),IF(F44&gt;0,VLOOKUP(F44,КВР!A$1:B$5001,2),IF(E44&gt;0,VLOOKUP(E44,Направление!A$1:B$4816,2))))))</f>
        <v>Выполнение других обязательств органов местного самоуправления</v>
      </c>
      <c r="B44" s="108"/>
      <c r="C44" s="104"/>
      <c r="D44" s="105"/>
      <c r="E44" s="104">
        <v>12080</v>
      </c>
      <c r="F44" s="106"/>
      <c r="G44" s="340">
        <v>4500000</v>
      </c>
      <c r="H44" s="335">
        <f t="shared" ref="H44:L44" si="23">H45</f>
        <v>0</v>
      </c>
      <c r="I44" s="335">
        <f t="shared" si="23"/>
        <v>4500000</v>
      </c>
      <c r="J44" s="335">
        <v>0</v>
      </c>
      <c r="K44" s="335">
        <f t="shared" si="23"/>
        <v>0</v>
      </c>
      <c r="L44" s="335">
        <f t="shared" si="23"/>
        <v>0</v>
      </c>
    </row>
    <row r="45" spans="1:12" ht="15.75" x14ac:dyDescent="0.2">
      <c r="A45" s="107" t="str">
        <f>IF(B45&gt;0,VLOOKUP(B45,КВСР!A38:B1203,2),IF(C45&gt;0,VLOOKUP(C45,КФСР!A38:B1550,2),IF(D45&gt;0,VLOOKUP(D45,Программа!A$1:B$5124,2),IF(F45&gt;0,VLOOKUP(F45,КВР!A$1:B$5001,2),IF(E45&gt;0,VLOOKUP(E45,Направление!A$1:B$4816,2))))))</f>
        <v>Иные бюджетные ассигнования</v>
      </c>
      <c r="B45" s="108"/>
      <c r="C45" s="104"/>
      <c r="D45" s="105"/>
      <c r="E45" s="104"/>
      <c r="F45" s="106">
        <v>800</v>
      </c>
      <c r="G45" s="340">
        <v>4500000</v>
      </c>
      <c r="H45" s="335"/>
      <c r="I45" s="335">
        <f>G45+H45</f>
        <v>4500000</v>
      </c>
      <c r="J45" s="335">
        <v>0</v>
      </c>
      <c r="K45" s="266"/>
      <c r="L45" s="266">
        <f>J45+K45</f>
        <v>0</v>
      </c>
    </row>
    <row r="46" spans="1:12" ht="47.25" x14ac:dyDescent="0.2">
      <c r="A46" s="107" t="str">
        <f>IF(B46&gt;0,VLOOKUP(B46,КВСР!A39:B1204,2),IF(C46&gt;0,VLOOKUP(C46,КФСР!A39:B1551,2),IF(D46&gt;0,VLOOKUP(D46,Программа!A$1:B$5124,2),IF(F46&gt;0,VLOOKUP(F46,КВР!A$1:B$5001,2),IF(E46&gt;0,VLOOKUP(E46,Направление!A$1:B$4816,2))))))</f>
        <v>Обеспечение деятельности подведомственных учреждений органов местного самоуправления</v>
      </c>
      <c r="B46" s="108"/>
      <c r="C46" s="104"/>
      <c r="D46" s="105"/>
      <c r="E46" s="104">
        <v>12100</v>
      </c>
      <c r="F46" s="106"/>
      <c r="G46" s="335">
        <f t="shared" ref="G46:L46" si="24">G47+G48+G49+G50</f>
        <v>13880000</v>
      </c>
      <c r="H46" s="335">
        <f t="shared" si="24"/>
        <v>0</v>
      </c>
      <c r="I46" s="335">
        <f t="shared" si="24"/>
        <v>13880000</v>
      </c>
      <c r="J46" s="335">
        <v>0</v>
      </c>
      <c r="K46" s="266">
        <f t="shared" si="24"/>
        <v>0</v>
      </c>
      <c r="L46" s="266">
        <f t="shared" si="24"/>
        <v>0</v>
      </c>
    </row>
    <row r="47" spans="1:12" ht="110.25" x14ac:dyDescent="0.2">
      <c r="A47" s="107" t="str">
        <f>IF(B47&gt;0,VLOOKUP(B47,КВСР!A40:B1205,2),IF(C47&gt;0,VLOOKUP(C47,КФСР!A40:B1552,2),IF(D47&gt;0,VLOOKUP(D47,Программа!A$1:B$5124,2),IF(F47&gt;0,VLOOKUP(F47,КВР!A$1:B$5001,2),IF(E47&gt;0,VLOOKUP(E47,Направление!A$1:B$4816,2))))))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08"/>
      <c r="C47" s="104"/>
      <c r="D47" s="105"/>
      <c r="E47" s="104"/>
      <c r="F47" s="106">
        <v>100</v>
      </c>
      <c r="G47" s="342">
        <v>11495000</v>
      </c>
      <c r="H47" s="335"/>
      <c r="I47" s="335">
        <f t="shared" si="9"/>
        <v>11495000</v>
      </c>
      <c r="J47" s="335">
        <v>0</v>
      </c>
      <c r="K47" s="266"/>
      <c r="L47" s="266">
        <f t="shared" si="10"/>
        <v>0</v>
      </c>
    </row>
    <row r="48" spans="1:12" ht="63" x14ac:dyDescent="0.2">
      <c r="A48" s="107" t="str">
        <f>IF(B48&gt;0,VLOOKUP(B48,КВСР!A41:B1206,2),IF(C48&gt;0,VLOOKUP(C48,КФСР!A41:B1553,2),IF(D48&gt;0,VLOOKUP(D48,Программа!A$1:B$5124,2),IF(F48&gt;0,VLOOKUP(F48,КВР!A$1:B$5001,2),IF(E48&gt;0,VLOOKUP(E48,Направление!A$1:B$4816,2))))))</f>
        <v xml:space="preserve">Закупка товаров, работ и услуг для обеспечения государственных (муниципальных) нужд
</v>
      </c>
      <c r="B48" s="108"/>
      <c r="C48" s="104"/>
      <c r="D48" s="105"/>
      <c r="E48" s="104"/>
      <c r="F48" s="106">
        <v>200</v>
      </c>
      <c r="G48" s="342">
        <v>2385000</v>
      </c>
      <c r="H48" s="335"/>
      <c r="I48" s="335">
        <f t="shared" si="9"/>
        <v>2385000</v>
      </c>
      <c r="J48" s="335">
        <v>0</v>
      </c>
      <c r="K48" s="266"/>
      <c r="L48" s="266">
        <f t="shared" si="10"/>
        <v>0</v>
      </c>
    </row>
    <row r="49" spans="1:12" ht="47.25" x14ac:dyDescent="0.2">
      <c r="A49" s="107" t="str">
        <f>IF(B49&gt;0,VLOOKUP(B49,КВСР!A42:B1207,2),IF(C49&gt;0,VLOOKUP(C49,КФСР!A42:B1554,2),IF(D49&gt;0,VLOOKUP(D49,Программа!A$1:B$5124,2),IF(F49&gt;0,VLOOKUP(F49,КВР!A$1:B$5001,2),IF(E49&gt;0,VLOOKUP(E49,Направление!A$1:B$4816,2))))))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08"/>
      <c r="C49" s="104"/>
      <c r="D49" s="105"/>
      <c r="E49" s="104"/>
      <c r="F49" s="106">
        <v>600</v>
      </c>
      <c r="G49" s="342">
        <v>0</v>
      </c>
      <c r="H49" s="335"/>
      <c r="I49" s="335">
        <f t="shared" si="9"/>
        <v>0</v>
      </c>
      <c r="J49" s="335">
        <v>0</v>
      </c>
      <c r="K49" s="266"/>
      <c r="L49" s="266">
        <f t="shared" si="10"/>
        <v>0</v>
      </c>
    </row>
    <row r="50" spans="1:12" ht="15.75" x14ac:dyDescent="0.2">
      <c r="A50" s="107" t="str">
        <f>IF(B50&gt;0,VLOOKUP(B50,КВСР!A43:B1208,2),IF(C50&gt;0,VLOOKUP(C50,КФСР!A43:B1555,2),IF(D50&gt;0,VLOOKUP(D50,Программа!A$1:B$5124,2),IF(F50&gt;0,VLOOKUP(F50,КВР!A$1:B$5001,2),IF(E50&gt;0,VLOOKUP(E50,Направление!A$1:B$4816,2))))))</f>
        <v>Иные бюджетные ассигнования</v>
      </c>
      <c r="B50" s="108"/>
      <c r="C50" s="104"/>
      <c r="D50" s="105"/>
      <c r="E50" s="104"/>
      <c r="F50" s="106">
        <v>800</v>
      </c>
      <c r="G50" s="342">
        <v>0</v>
      </c>
      <c r="H50" s="335"/>
      <c r="I50" s="335">
        <f t="shared" si="9"/>
        <v>0</v>
      </c>
      <c r="J50" s="335">
        <v>0</v>
      </c>
      <c r="K50" s="266"/>
      <c r="L50" s="266">
        <f t="shared" si="10"/>
        <v>0</v>
      </c>
    </row>
    <row r="51" spans="1:12" ht="31.5" x14ac:dyDescent="0.2">
      <c r="A51" s="107" t="str">
        <f>IF(B51&gt;0,VLOOKUP(B51,КВСР!A44:B1209,2),IF(C51&gt;0,VLOOKUP(C51,КФСР!A44:B1556,2),IF(D51&gt;0,VLOOKUP(D51,Программа!A$1:B$5124,2),IF(F51&gt;0,VLOOKUP(F51,КВР!A$1:B$5001,2),IF(E51&gt;0,VLOOKUP(E51,Направление!A$1:B$4816,2))))))</f>
        <v>Представительские расходы органов местного самоуправления</v>
      </c>
      <c r="B51" s="108"/>
      <c r="C51" s="104"/>
      <c r="D51" s="105"/>
      <c r="E51" s="104">
        <v>12600</v>
      </c>
      <c r="F51" s="106"/>
      <c r="G51" s="342">
        <v>100000</v>
      </c>
      <c r="H51" s="335">
        <f t="shared" ref="H51:I51" si="25">H52</f>
        <v>0</v>
      </c>
      <c r="I51" s="335">
        <f t="shared" si="25"/>
        <v>100000</v>
      </c>
      <c r="J51" s="335">
        <v>0</v>
      </c>
      <c r="K51" s="266">
        <v>0</v>
      </c>
      <c r="L51" s="266">
        <f t="shared" si="10"/>
        <v>0</v>
      </c>
    </row>
    <row r="52" spans="1:12" ht="63" x14ac:dyDescent="0.2">
      <c r="A52" s="107" t="str">
        <f>IF(B52&gt;0,VLOOKUP(B52,КВСР!A45:B1210,2),IF(C52&gt;0,VLOOKUP(C52,КФСР!A45:B1557,2),IF(D52&gt;0,VLOOKUP(D52,Программа!A$1:B$5124,2),IF(F52&gt;0,VLOOKUP(F52,КВР!A$1:B$5001,2),IF(E52&gt;0,VLOOKUP(E52,Направление!A$1:B$4816,2))))))</f>
        <v xml:space="preserve">Закупка товаров, работ и услуг для обеспечения государственных (муниципальных) нужд
</v>
      </c>
      <c r="B52" s="108"/>
      <c r="C52" s="104"/>
      <c r="D52" s="105"/>
      <c r="E52" s="104"/>
      <c r="F52" s="106">
        <v>200</v>
      </c>
      <c r="G52" s="342">
        <v>100000</v>
      </c>
      <c r="H52" s="335"/>
      <c r="I52" s="335">
        <f>G52+H52</f>
        <v>100000</v>
      </c>
      <c r="J52" s="335">
        <v>0</v>
      </c>
      <c r="K52" s="266"/>
      <c r="L52" s="266">
        <f t="shared" si="10"/>
        <v>0</v>
      </c>
    </row>
    <row r="53" spans="1:12" ht="47.25" x14ac:dyDescent="0.2">
      <c r="A53" s="107" t="str">
        <f>IF(B53&gt;0,VLOOKUP(B53,КВСР!A46:B1211,2),IF(C53&gt;0,VLOOKUP(C53,КФСР!A46:B1558,2),IF(D53&gt;0,VLOOKUP(D53,Программа!A$1:B$5124,2),IF(F53&gt;0,VLOOKUP(F53,КВР!A$1:B$5001,2),IF(E53&gt;0,VLOOKUP(E53,Направление!A$1:B$4816,2))))))</f>
        <v>Расходы на осуществление полномочий на государственную регистрацию актов гражданского состояния</v>
      </c>
      <c r="B53" s="108"/>
      <c r="C53" s="104"/>
      <c r="D53" s="105"/>
      <c r="E53" s="104">
        <v>59300</v>
      </c>
      <c r="F53" s="106"/>
      <c r="G53" s="342">
        <v>2672033</v>
      </c>
      <c r="H53" s="335">
        <f t="shared" ref="H53:L53" si="26">H54+H55</f>
        <v>0</v>
      </c>
      <c r="I53" s="335">
        <f t="shared" si="26"/>
        <v>2672033</v>
      </c>
      <c r="J53" s="335">
        <v>2964820</v>
      </c>
      <c r="K53" s="266">
        <f t="shared" si="26"/>
        <v>0</v>
      </c>
      <c r="L53" s="266">
        <f t="shared" si="26"/>
        <v>2964820</v>
      </c>
    </row>
    <row r="54" spans="1:12" ht="110.25" x14ac:dyDescent="0.2">
      <c r="A54" s="107" t="str">
        <f>IF(B54&gt;0,VLOOKUP(B54,КВСР!A47:B1212,2),IF(C54&gt;0,VLOOKUP(C54,КФСР!A47:B1559,2),IF(D54&gt;0,VLOOKUP(D54,Программа!A$1:B$5124,2),IF(F54&gt;0,VLOOKUP(F54,КВР!A$1:B$5001,2),IF(E54&gt;0,VLOOKUP(E54,Направление!A$1:B$4816,2))))))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08"/>
      <c r="C54" s="104"/>
      <c r="D54" s="105"/>
      <c r="E54" s="104"/>
      <c r="F54" s="106">
        <v>100</v>
      </c>
      <c r="G54" s="342">
        <v>2613217</v>
      </c>
      <c r="H54" s="335"/>
      <c r="I54" s="335">
        <f t="shared" ref="I54:I55" si="27">G54+H54</f>
        <v>2613217</v>
      </c>
      <c r="J54" s="335">
        <v>2613217</v>
      </c>
      <c r="K54" s="266"/>
      <c r="L54" s="266">
        <f t="shared" si="10"/>
        <v>2613217</v>
      </c>
    </row>
    <row r="55" spans="1:12" ht="63" x14ac:dyDescent="0.2">
      <c r="A55" s="107" t="str">
        <f>IF(B55&gt;0,VLOOKUP(B55,КВСР!A48:B1213,2),IF(C55&gt;0,VLOOKUP(C55,КФСР!A48:B1560,2),IF(D55&gt;0,VLOOKUP(D55,Программа!A$1:B$5124,2),IF(F55&gt;0,VLOOKUP(F55,КВР!A$1:B$5001,2),IF(E55&gt;0,VLOOKUP(E55,Направление!A$1:B$4816,2))))))</f>
        <v xml:space="preserve">Закупка товаров, работ и услуг для обеспечения государственных (муниципальных) нужд
</v>
      </c>
      <c r="B55" s="108"/>
      <c r="C55" s="104"/>
      <c r="D55" s="105"/>
      <c r="E55" s="104"/>
      <c r="F55" s="106">
        <v>200</v>
      </c>
      <c r="G55" s="335">
        <v>58816</v>
      </c>
      <c r="H55" s="335"/>
      <c r="I55" s="335">
        <f t="shared" si="27"/>
        <v>58816</v>
      </c>
      <c r="J55" s="335">
        <v>351603</v>
      </c>
      <c r="K55" s="266"/>
      <c r="L55" s="266">
        <f t="shared" si="10"/>
        <v>351603</v>
      </c>
    </row>
    <row r="56" spans="1:12" ht="63" x14ac:dyDescent="0.2">
      <c r="A56" s="107" t="str">
        <f>IF(B56&gt;0,VLOOKUP(B56,КВСР!A39:B1204,2),IF(C56&gt;0,VLOOKUP(C56,КФСР!A39:B1551,2),IF(D56&gt;0,VLOOKUP(D56,Программа!A$1:B$5124,2),IF(F56&gt;0,VLOOKUP(F56,КВР!A$1:B$5001,2),IF(E56&gt;0,VLOOKUP(E56,Направление!A$1:B$4816,2))))))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08"/>
      <c r="C56" s="104"/>
      <c r="D56" s="105"/>
      <c r="E56" s="104">
        <v>80190</v>
      </c>
      <c r="F56" s="106"/>
      <c r="G56" s="335">
        <v>2779530</v>
      </c>
      <c r="H56" s="335">
        <f t="shared" ref="H56:I56" si="28">H57+H58</f>
        <v>0</v>
      </c>
      <c r="I56" s="335">
        <f t="shared" si="28"/>
        <v>2779530</v>
      </c>
      <c r="J56" s="335">
        <v>2779530</v>
      </c>
      <c r="K56" s="266">
        <f t="shared" ref="K56:L56" si="29">K57+K58</f>
        <v>0</v>
      </c>
      <c r="L56" s="266">
        <f t="shared" si="29"/>
        <v>2779530</v>
      </c>
    </row>
    <row r="57" spans="1:12" ht="110.25" x14ac:dyDescent="0.2">
      <c r="A57" s="107" t="str">
        <f>IF(B57&gt;0,VLOOKUP(B57,КВСР!A40:B1205,2),IF(C57&gt;0,VLOOKUP(C57,КФСР!A40:B1552,2),IF(D57&gt;0,VLOOKUP(D57,Программа!A$1:B$5124,2),IF(F57&gt;0,VLOOKUP(F57,КВР!A$1:B$5001,2),IF(E57&gt;0,VLOOKUP(E57,Направление!A$1:B$4816,2))))))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08"/>
      <c r="C57" s="104"/>
      <c r="D57" s="105"/>
      <c r="E57" s="104"/>
      <c r="F57" s="106">
        <v>100</v>
      </c>
      <c r="G57" s="335">
        <v>2729017</v>
      </c>
      <c r="H57" s="335"/>
      <c r="I57" s="335">
        <f t="shared" si="9"/>
        <v>2729017</v>
      </c>
      <c r="J57" s="335">
        <v>2729017</v>
      </c>
      <c r="K57" s="266"/>
      <c r="L57" s="266">
        <f t="shared" si="10"/>
        <v>2729017</v>
      </c>
    </row>
    <row r="58" spans="1:12" ht="63" x14ac:dyDescent="0.2">
      <c r="A58" s="107" t="str">
        <f>IF(B58&gt;0,VLOOKUP(B58,КВСР!A41:B1206,2),IF(C58&gt;0,VLOOKUP(C58,КФСР!A41:B1553,2),IF(D58&gt;0,VLOOKUP(D58,Программа!A$1:B$5124,2),IF(F58&gt;0,VLOOKUP(F58,КВР!A$1:B$5001,2),IF(E58&gt;0,VLOOKUP(E58,Направление!A$1:B$4816,2))))))</f>
        <v xml:space="preserve">Закупка товаров, работ и услуг для обеспечения государственных (муниципальных) нужд
</v>
      </c>
      <c r="B58" s="108"/>
      <c r="C58" s="104"/>
      <c r="D58" s="105"/>
      <c r="E58" s="104"/>
      <c r="F58" s="106">
        <v>200</v>
      </c>
      <c r="G58" s="335">
        <v>50513</v>
      </c>
      <c r="H58" s="335"/>
      <c r="I58" s="335">
        <f t="shared" si="9"/>
        <v>50513</v>
      </c>
      <c r="J58" s="335">
        <v>50513</v>
      </c>
      <c r="K58" s="266"/>
      <c r="L58" s="266">
        <f t="shared" si="10"/>
        <v>50513</v>
      </c>
    </row>
    <row r="59" spans="1:12" ht="63" x14ac:dyDescent="0.2">
      <c r="A59" s="107" t="str">
        <f>IF(B59&gt;0,VLOOKUP(B59,КВСР!A42:B1207,2),IF(C59&gt;0,VLOOKUP(C59,КФСР!A42:B1554,2),IF(D59&gt;0,VLOOKUP(D59,Программа!A$1:B$5124,2),IF(F59&gt;0,VLOOKUP(F59,КВР!A$1:B$5001,2),IF(E59&gt;0,VLOOKUP(E59,Направление!A$1:B$4816,2))))))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08"/>
      <c r="C59" s="104"/>
      <c r="D59" s="105"/>
      <c r="E59" s="104">
        <v>80200</v>
      </c>
      <c r="F59" s="106"/>
      <c r="G59" s="335">
        <v>340175</v>
      </c>
      <c r="H59" s="335">
        <f t="shared" ref="H59:I59" si="30">H60+H61</f>
        <v>0</v>
      </c>
      <c r="I59" s="335">
        <f t="shared" si="30"/>
        <v>340175</v>
      </c>
      <c r="J59" s="335">
        <v>340175</v>
      </c>
      <c r="K59" s="266">
        <f t="shared" ref="K59:L59" si="31">K60+K61</f>
        <v>0</v>
      </c>
      <c r="L59" s="266">
        <f t="shared" si="31"/>
        <v>340175</v>
      </c>
    </row>
    <row r="60" spans="1:12" ht="110.25" x14ac:dyDescent="0.2">
      <c r="A60" s="107" t="str">
        <f>IF(B60&gt;0,VLOOKUP(B60,КВСР!A43:B1208,2),IF(C60&gt;0,VLOOKUP(C60,КФСР!A43:B1555,2),IF(D60&gt;0,VLOOKUP(D60,Программа!A$1:B$5124,2),IF(F60&gt;0,VLOOKUP(F60,КВР!A$1:B$5001,2),IF(E60&gt;0,VLOOKUP(E60,Направление!A$1:B$4816,2))))))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08"/>
      <c r="C60" s="104"/>
      <c r="D60" s="105"/>
      <c r="E60" s="104"/>
      <c r="F60" s="106">
        <v>100</v>
      </c>
      <c r="G60" s="335">
        <v>252014</v>
      </c>
      <c r="H60" s="335"/>
      <c r="I60" s="335">
        <f t="shared" si="9"/>
        <v>252014</v>
      </c>
      <c r="J60" s="335">
        <v>252014</v>
      </c>
      <c r="K60" s="266"/>
      <c r="L60" s="266">
        <f t="shared" si="10"/>
        <v>252014</v>
      </c>
    </row>
    <row r="61" spans="1:12" ht="63" x14ac:dyDescent="0.2">
      <c r="A61" s="107" t="str">
        <f>IF(B61&gt;0,VLOOKUP(B61,КВСР!A44:B1209,2),IF(C61&gt;0,VLOOKUP(C61,КФСР!A44:B1556,2),IF(D61&gt;0,VLOOKUP(D61,Программа!A$1:B$5124,2),IF(F61&gt;0,VLOOKUP(F61,КВР!A$1:B$5001,2),IF(E61&gt;0,VLOOKUP(E61,Направление!A$1:B$4816,2))))))</f>
        <v xml:space="preserve">Закупка товаров, работ и услуг для обеспечения государственных (муниципальных) нужд
</v>
      </c>
      <c r="B61" s="108"/>
      <c r="C61" s="104"/>
      <c r="D61" s="105"/>
      <c r="E61" s="104"/>
      <c r="F61" s="106">
        <v>200</v>
      </c>
      <c r="G61" s="335">
        <v>88161</v>
      </c>
      <c r="H61" s="335"/>
      <c r="I61" s="335">
        <f t="shared" si="9"/>
        <v>88161</v>
      </c>
      <c r="J61" s="335">
        <v>88161</v>
      </c>
      <c r="K61" s="266"/>
      <c r="L61" s="266">
        <f t="shared" si="10"/>
        <v>88161</v>
      </c>
    </row>
    <row r="62" spans="1:12" ht="63" x14ac:dyDescent="0.2">
      <c r="A62" s="107" t="str">
        <f>IF(B62&gt;0,VLOOKUP(B62,КВСР!A45:B1210,2),IF(C62&gt;0,VLOOKUP(C62,КФСР!A45:B1557,2),IF(D62&gt;0,VLOOKUP(D62,Программа!A$1:B$5124,2),IF(F62&gt;0,VLOOKUP(F62,КВР!A$1:B$5001,2),IF(E62&gt;0,VLOOKUP(E62,Направление!A$1:B$4816,2))))))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62" s="108"/>
      <c r="C62" s="104">
        <v>310</v>
      </c>
      <c r="D62" s="105"/>
      <c r="E62" s="104"/>
      <c r="F62" s="106"/>
      <c r="G62" s="335">
        <v>2500000</v>
      </c>
      <c r="H62" s="335">
        <f t="shared" ref="H62:L63" si="32">H63</f>
        <v>0</v>
      </c>
      <c r="I62" s="335">
        <f t="shared" si="32"/>
        <v>2500000</v>
      </c>
      <c r="J62" s="335">
        <v>2500000</v>
      </c>
      <c r="K62" s="335">
        <f t="shared" si="32"/>
        <v>0</v>
      </c>
      <c r="L62" s="335">
        <f t="shared" si="32"/>
        <v>2500000</v>
      </c>
    </row>
    <row r="63" spans="1:12" ht="15.75" x14ac:dyDescent="0.2">
      <c r="A63" s="107" t="str">
        <f>IF(B63&gt;0,VLOOKUP(B63,КВСР!A46:B1211,2),IF(C63&gt;0,VLOOKUP(C63,КФСР!A46:B1558,2),IF(D63&gt;0,VLOOKUP(D63,Программа!A$1:B$5124,2),IF(F63&gt;0,VLOOKUP(F63,КВР!A$1:B$5001,2),IF(E63&gt;0,VLOOKUP(E63,Направление!A$1:B$4816,2))))))</f>
        <v>Непрограммные расходы бюджета</v>
      </c>
      <c r="B63" s="108"/>
      <c r="C63" s="104"/>
      <c r="D63" s="105" t="s">
        <v>311</v>
      </c>
      <c r="E63" s="104"/>
      <c r="F63" s="106"/>
      <c r="G63" s="335">
        <v>2500000</v>
      </c>
      <c r="H63" s="335">
        <f t="shared" si="32"/>
        <v>0</v>
      </c>
      <c r="I63" s="335">
        <f t="shared" si="32"/>
        <v>2500000</v>
      </c>
      <c r="J63" s="335">
        <v>2500000</v>
      </c>
      <c r="K63" s="335">
        <f t="shared" si="32"/>
        <v>0</v>
      </c>
      <c r="L63" s="335">
        <f t="shared" si="32"/>
        <v>2500000</v>
      </c>
    </row>
    <row r="64" spans="1:12" ht="31.5" x14ac:dyDescent="0.2">
      <c r="A64" s="107" t="str">
        <f>IF(B64&gt;0,VLOOKUP(B64,КВСР!A47:B1212,2),IF(C64&gt;0,VLOOKUP(C64,КФСР!A47:B1559,2),IF(D64&gt;0,VLOOKUP(D64,Программа!A$1:B$5124,2),IF(F64&gt;0,VLOOKUP(F64,КВР!A$1:B$5001,2),IF(E64&gt;0,VLOOKUP(E64,Направление!A$1:B$4816,2))))))</f>
        <v>Содержание и организация деятельности аварийно-спасательных служб</v>
      </c>
      <c r="B64" s="108"/>
      <c r="C64" s="104"/>
      <c r="D64" s="105"/>
      <c r="E64" s="104">
        <v>29566</v>
      </c>
      <c r="F64" s="106"/>
      <c r="G64" s="335">
        <v>2500000</v>
      </c>
      <c r="H64" s="335">
        <f t="shared" ref="H64:L64" si="33">H65+H66</f>
        <v>0</v>
      </c>
      <c r="I64" s="335">
        <f t="shared" si="33"/>
        <v>2500000</v>
      </c>
      <c r="J64" s="335">
        <v>2500000</v>
      </c>
      <c r="K64" s="335">
        <f t="shared" si="33"/>
        <v>0</v>
      </c>
      <c r="L64" s="335">
        <f t="shared" si="33"/>
        <v>2500000</v>
      </c>
    </row>
    <row r="65" spans="1:12" ht="110.25" x14ac:dyDescent="0.2">
      <c r="A65" s="107" t="str">
        <f>IF(B65&gt;0,VLOOKUP(B65,КВСР!A48:B1213,2),IF(C65&gt;0,VLOOKUP(C65,КФСР!A48:B1560,2),IF(D65&gt;0,VLOOKUP(D65,Программа!A$1:B$5124,2),IF(F65&gt;0,VLOOKUP(F65,КВР!A$1:B$5001,2),IF(E65&gt;0,VLOOKUP(E65,Направление!A$1:B$4816,2))))))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08"/>
      <c r="C65" s="104"/>
      <c r="D65" s="105"/>
      <c r="E65" s="104"/>
      <c r="F65" s="106">
        <v>100</v>
      </c>
      <c r="G65" s="335">
        <v>2142731</v>
      </c>
      <c r="H65" s="335"/>
      <c r="I65" s="335">
        <f>G65+H65</f>
        <v>2142731</v>
      </c>
      <c r="J65" s="335">
        <v>2142731</v>
      </c>
      <c r="K65" s="266"/>
      <c r="L65" s="266">
        <f>J65+K65</f>
        <v>2142731</v>
      </c>
    </row>
    <row r="66" spans="1:12" ht="63" x14ac:dyDescent="0.2">
      <c r="A66" s="107" t="str">
        <f>IF(B66&gt;0,VLOOKUP(B66,КВСР!A49:B1214,2),IF(C66&gt;0,VLOOKUP(C66,КФСР!A49:B1561,2),IF(D66&gt;0,VLOOKUP(D66,Программа!A$1:B$5124,2),IF(F66&gt;0,VLOOKUP(F66,КВР!A$1:B$5001,2),IF(E66&gt;0,VLOOKUP(E66,Направление!A$1:B$4816,2))))))</f>
        <v xml:space="preserve">Закупка товаров, работ и услуг для обеспечения государственных (муниципальных) нужд
</v>
      </c>
      <c r="B66" s="108"/>
      <c r="C66" s="104"/>
      <c r="D66" s="105"/>
      <c r="E66" s="104"/>
      <c r="F66" s="106">
        <v>200</v>
      </c>
      <c r="G66" s="335">
        <v>357269</v>
      </c>
      <c r="H66" s="335"/>
      <c r="I66" s="335">
        <f>G66+H66</f>
        <v>357269</v>
      </c>
      <c r="J66" s="335">
        <v>357269</v>
      </c>
      <c r="K66" s="266"/>
      <c r="L66" s="266">
        <f>J66+K66</f>
        <v>357269</v>
      </c>
    </row>
    <row r="67" spans="1:12" ht="15.75" x14ac:dyDescent="0.2">
      <c r="A67" s="107" t="str">
        <f>IF(B67&gt;0,VLOOKUP(B67,КВСР!A45:B1210,2),IF(C67&gt;0,VLOOKUP(C67,КФСР!A45:B1557,2),IF(D67&gt;0,VLOOKUP(D67,Программа!A$1:B$5124,2),IF(F67&gt;0,VLOOKUP(F67,КВР!A$1:B$5001,2),IF(E67&gt;0,VLOOKUP(E67,Направление!A$1:B$4816,2))))))</f>
        <v>Сельское хозяйство и рыболовство</v>
      </c>
      <c r="B67" s="108"/>
      <c r="C67" s="104">
        <v>405</v>
      </c>
      <c r="D67" s="105"/>
      <c r="E67" s="104"/>
      <c r="F67" s="106"/>
      <c r="G67" s="335">
        <v>762090</v>
      </c>
      <c r="H67" s="335">
        <f>H68+H89+H85</f>
        <v>0</v>
      </c>
      <c r="I67" s="335">
        <f t="shared" ref="I67:L67" si="34">I68+I89+I85</f>
        <v>762090</v>
      </c>
      <c r="J67" s="335">
        <v>762090</v>
      </c>
      <c r="K67" s="335">
        <f t="shared" si="34"/>
        <v>0</v>
      </c>
      <c r="L67" s="335">
        <f t="shared" si="34"/>
        <v>762090</v>
      </c>
    </row>
    <row r="68" spans="1:12" ht="94.5" x14ac:dyDescent="0.2">
      <c r="A68" s="107" t="str">
        <f>IF(B68&gt;0,VLOOKUP(B68,КВСР!A46:B1211,2),IF(C68&gt;0,VLOOKUP(C68,КФСР!A46:B1558,2),IF(D68&gt;0,VLOOKUP(D68,Программа!A$1:B$5124,2),IF(F68&gt;0,VLOOKUP(F68,КВР!A$1:B$5001,2),IF(E68&gt;0,VLOOKUP(E68,Направление!A$1:B$4816,2))))))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08"/>
      <c r="C68" s="104"/>
      <c r="D68" s="105" t="s">
        <v>337</v>
      </c>
      <c r="E68" s="104"/>
      <c r="F68" s="106"/>
      <c r="G68" s="335">
        <v>0</v>
      </c>
      <c r="H68" s="335">
        <f t="shared" ref="H68:L83" si="35">H69</f>
        <v>0</v>
      </c>
      <c r="I68" s="335">
        <f t="shared" si="35"/>
        <v>0</v>
      </c>
      <c r="J68" s="335">
        <v>0</v>
      </c>
      <c r="K68" s="335">
        <f t="shared" si="35"/>
        <v>0</v>
      </c>
      <c r="L68" s="335">
        <f t="shared" si="35"/>
        <v>0</v>
      </c>
    </row>
    <row r="69" spans="1:12" ht="47.25" x14ac:dyDescent="0.2">
      <c r="A69" s="107" t="str">
        <f>IF(B69&gt;0,VLOOKUP(B69,КВСР!A47:B1212,2),IF(C69&gt;0,VLOOKUP(C69,КФСР!A47:B1559,2),IF(D69&gt;0,VLOOKUP(D69,Программа!A$1:B$5124,2),IF(F69&gt;0,VLOOKUP(F69,КВР!A$1:B$5001,2),IF(E69&gt;0,VLOOKUP(E69,Направление!A$1:B$4816,2))))))</f>
        <v>Муниципальная целевая программа "Развитие агропромышленного комплекса Тутаевского муниципального района"</v>
      </c>
      <c r="B69" s="108"/>
      <c r="C69" s="104"/>
      <c r="D69" s="105" t="s">
        <v>338</v>
      </c>
      <c r="E69" s="104"/>
      <c r="F69" s="106"/>
      <c r="G69" s="335">
        <v>0</v>
      </c>
      <c r="H69" s="335">
        <f t="shared" ref="H69" si="36">H70+H77+H80</f>
        <v>0</v>
      </c>
      <c r="I69" s="335">
        <f t="shared" ref="I69:L69" si="37">I70+I77+I80</f>
        <v>0</v>
      </c>
      <c r="J69" s="335">
        <v>0</v>
      </c>
      <c r="K69" s="335">
        <f t="shared" si="37"/>
        <v>0</v>
      </c>
      <c r="L69" s="335">
        <f t="shared" si="37"/>
        <v>0</v>
      </c>
    </row>
    <row r="70" spans="1:12" ht="78.75" x14ac:dyDescent="0.2">
      <c r="A70" s="107" t="str">
        <f>IF(B70&gt;0,VLOOKUP(B70,КВСР!A48:B1213,2),IF(C70&gt;0,VLOOKUP(C70,КФСР!A48:B1560,2),IF(D70&gt;0,VLOOKUP(D70,Программа!A$1:B$5124,2),IF(F70&gt;0,VLOOKUP(F70,КВР!A$1:B$5001,2),IF(E70&gt;0,VLOOKUP(E70,Направление!A$1:B$4816,2))))))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08"/>
      <c r="C70" s="104"/>
      <c r="D70" s="105" t="s">
        <v>340</v>
      </c>
      <c r="E70" s="104"/>
      <c r="F70" s="106"/>
      <c r="G70" s="335">
        <v>0</v>
      </c>
      <c r="H70" s="335">
        <f>H71+H73+H75</f>
        <v>0</v>
      </c>
      <c r="I70" s="335">
        <f t="shared" ref="I70:L70" si="38">I71+I73+I75</f>
        <v>0</v>
      </c>
      <c r="J70" s="335">
        <v>0</v>
      </c>
      <c r="K70" s="335">
        <f t="shared" si="38"/>
        <v>0</v>
      </c>
      <c r="L70" s="335">
        <f t="shared" si="38"/>
        <v>0</v>
      </c>
    </row>
    <row r="71" spans="1:12" ht="47.25" x14ac:dyDescent="0.2">
      <c r="A71" s="107" t="str">
        <f>IF(B71&gt;0,VLOOKUP(B71,КВСР!A49:B1214,2),IF(C71&gt;0,VLOOKUP(C71,КФСР!A49:B1561,2),IF(D71&gt;0,VLOOKUP(D71,Программа!A$1:B$5124,2),IF(F71&gt;0,VLOOKUP(F71,КВР!A$1:B$5001,2),IF(E71&gt;0,VLOOKUP(E71,Направление!A$1:B$4816,2))))))</f>
        <v>Субсидия на возмещение части затрат сельхозтоваропроиизводителям на реализованное молоко</v>
      </c>
      <c r="B71" s="108"/>
      <c r="C71" s="104"/>
      <c r="D71" s="105"/>
      <c r="E71" s="104">
        <v>10701</v>
      </c>
      <c r="F71" s="106"/>
      <c r="G71" s="335">
        <v>0</v>
      </c>
      <c r="H71" s="335">
        <f t="shared" ref="H71:L71" si="39">H72</f>
        <v>0</v>
      </c>
      <c r="I71" s="335">
        <f t="shared" si="39"/>
        <v>0</v>
      </c>
      <c r="J71" s="335">
        <v>0</v>
      </c>
      <c r="K71" s="335">
        <f t="shared" si="39"/>
        <v>0</v>
      </c>
      <c r="L71" s="335">
        <f t="shared" si="39"/>
        <v>0</v>
      </c>
    </row>
    <row r="72" spans="1:12" ht="15.75" x14ac:dyDescent="0.2">
      <c r="A72" s="107" t="str">
        <f>IF(B72&gt;0,VLOOKUP(B72,КВСР!A50:B1215,2),IF(C72&gt;0,VLOOKUP(C72,КФСР!A50:B1562,2),IF(D72&gt;0,VLOOKUP(D72,Программа!A$1:B$5124,2),IF(F72&gt;0,VLOOKUP(F72,КВР!A$1:B$5001,2),IF(E72&gt;0,VLOOKUP(E72,Направление!A$1:B$4816,2))))))</f>
        <v>Иные бюджетные ассигнования</v>
      </c>
      <c r="B72" s="108"/>
      <c r="C72" s="104"/>
      <c r="D72" s="105"/>
      <c r="E72" s="104"/>
      <c r="F72" s="106">
        <v>800</v>
      </c>
      <c r="G72" s="335">
        <v>0</v>
      </c>
      <c r="H72" s="335"/>
      <c r="I72" s="335">
        <f>G72+H72</f>
        <v>0</v>
      </c>
      <c r="J72" s="335">
        <v>0</v>
      </c>
      <c r="K72" s="266"/>
      <c r="L72" s="266">
        <f>J72+K72</f>
        <v>0</v>
      </c>
    </row>
    <row r="73" spans="1:12" ht="63" x14ac:dyDescent="0.2">
      <c r="A73" s="107" t="str">
        <f>IF(B73&gt;0,VLOOKUP(B73,КВСР!A51:B1216,2),IF(C73&gt;0,VLOOKUP(C73,КФСР!A51:B1563,2),IF(D73&gt;0,VLOOKUP(D73,Программа!A$1:B$5124,2),IF(F73&gt;0,VLOOKUP(F73,КВР!A$1:B$5001,2),IF(E73&gt;0,VLOOKUP(E73,Направление!A$1:B$4816,2))))))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08"/>
      <c r="C73" s="104"/>
      <c r="D73" s="105"/>
      <c r="E73" s="104">
        <v>10702</v>
      </c>
      <c r="F73" s="106"/>
      <c r="G73" s="335">
        <v>0</v>
      </c>
      <c r="H73" s="335">
        <f t="shared" ref="H73:L73" si="40">H74</f>
        <v>0</v>
      </c>
      <c r="I73" s="335">
        <f t="shared" si="40"/>
        <v>0</v>
      </c>
      <c r="J73" s="335">
        <v>0</v>
      </c>
      <c r="K73" s="335">
        <f t="shared" si="40"/>
        <v>0</v>
      </c>
      <c r="L73" s="335">
        <f t="shared" si="40"/>
        <v>0</v>
      </c>
    </row>
    <row r="74" spans="1:12" ht="15.75" x14ac:dyDescent="0.2">
      <c r="A74" s="107" t="str">
        <f>IF(B74&gt;0,VLOOKUP(B74,КВСР!A52:B1217,2),IF(C74&gt;0,VLOOKUP(C74,КФСР!A52:B1564,2),IF(D74&gt;0,VLOOKUP(D74,Программа!A$1:B$5124,2),IF(F74&gt;0,VLOOKUP(F74,КВР!A$1:B$5001,2),IF(E74&gt;0,VLOOKUP(E74,Направление!A$1:B$4816,2))))))</f>
        <v>Иные бюджетные ассигнования</v>
      </c>
      <c r="B74" s="108"/>
      <c r="C74" s="104"/>
      <c r="D74" s="105"/>
      <c r="E74" s="104"/>
      <c r="F74" s="106">
        <v>800</v>
      </c>
      <c r="G74" s="335">
        <v>0</v>
      </c>
      <c r="H74" s="335"/>
      <c r="I74" s="335">
        <f>G74+H74</f>
        <v>0</v>
      </c>
      <c r="J74" s="335">
        <v>0</v>
      </c>
      <c r="K74" s="266"/>
      <c r="L74" s="266">
        <f>J74+K74</f>
        <v>0</v>
      </c>
    </row>
    <row r="75" spans="1:12" ht="78.75" x14ac:dyDescent="0.2">
      <c r="A75" s="107" t="str">
        <f>IF(B75&gt;0,VLOOKUP(B75,КВСР!A53:B1218,2),IF(C75&gt;0,VLOOKUP(C75,КФСР!A53:B1565,2),IF(D75&gt;0,VLOOKUP(D75,Программа!A$1:B$5124,2),IF(F75&gt;0,VLOOKUP(F75,КВР!A$1:B$5001,2),IF(E75&gt;0,VLOOKUP(E75,Направление!A$1:B$4816,2))))))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08"/>
      <c r="C75" s="104"/>
      <c r="D75" s="105"/>
      <c r="E75" s="104">
        <v>74450</v>
      </c>
      <c r="F75" s="106"/>
      <c r="G75" s="335">
        <v>0</v>
      </c>
      <c r="H75" s="335">
        <f t="shared" ref="H75:L75" si="41">H76</f>
        <v>0</v>
      </c>
      <c r="I75" s="335">
        <f t="shared" si="41"/>
        <v>0</v>
      </c>
      <c r="J75" s="335">
        <v>0</v>
      </c>
      <c r="K75" s="335">
        <f t="shared" si="41"/>
        <v>0</v>
      </c>
      <c r="L75" s="335">
        <f t="shared" si="41"/>
        <v>0</v>
      </c>
    </row>
    <row r="76" spans="1:12" ht="63" x14ac:dyDescent="0.2">
      <c r="A76" s="107" t="str">
        <f>IF(B76&gt;0,VLOOKUP(B76,КВСР!A54:B1219,2),IF(C76&gt;0,VLOOKUP(C76,КФСР!A54:B1566,2),IF(D76&gt;0,VLOOKUP(D76,Программа!A$1:B$5124,2),IF(F76&gt;0,VLOOKUP(F76,КВР!A$1:B$5001,2),IF(E76&gt;0,VLOOKUP(E76,Направление!A$1:B$4816,2))))))</f>
        <v xml:space="preserve">Закупка товаров, работ и услуг для обеспечения государственных (муниципальных) нужд
</v>
      </c>
      <c r="B76" s="108"/>
      <c r="C76" s="104"/>
      <c r="D76" s="105"/>
      <c r="E76" s="104"/>
      <c r="F76" s="106">
        <v>200</v>
      </c>
      <c r="G76" s="335">
        <v>0</v>
      </c>
      <c r="H76" s="335"/>
      <c r="I76" s="335">
        <f>G76+H76</f>
        <v>0</v>
      </c>
      <c r="J76" s="335">
        <v>0</v>
      </c>
      <c r="K76" s="266"/>
      <c r="L76" s="266">
        <f>J76+K76</f>
        <v>0</v>
      </c>
    </row>
    <row r="77" spans="1:12" ht="31.5" x14ac:dyDescent="0.2">
      <c r="A77" s="107" t="str">
        <f>IF(B77&gt;0,VLOOKUP(B77,КВСР!A53:B1218,2),IF(C77&gt;0,VLOOKUP(C77,КФСР!A53:B1565,2),IF(D77&gt;0,VLOOKUP(D77,Программа!A$1:B$5124,2),IF(F77&gt;0,VLOOKUP(F77,КВР!A$1:B$5001,2),IF(E77&gt;0,VLOOKUP(E77,Направление!A$1:B$4816,2))))))</f>
        <v xml:space="preserve">Кадровое обеспечение агропромышленного комплекса </v>
      </c>
      <c r="B77" s="108"/>
      <c r="C77" s="104"/>
      <c r="D77" s="105" t="s">
        <v>342</v>
      </c>
      <c r="E77" s="104"/>
      <c r="F77" s="106"/>
      <c r="G77" s="335">
        <v>0</v>
      </c>
      <c r="H77" s="335">
        <f t="shared" ref="H77:L78" si="42">H78</f>
        <v>0</v>
      </c>
      <c r="I77" s="335">
        <f t="shared" si="42"/>
        <v>0</v>
      </c>
      <c r="J77" s="335">
        <v>0</v>
      </c>
      <c r="K77" s="335">
        <f t="shared" si="42"/>
        <v>0</v>
      </c>
      <c r="L77" s="335">
        <f t="shared" si="42"/>
        <v>0</v>
      </c>
    </row>
    <row r="78" spans="1:12" ht="31.5" x14ac:dyDescent="0.2">
      <c r="A78" s="107" t="str">
        <f>IF(B78&gt;0,VLOOKUP(B78,КВСР!A54:B1219,2),IF(C78&gt;0,VLOOKUP(C78,КФСР!A54:B1566,2),IF(D78&gt;0,VLOOKUP(D78,Программа!A$1:B$5124,2),IF(F78&gt;0,VLOOKUP(F78,КВР!A$1:B$5001,2),IF(E78&gt;0,VLOOKUP(E78,Направление!A$1:B$4816,2))))))</f>
        <v>Мероприятия  направленные на развитие агропромышленного комплекса</v>
      </c>
      <c r="B78" s="108"/>
      <c r="C78" s="104"/>
      <c r="D78" s="105"/>
      <c r="E78" s="104">
        <v>10700</v>
      </c>
      <c r="F78" s="106"/>
      <c r="G78" s="335">
        <v>0</v>
      </c>
      <c r="H78" s="335">
        <f t="shared" si="42"/>
        <v>0</v>
      </c>
      <c r="I78" s="335">
        <f t="shared" si="42"/>
        <v>0</v>
      </c>
      <c r="J78" s="335">
        <v>0</v>
      </c>
      <c r="K78" s="335">
        <f t="shared" si="42"/>
        <v>0</v>
      </c>
      <c r="L78" s="335">
        <f t="shared" si="42"/>
        <v>0</v>
      </c>
    </row>
    <row r="79" spans="1:12" ht="31.5" x14ac:dyDescent="0.2">
      <c r="A79" s="107" t="str">
        <f>IF(B79&gt;0,VLOOKUP(B79,КВСР!A55:B1220,2),IF(C79&gt;0,VLOOKUP(C79,КФСР!A55:B1567,2),IF(D79&gt;0,VLOOKUP(D79,Программа!A$1:B$5124,2),IF(F79&gt;0,VLOOKUP(F79,КВР!A$1:B$5001,2),IF(E79&gt;0,VLOOKUP(E79,Направление!A$1:B$4816,2))))))</f>
        <v>Социальное обеспечение и иные выплаты населению</v>
      </c>
      <c r="B79" s="108"/>
      <c r="C79" s="104"/>
      <c r="D79" s="105"/>
      <c r="E79" s="104"/>
      <c r="F79" s="106">
        <v>300</v>
      </c>
      <c r="G79" s="335">
        <v>0</v>
      </c>
      <c r="H79" s="335"/>
      <c r="I79" s="335">
        <f>G79+H79</f>
        <v>0</v>
      </c>
      <c r="J79" s="335">
        <v>0</v>
      </c>
      <c r="K79" s="266"/>
      <c r="L79" s="266">
        <f>J79+K79</f>
        <v>0</v>
      </c>
    </row>
    <row r="80" spans="1:12" ht="94.5" x14ac:dyDescent="0.2">
      <c r="A80" s="107" t="str">
        <f>IF(B80&gt;0,VLOOKUP(B80,КВСР!A56:B1221,2),IF(C80&gt;0,VLOOKUP(C80,КФСР!A56:B1568,2),IF(D80&gt;0,VLOOKUP(D80,Программа!A$1:B$5124,2),IF(F80&gt;0,VLOOKUP(F80,КВР!A$1:B$5001,2),IF(E80&gt;0,VLOOKUP(E80,Направление!A$1:B$4816,2))))))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08"/>
      <c r="C80" s="104"/>
      <c r="D80" s="105" t="s">
        <v>345</v>
      </c>
      <c r="E80" s="104"/>
      <c r="F80" s="106"/>
      <c r="G80" s="335">
        <v>0</v>
      </c>
      <c r="H80" s="335">
        <f t="shared" ref="H80:L81" si="43">H81</f>
        <v>0</v>
      </c>
      <c r="I80" s="335">
        <f t="shared" si="43"/>
        <v>0</v>
      </c>
      <c r="J80" s="335">
        <v>0</v>
      </c>
      <c r="K80" s="335">
        <f t="shared" si="43"/>
        <v>0</v>
      </c>
      <c r="L80" s="335">
        <f t="shared" si="43"/>
        <v>0</v>
      </c>
    </row>
    <row r="81" spans="1:12" ht="63" x14ac:dyDescent="0.2">
      <c r="A81" s="107" t="str">
        <f>IF(B81&gt;0,VLOOKUP(B81,КВСР!A57:B1222,2),IF(C81&gt;0,VLOOKUP(C81,КФСР!A57:B1569,2),IF(D81&gt;0,VLOOKUP(D81,Программа!A$1:B$5124,2),IF(F81&gt;0,VLOOKUP(F81,КВР!A$1:B$5001,2),IF(E81&gt;0,VLOOKUP(E81,Направление!A$1:B$4816,2))))))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81" s="108"/>
      <c r="C81" s="104"/>
      <c r="D81" s="105"/>
      <c r="E81" s="324">
        <v>10703</v>
      </c>
      <c r="F81" s="325"/>
      <c r="G81" s="335">
        <v>0</v>
      </c>
      <c r="H81" s="335">
        <f t="shared" si="43"/>
        <v>0</v>
      </c>
      <c r="I81" s="335">
        <f t="shared" si="43"/>
        <v>0</v>
      </c>
      <c r="J81" s="335">
        <v>0</v>
      </c>
      <c r="K81" s="335">
        <f t="shared" si="43"/>
        <v>0</v>
      </c>
      <c r="L81" s="335">
        <f t="shared" si="43"/>
        <v>0</v>
      </c>
    </row>
    <row r="82" spans="1:12" ht="15.75" x14ac:dyDescent="0.2">
      <c r="A82" s="107" t="str">
        <f>IF(B82&gt;0,VLOOKUP(B82,КВСР!A58:B1223,2),IF(C82&gt;0,VLOOKUP(C82,КФСР!A58:B1570,2),IF(D82&gt;0,VLOOKUP(D82,Программа!A$1:B$5124,2),IF(F82&gt;0,VLOOKUP(F82,КВР!A$1:B$5001,2),IF(E82&gt;0,VLOOKUP(E82,Направление!A$1:B$4816,2))))))</f>
        <v>Иные бюджетные ассигнования</v>
      </c>
      <c r="B82" s="108"/>
      <c r="C82" s="104"/>
      <c r="D82" s="105"/>
      <c r="E82" s="104"/>
      <c r="F82" s="106">
        <v>800</v>
      </c>
      <c r="G82" s="335">
        <v>0</v>
      </c>
      <c r="H82" s="335"/>
      <c r="I82" s="335">
        <f>G82+H82</f>
        <v>0</v>
      </c>
      <c r="J82" s="335">
        <v>0</v>
      </c>
      <c r="K82" s="266"/>
      <c r="L82" s="266">
        <f>J82+K82</f>
        <v>0</v>
      </c>
    </row>
    <row r="83" spans="1:12" ht="78.75" x14ac:dyDescent="0.2">
      <c r="A83" s="107" t="str">
        <f>IF(B83&gt;0,VLOOKUP(B83,КВСР!A49:B1214,2),IF(C83&gt;0,VLOOKUP(C83,КФСР!A49:B1561,2),IF(D83&gt;0,VLOOKUP(D83,Программа!A$1:B$5124,2),IF(F83&gt;0,VLOOKUP(F83,КВР!A$1:B$5001,2),IF(E83&gt;0,VLOOKUP(E83,Направление!A$1:B$4816,2))))))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08"/>
      <c r="C83" s="104"/>
      <c r="D83" s="105"/>
      <c r="E83" s="104">
        <v>74450</v>
      </c>
      <c r="F83" s="106"/>
      <c r="G83" s="335">
        <v>0</v>
      </c>
      <c r="H83" s="335">
        <f t="shared" si="35"/>
        <v>0</v>
      </c>
      <c r="I83" s="335">
        <f>SUM(G83:H83)</f>
        <v>0</v>
      </c>
      <c r="J83" s="335">
        <v>0</v>
      </c>
      <c r="K83" s="266">
        <f t="shared" ref="K83" si="44">K84</f>
        <v>0</v>
      </c>
      <c r="L83" s="266">
        <f t="shared" si="10"/>
        <v>0</v>
      </c>
    </row>
    <row r="84" spans="1:12" ht="52.5" customHeight="1" x14ac:dyDescent="0.2">
      <c r="A84" s="107" t="str">
        <f>IF(B84&gt;0,VLOOKUP(B84,КВСР!A50:B1215,2),IF(C84&gt;0,VLOOKUP(C84,КФСР!A50:B1562,2),IF(D84&gt;0,VLOOKUP(D84,Программа!A$1:B$5124,2),IF(F84&gt;0,VLOOKUP(F84,КВР!A$1:B$5001,2),IF(E84&gt;0,VLOOKUP(E84,Направление!A$1:B$4816,2))))))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08"/>
      <c r="C84" s="104"/>
      <c r="D84" s="105"/>
      <c r="E84" s="104"/>
      <c r="F84" s="106">
        <v>200</v>
      </c>
      <c r="G84" s="335">
        <v>0</v>
      </c>
      <c r="H84" s="335"/>
      <c r="I84" s="335">
        <f>SUM(G84:H84)</f>
        <v>0</v>
      </c>
      <c r="J84" s="335">
        <v>0</v>
      </c>
      <c r="K84" s="266"/>
      <c r="L84" s="266">
        <f>SUM(J84:K84)</f>
        <v>0</v>
      </c>
    </row>
    <row r="85" spans="1:12" ht="47.25" x14ac:dyDescent="0.2">
      <c r="A85" s="107" t="str">
        <f>IF(B85&gt;0,VLOOKUP(B85,КВСР!A51:B1216,2),IF(C85&gt;0,VLOOKUP(C85,КФСР!A51:B1563,2),IF(D85&gt;0,VLOOKUP(D85,Программа!A$1:B$5124,2),IF(F85&gt;0,VLOOKUP(F85,КВР!A$1:B$5001,2),IF(E85&gt;0,VLOOKUP(E85,Направление!A$1:B$4816,2))))))</f>
        <v>Муниципальная программа "Развитие агропромышленного комплекса в  Тутаевском муниципальном районе"</v>
      </c>
      <c r="B85" s="108"/>
      <c r="C85" s="104"/>
      <c r="D85" s="105" t="s">
        <v>1672</v>
      </c>
      <c r="E85" s="104"/>
      <c r="F85" s="106"/>
      <c r="G85" s="335">
        <v>4590</v>
      </c>
      <c r="H85" s="335">
        <f>H86</f>
        <v>0</v>
      </c>
      <c r="I85" s="335">
        <f t="shared" ref="I85:L85" si="45">I86</f>
        <v>4590</v>
      </c>
      <c r="J85" s="335">
        <v>4590</v>
      </c>
      <c r="K85" s="335">
        <f t="shared" si="45"/>
        <v>0</v>
      </c>
      <c r="L85" s="335">
        <f t="shared" si="45"/>
        <v>4590</v>
      </c>
    </row>
    <row r="86" spans="1:12" ht="63" x14ac:dyDescent="0.2">
      <c r="A86" s="107" t="str">
        <f>IF(B86&gt;0,VLOOKUP(B86,КВСР!A52:B1217,2),IF(C86&gt;0,VLOOKUP(C86,КФСР!A52:B1564,2),IF(D86&gt;0,VLOOKUP(D86,Программа!A$1:B$5124,2),IF(F86&gt;0,VLOOKUP(F86,КВР!A$1:B$5001,2),IF(E86&gt;0,VLOOKUP(E86,Направление!A$1:B$4816,2))))))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08"/>
      <c r="C86" s="104"/>
      <c r="D86" s="105" t="s">
        <v>1674</v>
      </c>
      <c r="E86" s="104"/>
      <c r="F86" s="106"/>
      <c r="G86" s="335">
        <v>4590</v>
      </c>
      <c r="H86" s="335">
        <f>H87</f>
        <v>0</v>
      </c>
      <c r="I86" s="335">
        <f t="shared" ref="I86:L86" si="46">I87</f>
        <v>4590</v>
      </c>
      <c r="J86" s="335">
        <v>4590</v>
      </c>
      <c r="K86" s="335">
        <f t="shared" si="46"/>
        <v>0</v>
      </c>
      <c r="L86" s="335">
        <f t="shared" si="46"/>
        <v>4590</v>
      </c>
    </row>
    <row r="87" spans="1:12" ht="78.75" x14ac:dyDescent="0.2">
      <c r="A87" s="107" t="str">
        <f>IF(B87&gt;0,VLOOKUP(B87,КВСР!A53:B1218,2),IF(C87&gt;0,VLOOKUP(C87,КФСР!A53:B1565,2),IF(D87&gt;0,VLOOKUP(D87,Программа!A$1:B$5124,2),IF(F87&gt;0,VLOOKUP(F87,КВР!A$1:B$5001,2),IF(E87&gt;0,VLOOKUP(E87,Направление!A$1:B$4816,2))))))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08"/>
      <c r="C87" s="104"/>
      <c r="D87" s="105"/>
      <c r="E87" s="104">
        <v>74450</v>
      </c>
      <c r="F87" s="106"/>
      <c r="G87" s="335">
        <v>4590</v>
      </c>
      <c r="H87" s="335">
        <f>H88</f>
        <v>0</v>
      </c>
      <c r="I87" s="335">
        <f>I88</f>
        <v>4590</v>
      </c>
      <c r="J87" s="335">
        <v>4590</v>
      </c>
      <c r="K87" s="266">
        <f>K88</f>
        <v>0</v>
      </c>
      <c r="L87" s="266">
        <f>L88</f>
        <v>4590</v>
      </c>
    </row>
    <row r="88" spans="1:12" ht="51" customHeight="1" x14ac:dyDescent="0.2">
      <c r="A88" s="107" t="str">
        <f>IF(B88&gt;0,VLOOKUP(B88,КВСР!A54:B1219,2),IF(C88&gt;0,VLOOKUP(C88,КФСР!A54:B1566,2),IF(D88&gt;0,VLOOKUP(D88,Программа!A$1:B$5124,2),IF(F88&gt;0,VLOOKUP(F88,КВР!A$1:B$5001,2),IF(E88&gt;0,VLOOKUP(E88,Направление!A$1:B$4816,2))))))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08"/>
      <c r="C88" s="104"/>
      <c r="D88" s="105"/>
      <c r="E88" s="104"/>
      <c r="F88" s="106">
        <v>200</v>
      </c>
      <c r="G88" s="335">
        <v>4590</v>
      </c>
      <c r="H88" s="335"/>
      <c r="I88" s="335">
        <f>G88+H88</f>
        <v>4590</v>
      </c>
      <c r="J88" s="335">
        <v>4590</v>
      </c>
      <c r="K88" s="266"/>
      <c r="L88" s="266">
        <f>J88+K88</f>
        <v>4590</v>
      </c>
    </row>
    <row r="89" spans="1:12" ht="15.75" x14ac:dyDescent="0.2">
      <c r="A89" s="107" t="str">
        <f>IF(B89&gt;0,VLOOKUP(B89,КВСР!A51:B1216,2),IF(C89&gt;0,VLOOKUP(C89,КФСР!A51:B1563,2),IF(D89&gt;0,VLOOKUP(D89,Программа!A$1:B$5124,2),IF(F89&gt;0,VLOOKUP(F89,КВР!A$1:B$5001,2),IF(E89&gt;0,VLOOKUP(E89,Направление!A$1:B$4816,2))))))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08"/>
      <c r="C89" s="104"/>
      <c r="D89" s="105" t="s">
        <v>311</v>
      </c>
      <c r="E89" s="104"/>
      <c r="F89" s="106"/>
      <c r="G89" s="335">
        <v>757500</v>
      </c>
      <c r="H89" s="335">
        <f t="shared" ref="H89:L89" si="47">H90</f>
        <v>0</v>
      </c>
      <c r="I89" s="335">
        <f t="shared" si="47"/>
        <v>757500</v>
      </c>
      <c r="J89" s="335">
        <v>757500</v>
      </c>
      <c r="K89" s="335">
        <f t="shared" si="47"/>
        <v>0</v>
      </c>
      <c r="L89" s="335">
        <f t="shared" si="47"/>
        <v>757500</v>
      </c>
    </row>
    <row r="90" spans="1:12" ht="47.25" x14ac:dyDescent="0.2">
      <c r="A90" s="107" t="str">
        <f>IF(B90&gt;0,VLOOKUP(B90,КВСР!A52:B1217,2),IF(C90&gt;0,VLOOKUP(C90,КФСР!A52:B1564,2),IF(D90&gt;0,VLOOKUP(D90,Программа!A$1:B$5124,2),IF(F90&gt;0,VLOOKUP(F90,КВР!A$1:B$5001,2),IF(E90&gt;0,VLOOKUP(E90,Направление!A$1:B$4816,2))))))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90" s="108"/>
      <c r="C90" s="104"/>
      <c r="D90" s="105"/>
      <c r="E90" s="104">
        <v>74420</v>
      </c>
      <c r="F90" s="106"/>
      <c r="G90" s="335">
        <v>757500</v>
      </c>
      <c r="H90" s="335">
        <f t="shared" ref="H90:L90" si="48">H91</f>
        <v>0</v>
      </c>
      <c r="I90" s="335">
        <f t="shared" si="48"/>
        <v>757500</v>
      </c>
      <c r="J90" s="335">
        <v>757500</v>
      </c>
      <c r="K90" s="335">
        <f t="shared" si="48"/>
        <v>0</v>
      </c>
      <c r="L90" s="335">
        <f t="shared" si="48"/>
        <v>757500</v>
      </c>
    </row>
    <row r="91" spans="1:12" ht="63" x14ac:dyDescent="0.2">
      <c r="A91" s="107" t="str">
        <f>IF(B91&gt;0,VLOOKUP(B91,КВСР!A53:B1218,2),IF(C91&gt;0,VLOOKUP(C91,КФСР!A53:B1565,2),IF(D91&gt;0,VLOOKUP(D91,Программа!A$1:B$5124,2),IF(F91&gt;0,VLOOKUP(F91,КВР!A$1:B$5001,2),IF(E91&gt;0,VLOOKUP(E91,Направление!A$1:B$4816,2))))))</f>
        <v xml:space="preserve">Закупка товаров, работ и услуг для обеспечения государственных (муниципальных) нужд
</v>
      </c>
      <c r="B91" s="108"/>
      <c r="C91" s="104"/>
      <c r="D91" s="105"/>
      <c r="E91" s="104"/>
      <c r="F91" s="106">
        <v>200</v>
      </c>
      <c r="G91" s="335">
        <v>757500</v>
      </c>
      <c r="H91" s="335"/>
      <c r="I91" s="335">
        <f>G91+H91</f>
        <v>757500</v>
      </c>
      <c r="J91" s="335">
        <v>757500</v>
      </c>
      <c r="K91" s="266"/>
      <c r="L91" s="266">
        <f t="shared" ref="L91:L96" si="49">SUM(J91:K91)</f>
        <v>757500</v>
      </c>
    </row>
    <row r="92" spans="1:12" ht="15.75" x14ac:dyDescent="0.2">
      <c r="A92" s="107" t="str">
        <f>IF(B92&gt;0,VLOOKUP(B92,КВСР!A54:B1219,2),IF(C92&gt;0,VLOOKUP(C92,КФСР!A54:B1566,2),IF(D92&gt;0,VLOOKUP(D92,Программа!A$1:B$5124,2),IF(F92&gt;0,VLOOKUP(F92,КВР!A$1:B$5001,2),IF(E92&gt;0,VLOOKUP(E92,Направление!A$1:B$4816,2))))))</f>
        <v>Транспорт</v>
      </c>
      <c r="B92" s="108"/>
      <c r="C92" s="104">
        <v>408</v>
      </c>
      <c r="D92" s="105"/>
      <c r="E92" s="104"/>
      <c r="F92" s="106"/>
      <c r="G92" s="335">
        <v>11830000</v>
      </c>
      <c r="H92" s="335">
        <f t="shared" ref="H92:L95" si="50">H93</f>
        <v>0</v>
      </c>
      <c r="I92" s="335">
        <f t="shared" si="50"/>
        <v>11830000</v>
      </c>
      <c r="J92" s="335">
        <v>0</v>
      </c>
      <c r="K92" s="335">
        <f t="shared" si="50"/>
        <v>0</v>
      </c>
      <c r="L92" s="335">
        <f t="shared" si="50"/>
        <v>0</v>
      </c>
    </row>
    <row r="93" spans="1:12" ht="63" x14ac:dyDescent="0.2">
      <c r="A93" s="107" t="str">
        <f>IF(B93&gt;0,VLOOKUP(B93,КВСР!A55:B1220,2),IF(C93&gt;0,VLOOKUP(C93,КФСР!A55:B1567,2),IF(D93&gt;0,VLOOKUP(D93,Программа!A$1:B$5124,2),IF(F93&gt;0,VLOOKUP(F93,КВР!A$1:B$5001,2),IF(E93&gt;0,VLOOKUP(E93,Направление!A$1:B$4816,2))))))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08"/>
      <c r="C93" s="104"/>
      <c r="D93" s="105" t="s">
        <v>533</v>
      </c>
      <c r="E93" s="104"/>
      <c r="F93" s="106"/>
      <c r="G93" s="335">
        <v>11830000</v>
      </c>
      <c r="H93" s="335">
        <f t="shared" ref="H93" si="51">H94+H99</f>
        <v>0</v>
      </c>
      <c r="I93" s="335">
        <f t="shared" ref="I93" si="52">I94+I99</f>
        <v>11830000</v>
      </c>
      <c r="J93" s="335">
        <v>0</v>
      </c>
      <c r="K93" s="335">
        <f t="shared" ref="K93:L93" si="53">K94+K99</f>
        <v>0</v>
      </c>
      <c r="L93" s="335">
        <f t="shared" si="53"/>
        <v>0</v>
      </c>
    </row>
    <row r="94" spans="1:12" ht="78.75" x14ac:dyDescent="0.2">
      <c r="A94" s="107" t="str">
        <f>IF(B94&gt;0,VLOOKUP(B94,КВСР!A56:B1221,2),IF(C94&gt;0,VLOOKUP(C94,КФСР!A56:B1568,2),IF(D94&gt;0,VLOOKUP(D94,Программа!A$1:B$5124,2),IF(F94&gt;0,VLOOKUP(F94,КВР!A$1:B$5001,2),IF(E94&gt;0,VLOOKUP(E94,Направление!A$1:B$4816,2))))))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08"/>
      <c r="C94" s="104"/>
      <c r="D94" s="105" t="s">
        <v>539</v>
      </c>
      <c r="E94" s="104"/>
      <c r="F94" s="106"/>
      <c r="G94" s="335">
        <v>11830000</v>
      </c>
      <c r="H94" s="335">
        <f t="shared" ref="H94" si="54">H95+H97</f>
        <v>0</v>
      </c>
      <c r="I94" s="335">
        <f t="shared" ref="I94" si="55">I95+I97</f>
        <v>11830000</v>
      </c>
      <c r="J94" s="335">
        <v>0</v>
      </c>
      <c r="K94" s="335">
        <f t="shared" ref="K94:L94" si="56">K95+K97</f>
        <v>0</v>
      </c>
      <c r="L94" s="335">
        <f t="shared" si="56"/>
        <v>0</v>
      </c>
    </row>
    <row r="95" spans="1:12" ht="63" x14ac:dyDescent="0.2">
      <c r="A95" s="107" t="str">
        <f>IF(B95&gt;0,VLOOKUP(B95,КВСР!A57:B1222,2),IF(C95&gt;0,VLOOKUP(C95,КФСР!A57:B1569,2),IF(D95&gt;0,VLOOKUP(D95,Программа!A$1:B$5124,2),IF(F95&gt;0,VLOOKUP(F95,КВР!A$1:B$5001,2),IF(E95&gt;0,VLOOKUP(E95,Направление!A$1:B$4816,2))))))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95" s="108"/>
      <c r="C95" s="104"/>
      <c r="D95" s="105"/>
      <c r="E95" s="104">
        <v>10100</v>
      </c>
      <c r="F95" s="106"/>
      <c r="G95" s="335">
        <v>11000000</v>
      </c>
      <c r="H95" s="335">
        <f t="shared" si="50"/>
        <v>0</v>
      </c>
      <c r="I95" s="335">
        <f t="shared" si="50"/>
        <v>11000000</v>
      </c>
      <c r="J95" s="335">
        <v>0</v>
      </c>
      <c r="K95" s="335">
        <f t="shared" si="50"/>
        <v>0</v>
      </c>
      <c r="L95" s="335">
        <f t="shared" si="50"/>
        <v>0</v>
      </c>
    </row>
    <row r="96" spans="1:12" ht="63" x14ac:dyDescent="0.2">
      <c r="A96" s="107" t="str">
        <f>IF(B96&gt;0,VLOOKUP(B96,КВСР!A58:B1223,2),IF(C96&gt;0,VLOOKUP(C96,КФСР!A58:B1570,2),IF(D96&gt;0,VLOOKUP(D96,Программа!A$1:B$5124,2),IF(F96&gt;0,VLOOKUP(F96,КВР!A$1:B$5001,2),IF(E96&gt;0,VLOOKUP(E96,Направление!A$1:B$4816,2))))))</f>
        <v xml:space="preserve">Закупка товаров, работ и услуг для обеспечения государственных (муниципальных) нужд
</v>
      </c>
      <c r="B96" s="108"/>
      <c r="C96" s="104"/>
      <c r="D96" s="105"/>
      <c r="E96" s="104"/>
      <c r="F96" s="106">
        <v>200</v>
      </c>
      <c r="G96" s="335">
        <v>11000000</v>
      </c>
      <c r="H96" s="335"/>
      <c r="I96" s="335">
        <f t="shared" ref="I96" si="57">G96+H96</f>
        <v>11000000</v>
      </c>
      <c r="J96" s="335">
        <v>0</v>
      </c>
      <c r="K96" s="266"/>
      <c r="L96" s="266">
        <f t="shared" si="49"/>
        <v>0</v>
      </c>
    </row>
    <row r="97" spans="1:13" ht="63" x14ac:dyDescent="0.2">
      <c r="A97" s="107" t="str">
        <f>IF(B97&gt;0,VLOOKUP(B97,КВСР!A59:B1224,2),IF(C97&gt;0,VLOOKUP(C97,КФСР!A59:B1571,2),IF(D97&gt;0,VLOOKUP(D97,Программа!A$1:B$5124,2),IF(F97&gt;0,VLOOKUP(F97,КВР!A$1:B$5001,2),IF(E97&gt;0,VLOOKUP(E97,Направление!A$1:B$4816,2))))))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97" s="108"/>
      <c r="C97" s="104"/>
      <c r="D97" s="105"/>
      <c r="E97" s="104">
        <v>29176</v>
      </c>
      <c r="F97" s="106"/>
      <c r="G97" s="335">
        <v>830000</v>
      </c>
      <c r="H97" s="335">
        <f>H98</f>
        <v>0</v>
      </c>
      <c r="I97" s="335">
        <f>SUM(G97:H97)</f>
        <v>830000</v>
      </c>
      <c r="J97" s="335">
        <v>0</v>
      </c>
      <c r="K97" s="266">
        <f>K98</f>
        <v>0</v>
      </c>
      <c r="L97" s="266">
        <f>SUM(J97:K97)</f>
        <v>0</v>
      </c>
    </row>
    <row r="98" spans="1:13" ht="63" x14ac:dyDescent="0.2">
      <c r="A98" s="107" t="str">
        <f>IF(B98&gt;0,VLOOKUP(B98,КВСР!A60:B1225,2),IF(C98&gt;0,VLOOKUP(C98,КФСР!A60:B1572,2),IF(D98&gt;0,VLOOKUP(D98,Программа!A$1:B$5124,2),IF(F98&gt;0,VLOOKUP(F98,КВР!A$1:B$5001,2),IF(E98&gt;0,VLOOKUP(E98,Направление!A$1:B$4816,2))))))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08"/>
      <c r="C98" s="104"/>
      <c r="D98" s="105"/>
      <c r="E98" s="104"/>
      <c r="F98" s="106">
        <v>200</v>
      </c>
      <c r="G98" s="335">
        <v>830000</v>
      </c>
      <c r="H98" s="335"/>
      <c r="I98" s="335">
        <f>SUM(G98:H98)</f>
        <v>830000</v>
      </c>
      <c r="J98" s="335">
        <v>0</v>
      </c>
      <c r="K98" s="266"/>
      <c r="L98" s="266">
        <f>SUM(J98:K98)</f>
        <v>0</v>
      </c>
    </row>
    <row r="99" spans="1:13" ht="47.25" x14ac:dyDescent="0.2">
      <c r="A99" s="107" t="str">
        <f>IF(B99&gt;0,VLOOKUP(B99,КВСР!A61:B1226,2),IF(C99&gt;0,VLOOKUP(C99,КФСР!A61:B1573,2),IF(D99&gt;0,VLOOKUP(D99,Программа!A$1:B$5124,2),IF(F99&gt;0,VLOOKUP(F99,КВР!A$1:B$5001,2),IF(E99&gt;0,VLOOKUP(E99,Направление!A$1:B$4816,2))))))</f>
        <v>Организация предоставления транспортных услуг по перевозке пассажиров речным транспортом</v>
      </c>
      <c r="B99" s="108"/>
      <c r="C99" s="104"/>
      <c r="D99" s="105" t="s">
        <v>1194</v>
      </c>
      <c r="E99" s="104"/>
      <c r="F99" s="106"/>
      <c r="G99" s="340">
        <v>0</v>
      </c>
      <c r="H99" s="335">
        <f>H100</f>
        <v>0</v>
      </c>
      <c r="I99" s="335">
        <f t="shared" ref="I99:L100" si="58">I100</f>
        <v>0</v>
      </c>
      <c r="J99" s="335">
        <v>0</v>
      </c>
      <c r="K99" s="335">
        <f t="shared" si="58"/>
        <v>0</v>
      </c>
      <c r="L99" s="335">
        <f t="shared" si="58"/>
        <v>0</v>
      </c>
    </row>
    <row r="100" spans="1:13" ht="47.25" x14ac:dyDescent="0.2">
      <c r="A100" s="107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IF(B100&gt;0,VLOOKUP(B100,КВСР!A62:B1227,2),IF(C100&gt;0,VLOOKUP(C100,КФСР!A62:B1574,2),IF(D100&gt;0,VLOOKUP(D100,Программа!A$1:B$5124,2),IF(F100&gt;0,VLOOKUP(F100,КВР!A$1:B$5001,2),IF(E100&gt;0,VLOOKUP(E100,Направление!A$1:B$4816,2))))))</f>
        <v>Обеспечение мероприятий по осуществлению грузопассажирских  перевозок на речном транспорте</v>
      </c>
      <c r="B100" s="108"/>
      <c r="C100" s="104"/>
      <c r="D100" s="105"/>
      <c r="E100" s="104">
        <v>29166</v>
      </c>
      <c r="F100" s="106"/>
      <c r="G100" s="340">
        <v>0</v>
      </c>
      <c r="H100" s="335">
        <f>H101</f>
        <v>0</v>
      </c>
      <c r="I100" s="335">
        <f t="shared" si="58"/>
        <v>0</v>
      </c>
      <c r="J100" s="335">
        <v>0</v>
      </c>
      <c r="K100" s="335">
        <f t="shared" si="58"/>
        <v>0</v>
      </c>
      <c r="L100" s="335">
        <f t="shared" si="58"/>
        <v>0</v>
      </c>
    </row>
    <row r="101" spans="1:13" ht="47.25" x14ac:dyDescent="0.2">
      <c r="A101" s="107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IF(B101&gt;0,VLOOKUP(B101,КВСР!A63:B1228,2),IF(C101&gt;0,VLOOKUP(C101,КФСР!A63:B1575,2),IF(D101&gt;0,VLOOKUP(D101,Программа!A$1:B$5124,2),IF(F101&gt;0,VLOOKUP(F101,КВР!A$1:B$5001,2),IF(E101&gt;0,VLOOKUP(E101,Направление!A$1:B$4816,2))))))</f>
        <v>Предоставление субсидий бюджетным, автономным учреждениям и иным некоммерческим организациям</v>
      </c>
      <c r="B101" s="108"/>
      <c r="C101" s="104"/>
      <c r="D101" s="105"/>
      <c r="E101" s="104"/>
      <c r="F101" s="106">
        <v>600</v>
      </c>
      <c r="G101" s="335">
        <v>0</v>
      </c>
      <c r="H101" s="335"/>
      <c r="I101" s="335">
        <f t="shared" ref="I101" si="59">SUM(G101:H101)</f>
        <v>0</v>
      </c>
      <c r="J101" s="335">
        <v>0</v>
      </c>
      <c r="K101" s="266"/>
      <c r="L101" s="266">
        <f t="shared" ref="L101" si="60">SUM(J101:K101)</f>
        <v>0</v>
      </c>
    </row>
    <row r="102" spans="1:13" ht="15.75" x14ac:dyDescent="0.2">
      <c r="A102" s="107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IF(B102&gt;0,VLOOKUP(B102,КВСР!A51:B1216,2),IF(C102&gt;0,VLOOKUP(C102,КФСР!A51:B1563,2),IF(D102&gt;0,VLOOKUP(D102,Программа!A$1:B$5124,2),IF(F102&gt;0,VLOOKUP(F102,КВР!A$1:B$5001,2),IF(E102&gt;0,VLOOKUP(E102,Направление!A$1:B$4816,2))))))</f>
        <v>Дорожное хозяйство</v>
      </c>
      <c r="B102" s="108"/>
      <c r="C102" s="104">
        <v>409</v>
      </c>
      <c r="D102" s="105"/>
      <c r="E102" s="104"/>
      <c r="F102" s="106"/>
      <c r="G102" s="335">
        <v>260440368</v>
      </c>
      <c r="H102" s="335">
        <f>H103+H107+H143+H146</f>
        <v>-101790000</v>
      </c>
      <c r="I102" s="335">
        <f>I103+I107+I143+I146</f>
        <v>158650368</v>
      </c>
      <c r="J102" s="335">
        <f>J103+J107+J143+J146</f>
        <v>154504338</v>
      </c>
      <c r="K102" s="335">
        <f>K103+K107+K143+K146</f>
        <v>0</v>
      </c>
      <c r="L102" s="335">
        <f>L103+L107+L143+L146</f>
        <v>154504338</v>
      </c>
    </row>
    <row r="103" spans="1:13" ht="63" x14ac:dyDescent="0.2">
      <c r="A103" s="107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03" s="108"/>
      <c r="C103" s="104"/>
      <c r="D103" s="105" t="s">
        <v>1134</v>
      </c>
      <c r="E103" s="104"/>
      <c r="F103" s="106"/>
      <c r="G103" s="335">
        <v>2000000</v>
      </c>
      <c r="H103" s="335">
        <f t="shared" ref="H103:L105" si="61">H104</f>
        <v>0</v>
      </c>
      <c r="I103" s="335">
        <f t="shared" si="61"/>
        <v>2000000</v>
      </c>
      <c r="J103" s="335">
        <v>2000000</v>
      </c>
      <c r="K103" s="335">
        <f t="shared" ref="K103:K104" si="62">K104</f>
        <v>0</v>
      </c>
      <c r="L103" s="335">
        <f t="shared" ref="L103:L104" si="63">L104</f>
        <v>2000000</v>
      </c>
    </row>
    <row r="104" spans="1:13" ht="31.5" x14ac:dyDescent="0.2">
      <c r="A104" s="107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IF(B104&gt;0,VLOOKUP(B104,КВСР!A53:B1218,2),IF(C104&gt;0,VLOOKUP(C104,КФСР!A53:B1565,2),IF(D104&gt;0,VLOOKUP(D104,Программа!A$1:B$5124,2),IF(F104&gt;0,VLOOKUP(F104,КВР!A$1:B$5001,2),IF(E104&gt;0,VLOOKUP(E104,Направление!A$1:B$4816,2))))))</f>
        <v>Повышение уровня благоустройства территорий</v>
      </c>
      <c r="B104" s="108"/>
      <c r="C104" s="104"/>
      <c r="D104" s="105" t="s">
        <v>1152</v>
      </c>
      <c r="E104" s="104"/>
      <c r="F104" s="106"/>
      <c r="G104" s="335">
        <v>2000000</v>
      </c>
      <c r="H104" s="335">
        <f t="shared" si="61"/>
        <v>0</v>
      </c>
      <c r="I104" s="335">
        <f t="shared" si="61"/>
        <v>2000000</v>
      </c>
      <c r="J104" s="335">
        <v>2000000</v>
      </c>
      <c r="K104" s="335">
        <f t="shared" si="62"/>
        <v>0</v>
      </c>
      <c r="L104" s="335">
        <f t="shared" si="63"/>
        <v>2000000</v>
      </c>
    </row>
    <row r="105" spans="1:13" ht="47.25" x14ac:dyDescent="0.2">
      <c r="A105" s="107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IF(B105&gt;0,VLOOKUP(B105,КВСР!A54:B1219,2),IF(C105&gt;0,VLOOKUP(C105,КФСР!A54:B1566,2),IF(D105&gt;0,VLOOKUP(D105,Программа!A$1:B$5124,2),IF(F105&gt;0,VLOOKUP(F105,КВР!A$1:B$5001,2),IF(E105&gt;0,VLOOKUP(E105,Направление!A$1:B$4816,2))))))</f>
        <v>Обеспечение мероприятий по формированию современной городской среды</v>
      </c>
      <c r="B105" s="108"/>
      <c r="C105" s="104"/>
      <c r="D105" s="105"/>
      <c r="E105" s="104">
        <v>29456</v>
      </c>
      <c r="F105" s="106"/>
      <c r="G105" s="335">
        <v>2000000</v>
      </c>
      <c r="H105" s="335">
        <f t="shared" si="61"/>
        <v>0</v>
      </c>
      <c r="I105" s="335">
        <f t="shared" si="61"/>
        <v>2000000</v>
      </c>
      <c r="J105" s="335">
        <v>2000000</v>
      </c>
      <c r="K105" s="335">
        <f t="shared" si="61"/>
        <v>0</v>
      </c>
      <c r="L105" s="335">
        <f t="shared" si="61"/>
        <v>2000000</v>
      </c>
    </row>
    <row r="106" spans="1:13" ht="63" x14ac:dyDescent="0.2">
      <c r="A106" s="107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08"/>
      <c r="C106" s="104"/>
      <c r="D106" s="105"/>
      <c r="E106" s="104"/>
      <c r="F106" s="106">
        <v>200</v>
      </c>
      <c r="G106" s="335">
        <v>2000000</v>
      </c>
      <c r="H106" s="335"/>
      <c r="I106" s="335">
        <f>G106+H106</f>
        <v>2000000</v>
      </c>
      <c r="J106" s="335">
        <v>2000000</v>
      </c>
      <c r="K106" s="266"/>
      <c r="L106" s="266">
        <f>J106+K106</f>
        <v>2000000</v>
      </c>
      <c r="M106"/>
    </row>
    <row r="107" spans="1:13" ht="47.25" x14ac:dyDescent="0.2">
      <c r="A107" s="107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IF(B107&gt;0,VLOOKUP(B107,КВСР!A52:B1217,2),IF(C107&gt;0,VLOOKUP(C107,КФСР!A52:B1564,2),IF(D107&gt;0,VLOOKUP(D107,Программа!A$1:B$5124,2),IF(F107&gt;0,VLOOKUP(F107,КВР!A$1:B$5001,2),IF(E107&gt;0,VLOOKUP(E107,Направление!A$1:B$4816,2))))))</f>
        <v>Муниципальная программа "Развитие дорожного хозяйства в Тутаевском муниципальном районе"</v>
      </c>
      <c r="B107" s="108"/>
      <c r="C107" s="104"/>
      <c r="D107" s="105" t="s">
        <v>1409</v>
      </c>
      <c r="E107" s="104"/>
      <c r="F107" s="106"/>
      <c r="G107" s="335">
        <v>258440368</v>
      </c>
      <c r="H107" s="335">
        <f>H108+H111+H138+H135</f>
        <v>-101790000</v>
      </c>
      <c r="I107" s="335">
        <f>I108+I111+I138+I135</f>
        <v>156650368</v>
      </c>
      <c r="J107" s="335">
        <f>J108+J111+J138+J135</f>
        <v>152504338</v>
      </c>
      <c r="K107" s="335">
        <f>K108+K111+K138+K135</f>
        <v>0</v>
      </c>
      <c r="L107" s="335">
        <f>L108+L111+L138+L135</f>
        <v>152504338</v>
      </c>
    </row>
    <row r="108" spans="1:13" ht="47.25" x14ac:dyDescent="0.2">
      <c r="A108" s="107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IF(B108&gt;0,VLOOKUP(B108,КВСР!A53:B1218,2),IF(C108&gt;0,VLOOKUP(C108,КФСР!A53:B1565,2),IF(D108&gt;0,VLOOKUP(D108,Программа!A$1:B$5124,2),IF(F108&gt;0,VLOOKUP(F108,КВР!A$1:B$5001,2),IF(E108&gt;0,VLOOKUP(E108,Направление!A$1:B$4816,2))))))</f>
        <v>Реализация мероприятий по повышению безопасности дорожного движения на автомобильных дорогах</v>
      </c>
      <c r="B108" s="108"/>
      <c r="C108" s="104"/>
      <c r="D108" s="105" t="s">
        <v>1410</v>
      </c>
      <c r="E108" s="104"/>
      <c r="F108" s="106"/>
      <c r="G108" s="335">
        <v>1800000</v>
      </c>
      <c r="H108" s="335">
        <f t="shared" ref="H108:I109" si="64">H109</f>
        <v>0</v>
      </c>
      <c r="I108" s="335">
        <f t="shared" si="64"/>
        <v>1800000</v>
      </c>
      <c r="J108" s="335">
        <v>2000000</v>
      </c>
      <c r="K108" s="335">
        <f t="shared" ref="K108:K109" si="65">K109</f>
        <v>0</v>
      </c>
      <c r="L108" s="335">
        <f t="shared" ref="L108:L109" si="66">L109</f>
        <v>2000000</v>
      </c>
    </row>
    <row r="109" spans="1:13" ht="47.25" x14ac:dyDescent="0.2">
      <c r="A109" s="107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IF(B109&gt;0,VLOOKUP(B109,КВСР!A55:B1220,2),IF(C109&gt;0,VLOOKUP(C109,КФСР!A55:B1567,2),IF(D109&gt;0,VLOOKUP(D109,Программа!A$1:B$5124,2),IF(F109&gt;0,VLOOKUP(F109,КВР!A$1:B$5001,2),IF(E109&gt;0,VLOOKUP(E109,Направление!A$1:B$4816,2))))))</f>
        <v>Обеспечение   мероприятий в области  дорожного хозяйства  по повышению безопасности дорожного движения</v>
      </c>
      <c r="B109" s="108"/>
      <c r="C109" s="104"/>
      <c r="D109" s="105"/>
      <c r="E109" s="104">
        <v>29096</v>
      </c>
      <c r="F109" s="106"/>
      <c r="G109" s="335">
        <v>1800000</v>
      </c>
      <c r="H109" s="335">
        <f t="shared" si="64"/>
        <v>0</v>
      </c>
      <c r="I109" s="335">
        <f t="shared" si="64"/>
        <v>1800000</v>
      </c>
      <c r="J109" s="335">
        <v>2000000</v>
      </c>
      <c r="K109" s="335">
        <f t="shared" si="65"/>
        <v>0</v>
      </c>
      <c r="L109" s="335">
        <f t="shared" si="66"/>
        <v>2000000</v>
      </c>
    </row>
    <row r="110" spans="1:13" ht="63" x14ac:dyDescent="0.2">
      <c r="A110" s="107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08"/>
      <c r="C110" s="104"/>
      <c r="D110" s="105"/>
      <c r="E110" s="104"/>
      <c r="F110" s="106">
        <v>200</v>
      </c>
      <c r="G110" s="335">
        <v>1800000</v>
      </c>
      <c r="H110" s="335"/>
      <c r="I110" s="335">
        <f t="shared" si="9"/>
        <v>1800000</v>
      </c>
      <c r="J110" s="335">
        <v>2000000</v>
      </c>
      <c r="K110" s="266"/>
      <c r="L110" s="266">
        <f t="shared" ref="L110:L161" si="67">SUM(J110:K110)</f>
        <v>2000000</v>
      </c>
    </row>
    <row r="111" spans="1:13" ht="78.75" x14ac:dyDescent="0.2">
      <c r="A111" s="107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08"/>
      <c r="C111" s="104"/>
      <c r="D111" s="105" t="s">
        <v>1411</v>
      </c>
      <c r="E111" s="104"/>
      <c r="F111" s="106"/>
      <c r="G111" s="335">
        <v>104405368</v>
      </c>
      <c r="H111" s="335">
        <f>H112+H115+H117+H122+H125+H129+H131+H120+H133</f>
        <v>0</v>
      </c>
      <c r="I111" s="335">
        <f>I112+I115+I117+I122+I125+I129+I131+I120+I133</f>
        <v>104405368</v>
      </c>
      <c r="J111" s="335">
        <v>106059338</v>
      </c>
      <c r="K111" s="335">
        <f>K112+K115+K117+K122+K125+K129+K131+K120+K133</f>
        <v>0</v>
      </c>
      <c r="L111" s="335">
        <f>L112+L115+L117+L122+L125+L129+L131+L120+L133</f>
        <v>106059338</v>
      </c>
    </row>
    <row r="112" spans="1:13" ht="31.5" x14ac:dyDescent="0.2">
      <c r="A112" s="107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IF(B112&gt;0,VLOOKUP(B112,КВСР!A59:B1224,2),IF(C112&gt;0,VLOOKUP(C112,КФСР!A59:B1571,2),IF(D112&gt;0,VLOOKUP(D112,Программа!A$1:B$5124,2),IF(F112&gt;0,VLOOKUP(F112,КВР!A$1:B$5001,2),IF(E112&gt;0,VLOOKUP(E112,Направление!A$1:B$4816,2))))))</f>
        <v>Содержание и ремонт  автомобильных дорог общего пользования</v>
      </c>
      <c r="B112" s="108"/>
      <c r="C112" s="104"/>
      <c r="D112" s="105"/>
      <c r="E112" s="104">
        <v>10200</v>
      </c>
      <c r="F112" s="106"/>
      <c r="G112" s="335">
        <v>24300930</v>
      </c>
      <c r="H112" s="335">
        <f t="shared" ref="H112:I112" si="68">H114+H113</f>
        <v>0</v>
      </c>
      <c r="I112" s="335">
        <f t="shared" si="68"/>
        <v>24300930</v>
      </c>
      <c r="J112" s="335">
        <v>25385150</v>
      </c>
      <c r="K112" s="335">
        <f>K114+K113</f>
        <v>0</v>
      </c>
      <c r="L112" s="335">
        <f t="shared" ref="L112" si="69">L114+L113</f>
        <v>25385150</v>
      </c>
    </row>
    <row r="113" spans="1:12" ht="63" x14ac:dyDescent="0.2">
      <c r="A113" s="107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IF(B113&gt;0,VLOOKUP(B113,КВСР!A60:B1225,2),IF(C113&gt;0,VLOOKUP(C113,КФСР!A60:B1572,2),IF(D113&gt;0,VLOOKUP(D113,Программа!A$1:B$5124,2),IF(F113&gt;0,VLOOKUP(F113,КВР!A$1:B$5001,2),IF(E113&gt;0,VLOOKUP(E113,Направление!A$1:B$4816,2))))))</f>
        <v xml:space="preserve">Закупка товаров, работ и услуг для обеспечения государственных (муниципальных) нужд
</v>
      </c>
      <c r="B113" s="108"/>
      <c r="C113" s="104"/>
      <c r="D113" s="105"/>
      <c r="E113" s="104"/>
      <c r="F113" s="106">
        <v>200</v>
      </c>
      <c r="G113" s="335">
        <v>24300930</v>
      </c>
      <c r="H113" s="335"/>
      <c r="I113" s="335">
        <f>SUM(G113:H113)</f>
        <v>24300930</v>
      </c>
      <c r="J113" s="335">
        <v>25385150</v>
      </c>
      <c r="K113" s="266"/>
      <c r="L113" s="266">
        <f t="shared" si="67"/>
        <v>25385150</v>
      </c>
    </row>
    <row r="114" spans="1:12" ht="47.25" x14ac:dyDescent="0.2">
      <c r="A114" s="107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IF(B114&gt;0,VLOOKUP(B114,КВСР!A60:B1225,2),IF(C114&gt;0,VLOOKUP(C114,КФСР!A60:B1572,2),IF(D114&gt;0,VLOOKUP(D114,Программа!A$1:B$5124,2),IF(F114&gt;0,VLOOKUP(F114,КВР!A$1:B$5001,2),IF(E114&gt;0,VLOOKUP(E114,Направление!A$1:B$4816,2))))))</f>
        <v>Предоставление субсидий бюджетным, автономным учреждениям и иным некоммерческим организациям</v>
      </c>
      <c r="B114" s="108"/>
      <c r="C114" s="104"/>
      <c r="D114" s="105"/>
      <c r="E114" s="104"/>
      <c r="F114" s="106">
        <v>600</v>
      </c>
      <c r="G114" s="335">
        <v>0</v>
      </c>
      <c r="H114" s="335"/>
      <c r="I114" s="335">
        <f>SUM(G114:H114)</f>
        <v>0</v>
      </c>
      <c r="J114" s="335">
        <v>0</v>
      </c>
      <c r="K114" s="266"/>
      <c r="L114" s="266">
        <f t="shared" si="67"/>
        <v>0</v>
      </c>
    </row>
    <row r="115" spans="1:12" ht="63" x14ac:dyDescent="0.2">
      <c r="A115" s="107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08"/>
      <c r="C115" s="104"/>
      <c r="D115" s="105"/>
      <c r="E115" s="104">
        <v>12440</v>
      </c>
      <c r="F115" s="106"/>
      <c r="G115" s="335">
        <v>570000</v>
      </c>
      <c r="H115" s="335">
        <f>H116</f>
        <v>0</v>
      </c>
      <c r="I115" s="335">
        <f t="shared" ref="I115:L115" si="70">I116</f>
        <v>570000</v>
      </c>
      <c r="J115" s="335">
        <v>570000</v>
      </c>
      <c r="K115" s="335">
        <f t="shared" si="70"/>
        <v>0</v>
      </c>
      <c r="L115" s="335">
        <f t="shared" si="70"/>
        <v>570000</v>
      </c>
    </row>
    <row r="116" spans="1:12" ht="63" x14ac:dyDescent="0.2">
      <c r="A116" s="107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IF(B116&gt;0,VLOOKUP(B116,КВСР!A62:B1227,2),IF(C116&gt;0,VLOOKUP(C116,КФСР!A62:B1574,2),IF(D116&gt;0,VLOOKUP(D116,Программа!A$1:B$5124,2),IF(F116&gt;0,VLOOKUP(F116,КВР!A$1:B$5001,2),IF(E116&gt;0,VLOOKUP(E116,Направление!A$1:B$4816,2))))))</f>
        <v xml:space="preserve">Закупка товаров, работ и услуг для обеспечения государственных (муниципальных) нужд
</v>
      </c>
      <c r="B116" s="108"/>
      <c r="C116" s="104"/>
      <c r="D116" s="105"/>
      <c r="E116" s="104"/>
      <c r="F116" s="106">
        <v>200</v>
      </c>
      <c r="G116" s="335">
        <v>570000</v>
      </c>
      <c r="H116" s="335"/>
      <c r="I116" s="335">
        <f t="shared" ref="I116:I128" si="71">SUM(G116:H116)</f>
        <v>570000</v>
      </c>
      <c r="J116" s="335">
        <v>570000</v>
      </c>
      <c r="K116" s="266"/>
      <c r="L116" s="266">
        <f t="shared" si="67"/>
        <v>570000</v>
      </c>
    </row>
    <row r="117" spans="1:12" ht="63" x14ac:dyDescent="0.2">
      <c r="A117" s="107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08"/>
      <c r="C117" s="104"/>
      <c r="D117" s="105"/>
      <c r="E117" s="104">
        <v>22446</v>
      </c>
      <c r="F117" s="106"/>
      <c r="G117" s="335">
        <v>731700</v>
      </c>
      <c r="H117" s="335">
        <f>H118+H119</f>
        <v>0</v>
      </c>
      <c r="I117" s="335">
        <f>SUM(G117:H117)</f>
        <v>731700</v>
      </c>
      <c r="J117" s="335">
        <v>731700</v>
      </c>
      <c r="K117" s="335">
        <f>K118+K119</f>
        <v>0</v>
      </c>
      <c r="L117" s="335">
        <f>SUM(J117:K117)</f>
        <v>731700</v>
      </c>
    </row>
    <row r="118" spans="1:12" ht="63" x14ac:dyDescent="0.2">
      <c r="A118" s="107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IF(B118&gt;0,VLOOKUP(B118,КВСР!A64:B1229,2),IF(C118&gt;0,VLOOKUP(C118,КФСР!A64:B1576,2),IF(D118&gt;0,VLOOKUP(D118,Программа!A$1:B$5124,2),IF(F118&gt;0,VLOOKUP(F118,КВР!A$1:B$5001,2),IF(E118&gt;0,VLOOKUP(E118,Направление!A$1:B$4816,2))))))</f>
        <v xml:space="preserve">Закупка товаров, работ и услуг для обеспечения государственных (муниципальных) нужд
</v>
      </c>
      <c r="B118" s="108"/>
      <c r="C118" s="104"/>
      <c r="D118" s="105"/>
      <c r="E118" s="104"/>
      <c r="F118" s="106">
        <v>200</v>
      </c>
      <c r="G118" s="335">
        <v>731700</v>
      </c>
      <c r="H118" s="335"/>
      <c r="I118" s="335">
        <f>G118+H118</f>
        <v>731700</v>
      </c>
      <c r="J118" s="335">
        <v>731700</v>
      </c>
      <c r="K118" s="266"/>
      <c r="L118" s="266">
        <f>J118+K118</f>
        <v>731700</v>
      </c>
    </row>
    <row r="119" spans="1:12" ht="47.25" x14ac:dyDescent="0.2">
      <c r="A119" s="107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IF(B119&gt;0,VLOOKUP(B119,КВСР!A65:B1230,2),IF(C119&gt;0,VLOOKUP(C119,КФСР!A65:B1577,2),IF(D119&gt;0,VLOOKUP(D119,Программа!A$1:B$5124,2),IF(F119&gt;0,VLOOKUP(F119,КВР!A$1:B$5001,2),IF(E119&gt;0,VLOOKUP(E119,Направление!A$1:B$4816,2))))))</f>
        <v>Предоставление субсидий бюджетным, автономным учреждениям и иным некоммерческим организациям</v>
      </c>
      <c r="B119" s="108"/>
      <c r="C119" s="104"/>
      <c r="D119" s="105"/>
      <c r="E119" s="104"/>
      <c r="F119" s="106">
        <v>600</v>
      </c>
      <c r="G119" s="335">
        <v>0</v>
      </c>
      <c r="H119" s="335"/>
      <c r="I119" s="335">
        <f>SUM(G119:H119)</f>
        <v>0</v>
      </c>
      <c r="J119" s="335">
        <v>0</v>
      </c>
      <c r="K119" s="266"/>
      <c r="L119" s="266">
        <f>SUM(J119:K119)</f>
        <v>0</v>
      </c>
    </row>
    <row r="120" spans="1:12" ht="78.75" x14ac:dyDescent="0.2">
      <c r="A120" s="107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08"/>
      <c r="C120" s="104"/>
      <c r="D120" s="105"/>
      <c r="E120" s="104">
        <v>27356</v>
      </c>
      <c r="F120" s="106"/>
      <c r="G120" s="335">
        <v>1004000</v>
      </c>
      <c r="H120" s="335">
        <f t="shared" ref="H120:L120" si="72">H121</f>
        <v>0</v>
      </c>
      <c r="I120" s="335">
        <f t="shared" si="72"/>
        <v>1004000</v>
      </c>
      <c r="J120" s="335">
        <v>1004000</v>
      </c>
      <c r="K120" s="335">
        <f t="shared" si="72"/>
        <v>0</v>
      </c>
      <c r="L120" s="335">
        <f t="shared" si="72"/>
        <v>1004000</v>
      </c>
    </row>
    <row r="121" spans="1:12" ht="63" x14ac:dyDescent="0.2">
      <c r="A121" s="107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IF(B121&gt;0,VLOOKUP(B121,КВСР!A67:B1232,2),IF(C121&gt;0,VLOOKUP(C121,КФСР!A67:B1579,2),IF(D121&gt;0,VLOOKUP(D121,Программа!A$1:B$5124,2),IF(F121&gt;0,VLOOKUP(F121,КВР!A$1:B$5001,2),IF(E121&gt;0,VLOOKUP(E121,Направление!A$1:B$4816,2))))))</f>
        <v xml:space="preserve">Закупка товаров, работ и услуг для обеспечения государственных (муниципальных) нужд
</v>
      </c>
      <c r="B121" s="108"/>
      <c r="C121" s="104"/>
      <c r="D121" s="105"/>
      <c r="E121" s="104"/>
      <c r="F121" s="106">
        <v>200</v>
      </c>
      <c r="G121" s="335">
        <v>1004000</v>
      </c>
      <c r="H121" s="335"/>
      <c r="I121" s="335">
        <f t="shared" ref="I121" si="73">SUM(G121:H121)</f>
        <v>1004000</v>
      </c>
      <c r="J121" s="335">
        <v>1004000</v>
      </c>
      <c r="K121" s="266"/>
      <c r="L121" s="266">
        <f t="shared" ref="L121" si="74">SUM(J121:K121)</f>
        <v>1004000</v>
      </c>
    </row>
    <row r="122" spans="1:12" ht="47.25" x14ac:dyDescent="0.2">
      <c r="A122" s="107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IF(B122&gt;0,VLOOKUP(B122,КВСР!A63:B1228,2),IF(C122&gt;0,VLOOKUP(C122,КФСР!A63:B1575,2),IF(D122&gt;0,VLOOKUP(D122,Программа!A$1:B$5124,2),IF(F122&gt;0,VLOOKUP(F122,КВР!A$1:B$5001,2),IF(E122&gt;0,VLOOKUP(E122,Направление!A$1:B$4816,2))))))</f>
        <v>Обеспечение   мероприятий в области  дорожного хозяйства  на  ремонт и содержание автомобильных дорог</v>
      </c>
      <c r="B122" s="108"/>
      <c r="C122" s="104"/>
      <c r="D122" s="105"/>
      <c r="E122" s="104">
        <v>29086</v>
      </c>
      <c r="F122" s="106"/>
      <c r="G122" s="335">
        <v>7900000</v>
      </c>
      <c r="H122" s="335">
        <f>H124+H123</f>
        <v>0</v>
      </c>
      <c r="I122" s="335">
        <f>SUM(G122:H122)</f>
        <v>7900000</v>
      </c>
      <c r="J122" s="252">
        <v>8400000</v>
      </c>
      <c r="K122" s="252">
        <f>K124+K123</f>
        <v>0</v>
      </c>
      <c r="L122" s="266">
        <f>SUM(J122:K122)</f>
        <v>8400000</v>
      </c>
    </row>
    <row r="123" spans="1:12" ht="63" x14ac:dyDescent="0.2">
      <c r="A123" s="107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08"/>
      <c r="C123" s="104"/>
      <c r="D123" s="105"/>
      <c r="E123" s="104"/>
      <c r="F123" s="106">
        <v>200</v>
      </c>
      <c r="G123" s="335">
        <v>7900000</v>
      </c>
      <c r="H123" s="335"/>
      <c r="I123" s="335">
        <f>SUM(G123:H123)</f>
        <v>7900000</v>
      </c>
      <c r="J123" s="252">
        <v>8400000</v>
      </c>
      <c r="K123" s="252"/>
      <c r="L123" s="266">
        <f>SUM(J123:K123)</f>
        <v>8400000</v>
      </c>
    </row>
    <row r="124" spans="1:12" ht="47.25" x14ac:dyDescent="0.2">
      <c r="A124" s="107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IF(B124&gt;0,VLOOKUP(B124,КВСР!A64:B1229,2),IF(C124&gt;0,VLOOKUP(C124,КФСР!A64:B1576,2),IF(D124&gt;0,VLOOKUP(D124,Программа!A$1:B$5124,2),IF(F124&gt;0,VLOOKUP(F124,КВР!A$1:B$5001,2),IF(E124&gt;0,VLOOKUP(E124,Направление!A$1:B$4816,2))))))</f>
        <v>Предоставление субсидий бюджетным, автономным учреждениям и иным некоммерческим организациям</v>
      </c>
      <c r="B124" s="108"/>
      <c r="C124" s="104"/>
      <c r="D124" s="105"/>
      <c r="E124" s="104"/>
      <c r="F124" s="106">
        <v>600</v>
      </c>
      <c r="G124" s="335">
        <v>0</v>
      </c>
      <c r="H124" s="335"/>
      <c r="I124" s="335">
        <f t="shared" si="71"/>
        <v>0</v>
      </c>
      <c r="J124" s="335">
        <v>0</v>
      </c>
      <c r="K124" s="266"/>
      <c r="L124" s="266">
        <f t="shared" si="67"/>
        <v>0</v>
      </c>
    </row>
    <row r="125" spans="1:12" ht="31.5" x14ac:dyDescent="0.2">
      <c r="A125" s="107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IF(B125&gt;0,VLOOKUP(B125,КВСР!A65:B1230,2),IF(C125&gt;0,VLOOKUP(C125,КФСР!A65:B1577,2),IF(D125&gt;0,VLOOKUP(D125,Программа!A$1:B$5124,2),IF(F125&gt;0,VLOOKUP(F125,КВР!A$1:B$5001,2),IF(E125&gt;0,VLOOKUP(E125,Направление!A$1:B$4816,2))))))</f>
        <v>Содержание и организация деятельности дорожного хозяйства</v>
      </c>
      <c r="B125" s="108"/>
      <c r="C125" s="104"/>
      <c r="D125" s="105"/>
      <c r="E125" s="104">
        <v>29696</v>
      </c>
      <c r="F125" s="106"/>
      <c r="G125" s="335">
        <v>26155330</v>
      </c>
      <c r="H125" s="335">
        <f>H126+H127+H128</f>
        <v>0</v>
      </c>
      <c r="I125" s="335">
        <f t="shared" ref="I125:L125" si="75">I126+I127+I128</f>
        <v>26155330</v>
      </c>
      <c r="J125" s="335">
        <v>26225080</v>
      </c>
      <c r="K125" s="335">
        <f t="shared" si="75"/>
        <v>0</v>
      </c>
      <c r="L125" s="335">
        <f t="shared" si="75"/>
        <v>26225080</v>
      </c>
    </row>
    <row r="126" spans="1:12" ht="110.25" x14ac:dyDescent="0.2">
      <c r="A126" s="107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08"/>
      <c r="C126" s="104"/>
      <c r="D126" s="105"/>
      <c r="E126" s="104"/>
      <c r="F126" s="106">
        <v>100</v>
      </c>
      <c r="G126" s="335">
        <v>13457030</v>
      </c>
      <c r="H126" s="335"/>
      <c r="I126" s="335">
        <f t="shared" si="71"/>
        <v>13457030</v>
      </c>
      <c r="J126" s="335">
        <v>12738731</v>
      </c>
      <c r="K126" s="266"/>
      <c r="L126" s="266">
        <f t="shared" si="67"/>
        <v>12738731</v>
      </c>
    </row>
    <row r="127" spans="1:12" ht="51" customHeight="1" x14ac:dyDescent="0.2">
      <c r="A127" s="107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IF(B127&gt;0,VLOOKUP(B127,КВСР!A67:B1232,2),IF(C127&gt;0,VLOOKUP(C127,КФСР!A67:B1579,2),IF(D127&gt;0,VLOOKUP(D127,Программа!A$1:B$5124,2),IF(F127&gt;0,VLOOKUP(F127,КВР!A$1:B$5001,2),IF(E127&gt;0,VLOOKUP(E127,Направление!A$1:B$4816,2))))))</f>
        <v xml:space="preserve">Закупка товаров, работ и услуг для обеспечения государственных (муниципальных) нужд
</v>
      </c>
      <c r="B127" s="108"/>
      <c r="C127" s="104"/>
      <c r="D127" s="105"/>
      <c r="E127" s="104"/>
      <c r="F127" s="106">
        <v>200</v>
      </c>
      <c r="G127" s="335">
        <v>12593300</v>
      </c>
      <c r="H127" s="335"/>
      <c r="I127" s="335">
        <f t="shared" si="71"/>
        <v>12593300</v>
      </c>
      <c r="J127" s="335">
        <v>13381349</v>
      </c>
      <c r="K127" s="266"/>
      <c r="L127" s="266">
        <f t="shared" si="67"/>
        <v>13381349</v>
      </c>
    </row>
    <row r="128" spans="1:12" ht="15.75" x14ac:dyDescent="0.2">
      <c r="A128" s="107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IF(B128&gt;0,VLOOKUP(B128,КВСР!A68:B1233,2),IF(C128&gt;0,VLOOKUP(C128,КФСР!A68:B1580,2),IF(D128&gt;0,VLOOKUP(D128,Программа!A$1:B$5124,2),IF(F128&gt;0,VLOOKUP(F128,КВР!A$1:B$5001,2),IF(E128&gt;0,VLOOKUP(E128,Направление!A$1:B$4816,2))))))</f>
        <v>Иные бюджетные ассигнования</v>
      </c>
      <c r="B128" s="108"/>
      <c r="C128" s="104"/>
      <c r="D128" s="105"/>
      <c r="E128" s="104"/>
      <c r="F128" s="106">
        <v>800</v>
      </c>
      <c r="G128" s="335">
        <v>105000</v>
      </c>
      <c r="H128" s="335"/>
      <c r="I128" s="335">
        <f t="shared" si="71"/>
        <v>105000</v>
      </c>
      <c r="J128" s="335">
        <v>105000</v>
      </c>
      <c r="K128" s="266"/>
      <c r="L128" s="266">
        <f t="shared" si="67"/>
        <v>105000</v>
      </c>
    </row>
    <row r="129" spans="1:12" ht="31.5" x14ac:dyDescent="0.2">
      <c r="A129" s="107" t="s">
        <v>1220</v>
      </c>
      <c r="B129" s="108"/>
      <c r="C129" s="104"/>
      <c r="D129" s="105"/>
      <c r="E129" s="104">
        <v>72440</v>
      </c>
      <c r="F129" s="106"/>
      <c r="G129" s="335">
        <v>0</v>
      </c>
      <c r="H129" s="335">
        <f t="shared" ref="H129:L129" si="76">H130</f>
        <v>10771487</v>
      </c>
      <c r="I129" s="335">
        <f t="shared" si="76"/>
        <v>10771487</v>
      </c>
      <c r="J129" s="335">
        <v>0</v>
      </c>
      <c r="K129" s="335">
        <f t="shared" si="76"/>
        <v>10771487</v>
      </c>
      <c r="L129" s="335">
        <f t="shared" si="76"/>
        <v>10771487</v>
      </c>
    </row>
    <row r="130" spans="1:12" ht="50.25" customHeight="1" x14ac:dyDescent="0.2">
      <c r="A130" s="107" t="str">
        <f>IF(B130&gt;0,VLOOKUP(B130,КВСР!A70:B1235,2),IF(C130&gt;0,VLOOKUP(C130,КФСР!A70:B1582,2),IF(D130&gt;0,VLOOKUP(D130,Программа!A$1:B$5124,2),IF(F130&gt;0,VLOOKUP(F130,КВР!A$1:B$5001,2),IF(E130&gt;0,VLOOKUP(E130,Направление!A$1:B$4816,2))))))</f>
        <v xml:space="preserve">Закупка товаров, работ и услуг для обеспечения государственных (муниципальных) нужд
</v>
      </c>
      <c r="B130" s="108"/>
      <c r="C130" s="104"/>
      <c r="D130" s="105"/>
      <c r="E130" s="104"/>
      <c r="F130" s="106">
        <v>200</v>
      </c>
      <c r="G130" s="335">
        <v>0</v>
      </c>
      <c r="H130" s="335">
        <v>10771487</v>
      </c>
      <c r="I130" s="335">
        <f>G130+H130</f>
        <v>10771487</v>
      </c>
      <c r="J130" s="335">
        <v>0</v>
      </c>
      <c r="K130" s="266">
        <v>10771487</v>
      </c>
      <c r="L130" s="266">
        <f>J130+K130</f>
        <v>10771487</v>
      </c>
    </row>
    <row r="131" spans="1:12" ht="50.25" customHeight="1" x14ac:dyDescent="0.2">
      <c r="A131" s="107" t="str">
        <f>IF(B131&gt;0,VLOOKUP(B131,КВСР!A71:B1236,2),IF(C131&gt;0,VLOOKUP(C131,КФСР!A71:B1583,2),IF(D131&gt;0,VLOOKUP(D131,Программа!A$1:B$5124,2),IF(F131&gt;0,VLOOKUP(F131,КВР!A$1:B$5001,2),IF(E131&gt;0,VLOOKUP(E131,Направление!A$1:B$4816,2))))))</f>
        <v>Расходы на финансирование дорожного хозяйства за счет средств областного бюджета</v>
      </c>
      <c r="B131" s="108"/>
      <c r="C131" s="104"/>
      <c r="D131" s="105"/>
      <c r="E131" s="104">
        <v>72446</v>
      </c>
      <c r="F131" s="106"/>
      <c r="G131" s="335">
        <v>24673351</v>
      </c>
      <c r="H131" s="335">
        <f t="shared" ref="H131:L131" si="77">H132</f>
        <v>-10771487</v>
      </c>
      <c r="I131" s="335">
        <f t="shared" si="77"/>
        <v>13901864</v>
      </c>
      <c r="J131" s="335">
        <v>24673351</v>
      </c>
      <c r="K131" s="335">
        <f t="shared" si="77"/>
        <v>-10771487</v>
      </c>
      <c r="L131" s="335">
        <f t="shared" si="77"/>
        <v>13901864</v>
      </c>
    </row>
    <row r="132" spans="1:12" ht="50.25" customHeight="1" x14ac:dyDescent="0.2">
      <c r="A132" s="107" t="str">
        <f>IF(B132&gt;0,VLOOKUP(B132,КВСР!A72:B1237,2),IF(C132&gt;0,VLOOKUP(C132,КФСР!A72:B1584,2),IF(D132&gt;0,VLOOKUP(D132,Программа!A$1:B$5124,2),IF(F132&gt;0,VLOOKUP(F132,КВР!A$1:B$5001,2),IF(E132&gt;0,VLOOKUP(E132,Направление!A$1:B$4816,2))))))</f>
        <v xml:space="preserve">Закупка товаров, работ и услуг для обеспечения государственных (муниципальных) нужд
</v>
      </c>
      <c r="B132" s="108"/>
      <c r="C132" s="104"/>
      <c r="D132" s="105"/>
      <c r="E132" s="104"/>
      <c r="F132" s="757">
        <v>200</v>
      </c>
      <c r="G132" s="335">
        <v>24673351</v>
      </c>
      <c r="H132" s="335">
        <v>-10771487</v>
      </c>
      <c r="I132" s="335">
        <f>G132+H132</f>
        <v>13901864</v>
      </c>
      <c r="J132" s="335">
        <v>24673351</v>
      </c>
      <c r="K132" s="266">
        <v>-10771487</v>
      </c>
      <c r="L132" s="266">
        <f>J132+K132</f>
        <v>13901864</v>
      </c>
    </row>
    <row r="133" spans="1:12" ht="80.25" customHeight="1" x14ac:dyDescent="0.2">
      <c r="A133" s="107" t="str">
        <f>IF(B133&gt;0,VLOOKUP(B133,КВСР!A75:B1240,2),IF(C133&gt;0,VLOOKUP(C133,КФСР!A75:B1587,2),IF(D133&gt;0,VLOOKUP(D133,Программа!A$1:B$5124,2),IF(F133&gt;0,VLOOKUP(F133,КВР!A$1:B$5001,2),IF(E133&gt;0,VLOOKUP(E133,Направление!A$1:B$4816,2))))))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33" s="108"/>
      <c r="C133" s="104"/>
      <c r="D133" s="105"/>
      <c r="E133" s="757">
        <v>77356</v>
      </c>
      <c r="F133" s="106"/>
      <c r="G133" s="335">
        <v>19070057</v>
      </c>
      <c r="H133" s="335">
        <f t="shared" ref="H133:L133" si="78">H134</f>
        <v>0</v>
      </c>
      <c r="I133" s="335">
        <f t="shared" si="78"/>
        <v>19070057</v>
      </c>
      <c r="J133" s="335">
        <v>19070057</v>
      </c>
      <c r="K133" s="335">
        <f t="shared" si="78"/>
        <v>0</v>
      </c>
      <c r="L133" s="335">
        <f t="shared" si="78"/>
        <v>19070057</v>
      </c>
    </row>
    <row r="134" spans="1:12" ht="49.9" customHeight="1" x14ac:dyDescent="0.2">
      <c r="A134" s="107" t="str">
        <f>IF(B134&gt;0,VLOOKUP(B134,КВСР!A76:B1241,2),IF(C134&gt;0,VLOOKUP(C134,КФСР!A76:B1588,2),IF(D134&gt;0,VLOOKUP(D134,Программа!A$1:B$5124,2),IF(F134&gt;0,VLOOKUP(F134,КВР!A$1:B$5001,2),IF(E134&gt;0,VLOOKUP(E134,Направление!A$1:B$4816,2))))))</f>
        <v xml:space="preserve">Закупка товаров, работ и услуг для обеспечения государственных (муниципальных) нужд
</v>
      </c>
      <c r="B134" s="108"/>
      <c r="C134" s="104"/>
      <c r="D134" s="105"/>
      <c r="E134" s="104"/>
      <c r="F134" s="106">
        <v>200</v>
      </c>
      <c r="G134" s="335">
        <v>19070057</v>
      </c>
      <c r="H134" s="335"/>
      <c r="I134" s="335">
        <f t="shared" ref="I134" si="79">G134+H134</f>
        <v>19070057</v>
      </c>
      <c r="J134" s="335">
        <v>19070057</v>
      </c>
      <c r="K134" s="266"/>
      <c r="L134" s="266">
        <f t="shared" ref="L134" si="80">J134+K134</f>
        <v>19070057</v>
      </c>
    </row>
    <row r="135" spans="1:12" ht="78.75" x14ac:dyDescent="0.2">
      <c r="A135" s="107" t="str">
        <f>IF(B135&gt;0,VLOOKUP(B135,КВСР!A77:B1242,2),IF(C135&gt;0,VLOOKUP(C135,КФСР!A77:B1589,2),IF(D135&gt;0,VLOOKUP(D135,Программа!A$1:B$5124,2),IF(F135&gt;0,VLOOKUP(F135,КВР!A$1:B$5001,2),IF(E135&gt;0,VLOOKUP(E135,Направление!A$1:B$4816,2))))))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35" s="108"/>
      <c r="C135" s="104"/>
      <c r="D135" s="105" t="s">
        <v>1574</v>
      </c>
      <c r="E135" s="104"/>
      <c r="F135" s="106"/>
      <c r="G135" s="335">
        <v>107790000</v>
      </c>
      <c r="H135" s="335">
        <f t="shared" ref="H135:L136" si="81">H136</f>
        <v>-101790000</v>
      </c>
      <c r="I135" s="335">
        <f t="shared" si="81"/>
        <v>6000000</v>
      </c>
      <c r="J135" s="335">
        <f t="shared" si="81"/>
        <v>0</v>
      </c>
      <c r="K135" s="335">
        <f t="shared" si="81"/>
        <v>0</v>
      </c>
      <c r="L135" s="335">
        <f t="shared" si="81"/>
        <v>0</v>
      </c>
    </row>
    <row r="136" spans="1:12" ht="94.5" x14ac:dyDescent="0.2">
      <c r="A136" s="107" t="str">
        <f>IF(B136&gt;0,VLOOKUP(B136,КВСР!A78:B1243,2),IF(C136&gt;0,VLOOKUP(C136,КФСР!A78:B1590,2),IF(D136&gt;0,VLOOKUP(D136,Программа!A$1:B$5124,2),IF(F136&gt;0,VLOOKUP(F136,КВР!A$1:B$5001,2),IF(E136&gt;0,VLOOKUP(E136,Направление!A$1:B$4816,2))))))</f>
        <v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v>
      </c>
      <c r="B136" s="108"/>
      <c r="C136" s="104"/>
      <c r="D136" s="105"/>
      <c r="E136" s="757">
        <v>76516</v>
      </c>
      <c r="F136" s="106"/>
      <c r="G136" s="335">
        <v>107790000</v>
      </c>
      <c r="H136" s="335">
        <f t="shared" si="81"/>
        <v>-101790000</v>
      </c>
      <c r="I136" s="335">
        <f t="shared" si="81"/>
        <v>6000000</v>
      </c>
      <c r="J136" s="335">
        <f t="shared" si="81"/>
        <v>0</v>
      </c>
      <c r="K136" s="335">
        <f t="shared" si="81"/>
        <v>0</v>
      </c>
      <c r="L136" s="335">
        <f t="shared" si="81"/>
        <v>0</v>
      </c>
    </row>
    <row r="137" spans="1:12" ht="47.25" x14ac:dyDescent="0.2">
      <c r="A137" s="107" t="s">
        <v>372</v>
      </c>
      <c r="B137" s="108"/>
      <c r="C137" s="104"/>
      <c r="D137" s="105"/>
      <c r="E137" s="104"/>
      <c r="F137" s="106">
        <v>400</v>
      </c>
      <c r="G137" s="335">
        <v>107790000</v>
      </c>
      <c r="H137" s="335">
        <v>-101790000</v>
      </c>
      <c r="I137" s="335">
        <f>SUM(G137:H137)</f>
        <v>6000000</v>
      </c>
      <c r="J137" s="335">
        <v>0</v>
      </c>
      <c r="K137" s="266">
        <v>0</v>
      </c>
      <c r="L137" s="266">
        <f>SUM(J137:K137)</f>
        <v>0</v>
      </c>
    </row>
    <row r="138" spans="1:12" ht="31.5" x14ac:dyDescent="0.2">
      <c r="A138" s="107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IF(B138&gt;0,VLOOKUP(B138,КВСР!A69:B1234,2),IF(C138&gt;0,VLOOKUP(C138,КФСР!A69:B1581,2),IF(D138&gt;0,VLOOKUP(D138,Программа!A$1:B$5124,2),IF(F138&gt;0,VLOOKUP(F138,КВР!A$1:B$5001,2),IF(E138&gt;0,VLOOKUP(E138,Направление!A$1:B$4816,2))))))</f>
        <v>Реализация федерального проекта "Дорожная сеть"</v>
      </c>
      <c r="B138" s="108"/>
      <c r="C138" s="104"/>
      <c r="D138" s="106" t="s">
        <v>1412</v>
      </c>
      <c r="E138" s="106"/>
      <c r="F138" s="106"/>
      <c r="G138" s="340">
        <v>44445000</v>
      </c>
      <c r="H138" s="335">
        <f t="shared" ref="H138:L138" si="82">H139+H141</f>
        <v>0</v>
      </c>
      <c r="I138" s="335">
        <f t="shared" si="82"/>
        <v>44445000</v>
      </c>
      <c r="J138" s="335">
        <v>44445000</v>
      </c>
      <c r="K138" s="335">
        <f t="shared" si="82"/>
        <v>0</v>
      </c>
      <c r="L138" s="335">
        <f t="shared" si="82"/>
        <v>44445000</v>
      </c>
    </row>
    <row r="139" spans="1:12" ht="94.5" x14ac:dyDescent="0.2">
      <c r="A139" s="107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08"/>
      <c r="C139" s="104"/>
      <c r="D139" s="105"/>
      <c r="E139" s="104">
        <v>23936</v>
      </c>
      <c r="F139" s="106"/>
      <c r="G139" s="340">
        <v>4445000</v>
      </c>
      <c r="H139" s="335">
        <f t="shared" ref="H139:L139" si="83">H140</f>
        <v>0</v>
      </c>
      <c r="I139" s="335">
        <f t="shared" si="83"/>
        <v>4445000</v>
      </c>
      <c r="J139" s="335">
        <v>4445000</v>
      </c>
      <c r="K139" s="335">
        <f t="shared" si="83"/>
        <v>0</v>
      </c>
      <c r="L139" s="335">
        <f t="shared" si="83"/>
        <v>4445000</v>
      </c>
    </row>
    <row r="140" spans="1:12" ht="63" x14ac:dyDescent="0.2">
      <c r="A140" s="107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IF(B140&gt;0,VLOOKUP(B140,КВСР!A71:B1236,2),IF(C140&gt;0,VLOOKUP(C140,КФСР!A71:B1583,2),IF(D140&gt;0,VLOOKUP(D140,Программа!A$1:B$5124,2),IF(F140&gt;0,VLOOKUP(F140,КВР!A$1:B$5001,2),IF(E140&gt;0,VLOOKUP(E140,Направление!A$1:B$4816,2))))))</f>
        <v xml:space="preserve">Закупка товаров, работ и услуг для обеспечения государственных (муниципальных) нужд
</v>
      </c>
      <c r="B140" s="108"/>
      <c r="C140" s="104"/>
      <c r="D140" s="105"/>
      <c r="E140" s="104"/>
      <c r="F140" s="106">
        <v>200</v>
      </c>
      <c r="G140" s="335">
        <v>4445000</v>
      </c>
      <c r="H140" s="335"/>
      <c r="I140" s="335">
        <f>G140+H140</f>
        <v>4445000</v>
      </c>
      <c r="J140" s="335">
        <v>4445000</v>
      </c>
      <c r="K140" s="266"/>
      <c r="L140" s="266">
        <f t="shared" si="67"/>
        <v>4445000</v>
      </c>
    </row>
    <row r="141" spans="1:12" ht="94.5" x14ac:dyDescent="0.2">
      <c r="A141" s="107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08"/>
      <c r="C141" s="104"/>
      <c r="D141" s="105"/>
      <c r="E141" s="104">
        <v>73936</v>
      </c>
      <c r="F141" s="106"/>
      <c r="G141" s="256">
        <v>40000000</v>
      </c>
      <c r="H141" s="266">
        <f t="shared" ref="H141:I141" si="84">H142</f>
        <v>0</v>
      </c>
      <c r="I141" s="266">
        <f t="shared" si="84"/>
        <v>40000000</v>
      </c>
      <c r="J141" s="266">
        <v>40000000</v>
      </c>
      <c r="K141" s="266">
        <f>K142</f>
        <v>0</v>
      </c>
      <c r="L141" s="266">
        <f t="shared" si="67"/>
        <v>40000000</v>
      </c>
    </row>
    <row r="142" spans="1:12" ht="63" x14ac:dyDescent="0.2">
      <c r="A142" s="107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IF(B142&gt;0,VLOOKUP(B142,КВСР!A73:B1238,2),IF(C142&gt;0,VLOOKUP(C142,КФСР!A73:B1585,2),IF(D142&gt;0,VLOOKUP(D142,Программа!A$1:B$5124,2),IF(F142&gt;0,VLOOKUP(F142,КВР!A$1:B$5001,2),IF(E142&gt;0,VLOOKUP(E142,Направление!A$1:B$4816,2))))))</f>
        <v xml:space="preserve">Закупка товаров, работ и услуг для обеспечения государственных (муниципальных) нужд
</v>
      </c>
      <c r="B142" s="108"/>
      <c r="C142" s="104"/>
      <c r="D142" s="105"/>
      <c r="E142" s="104"/>
      <c r="F142" s="106">
        <v>200</v>
      </c>
      <c r="G142" s="335">
        <v>40000000</v>
      </c>
      <c r="H142" s="335"/>
      <c r="I142" s="335">
        <f>SUM(G142:H142)</f>
        <v>40000000</v>
      </c>
      <c r="J142" s="335">
        <v>40000000</v>
      </c>
      <c r="K142" s="266"/>
      <c r="L142" s="266">
        <f>SUM(J142:K142)</f>
        <v>40000000</v>
      </c>
    </row>
    <row r="143" spans="1:12" ht="15.75" x14ac:dyDescent="0.2">
      <c r="A143" s="107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IF(B143&gt;0,VLOOKUP(B143,КВСР!A74:B1239,2),IF(C143&gt;0,VLOOKUP(C143,КФСР!A74:B1586,2),IF(D143&gt;0,VLOOKUP(D143,Программа!A$1:B$5124,2),IF(F143&gt;0,VLOOKUP(F143,КВР!A$1:B$5001,2),IF(E143&gt;0,VLOOKUP(E143,Направление!A$1:B$4816,2))))))</f>
        <v>Непрограммные расходы бюджета</v>
      </c>
      <c r="B143" s="108"/>
      <c r="C143" s="104"/>
      <c r="D143" s="105" t="s">
        <v>311</v>
      </c>
      <c r="E143" s="104"/>
      <c r="F143" s="106"/>
      <c r="G143" s="335">
        <v>0</v>
      </c>
      <c r="H143" s="335">
        <f t="shared" ref="H143:H144" si="85">H144</f>
        <v>0</v>
      </c>
      <c r="I143" s="335">
        <f t="shared" ref="I143:I144" si="86">I144</f>
        <v>0</v>
      </c>
      <c r="J143" s="335">
        <v>0</v>
      </c>
      <c r="K143" s="335">
        <f t="shared" ref="K143:K144" si="87">K144</f>
        <v>0</v>
      </c>
      <c r="L143" s="335">
        <f t="shared" ref="L143:L144" si="88">L144</f>
        <v>0</v>
      </c>
    </row>
    <row r="144" spans="1:12" ht="110.25" x14ac:dyDescent="0.2">
      <c r="A144" s="107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08"/>
      <c r="C144" s="104"/>
      <c r="D144" s="105"/>
      <c r="E144" s="104">
        <v>26936</v>
      </c>
      <c r="F144" s="106"/>
      <c r="G144" s="335">
        <v>0</v>
      </c>
      <c r="H144" s="335">
        <f t="shared" si="85"/>
        <v>0</v>
      </c>
      <c r="I144" s="335">
        <f t="shared" si="86"/>
        <v>0</v>
      </c>
      <c r="J144" s="335">
        <v>0</v>
      </c>
      <c r="K144" s="335">
        <f t="shared" si="87"/>
        <v>0</v>
      </c>
      <c r="L144" s="335">
        <f t="shared" si="88"/>
        <v>0</v>
      </c>
    </row>
    <row r="145" spans="1:12" ht="63" x14ac:dyDescent="0.2">
      <c r="A145" s="107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IF(B145&gt;0,VLOOKUP(B145,КВСР!A76:B1241,2),IF(C145&gt;0,VLOOKUP(C145,КФСР!A76:B1588,2),IF(D145&gt;0,VLOOKUP(D145,Программа!A$1:B$5124,2),IF(F145&gt;0,VLOOKUP(F145,КВР!A$1:B$5001,2),IF(E145&gt;0,VLOOKUP(E145,Направление!A$1:B$4816,2))))))</f>
        <v xml:space="preserve">Закупка товаров, работ и услуг для обеспечения государственных (муниципальных) нужд
</v>
      </c>
      <c r="B145" s="108"/>
      <c r="C145" s="104"/>
      <c r="D145" s="105"/>
      <c r="E145" s="104"/>
      <c r="F145" s="106">
        <v>200</v>
      </c>
      <c r="G145" s="335">
        <v>0</v>
      </c>
      <c r="H145" s="335"/>
      <c r="I145" s="335">
        <f>G145+H145</f>
        <v>0</v>
      </c>
      <c r="J145" s="335"/>
      <c r="K145" s="266"/>
      <c r="L145" s="266"/>
    </row>
    <row r="146" spans="1:12" ht="31.5" x14ac:dyDescent="0.2">
      <c r="A146" s="107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IF(B146&gt;0,VLOOKUP(B146,КВСР!A77:B1242,2),IF(C146&gt;0,VLOOKUP(C146,КФСР!A77:B1589,2),IF(D146&gt;0,VLOOKUP(D146,Программа!A$1:B$5124,2),IF(F146&gt;0,VLOOKUP(F146,КВР!A$1:B$5001,2),IF(E146&gt;0,VLOOKUP(E146,Направление!A$1:B$4816,2))))))</f>
        <v>Межбюджетные трансферты  поселениям района</v>
      </c>
      <c r="B146" s="108"/>
      <c r="C146" s="104"/>
      <c r="D146" s="105" t="s">
        <v>478</v>
      </c>
      <c r="E146" s="104"/>
      <c r="F146" s="106"/>
      <c r="G146" s="335">
        <v>0</v>
      </c>
      <c r="H146" s="335">
        <f>H147</f>
        <v>0</v>
      </c>
      <c r="I146" s="335">
        <f t="shared" ref="I146:L147" si="89">I147</f>
        <v>0</v>
      </c>
      <c r="J146" s="335">
        <v>0</v>
      </c>
      <c r="K146" s="335">
        <f t="shared" si="89"/>
        <v>0</v>
      </c>
      <c r="L146" s="335">
        <f t="shared" si="89"/>
        <v>0</v>
      </c>
    </row>
    <row r="147" spans="1:12" ht="126" x14ac:dyDescent="0.2">
      <c r="A147" s="107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08"/>
      <c r="C147" s="104"/>
      <c r="D147" s="105"/>
      <c r="E147" s="104">
        <v>10052</v>
      </c>
      <c r="F147" s="106"/>
      <c r="G147" s="335">
        <v>0</v>
      </c>
      <c r="H147" s="335">
        <f>H148</f>
        <v>0</v>
      </c>
      <c r="I147" s="335">
        <f t="shared" si="89"/>
        <v>0</v>
      </c>
      <c r="J147" s="335">
        <v>0</v>
      </c>
      <c r="K147" s="335">
        <f t="shared" si="89"/>
        <v>0</v>
      </c>
      <c r="L147" s="335">
        <f t="shared" si="89"/>
        <v>0</v>
      </c>
    </row>
    <row r="148" spans="1:12" ht="15.75" x14ac:dyDescent="0.2">
      <c r="A148" s="107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IF(B148&gt;0,VLOOKUP(B148,КВСР!A79:B1244,2),IF(C148&gt;0,VLOOKUP(C148,КФСР!A79:B1591,2),IF(D148&gt;0,VLOOKUP(D148,Программа!A$1:B$5124,2),IF(F148&gt;0,VLOOKUP(F148,КВР!A$1:B$5001,2),IF(E148&gt;0,VLOOKUP(E148,Направление!A$1:B$4816,2))))))</f>
        <v xml:space="preserve"> Межбюджетные трансферты</v>
      </c>
      <c r="B148" s="108"/>
      <c r="C148" s="104"/>
      <c r="D148" s="105"/>
      <c r="E148" s="104"/>
      <c r="F148" s="106">
        <v>500</v>
      </c>
      <c r="G148" s="335">
        <v>0</v>
      </c>
      <c r="H148" s="335"/>
      <c r="I148" s="335">
        <f>G148+H148</f>
        <v>0</v>
      </c>
      <c r="J148" s="335">
        <v>0</v>
      </c>
      <c r="K148" s="266"/>
      <c r="L148" s="266">
        <f>J148+K148</f>
        <v>0</v>
      </c>
    </row>
    <row r="149" spans="1:12" ht="31.5" x14ac:dyDescent="0.2">
      <c r="A149" s="107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IF(B149&gt;0,VLOOKUP(B149,КВСР!A74:B1239,2),IF(C149&gt;0,VLOOKUP(C149,КФСР!A74:B1586,2),IF(D149&gt;0,VLOOKUP(D149,Программа!A$1:B$5124,2),IF(F149&gt;0,VLOOKUP(F149,КВР!A$1:B$5001,2),IF(E149&gt;0,VLOOKUP(E149,Направление!A$1:B$4816,2))))))</f>
        <v>Другие вопросы в области национальной экономики</v>
      </c>
      <c r="B149" s="108"/>
      <c r="C149" s="104">
        <v>412</v>
      </c>
      <c r="D149" s="105"/>
      <c r="E149" s="104"/>
      <c r="F149" s="106"/>
      <c r="G149" s="335">
        <v>0</v>
      </c>
      <c r="H149" s="335">
        <f t="shared" ref="H149:H155" si="90">H150</f>
        <v>0</v>
      </c>
      <c r="I149" s="335">
        <f t="shared" ref="I149:I155" si="91">I150</f>
        <v>0</v>
      </c>
      <c r="J149" s="335">
        <v>0</v>
      </c>
      <c r="K149" s="335">
        <f t="shared" ref="K149:L151" si="92">K150</f>
        <v>0</v>
      </c>
      <c r="L149" s="335">
        <f t="shared" si="92"/>
        <v>0</v>
      </c>
    </row>
    <row r="150" spans="1:12" ht="94.5" x14ac:dyDescent="0.2">
      <c r="A150" s="107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08"/>
      <c r="C150" s="104"/>
      <c r="D150" s="105" t="s">
        <v>337</v>
      </c>
      <c r="E150" s="104"/>
      <c r="F150" s="106"/>
      <c r="G150" s="335">
        <v>0</v>
      </c>
      <c r="H150" s="335">
        <f t="shared" si="90"/>
        <v>0</v>
      </c>
      <c r="I150" s="335">
        <f t="shared" si="91"/>
        <v>0</v>
      </c>
      <c r="J150" s="335">
        <v>0</v>
      </c>
      <c r="K150" s="335">
        <f t="shared" si="92"/>
        <v>0</v>
      </c>
      <c r="L150" s="335">
        <f t="shared" si="92"/>
        <v>0</v>
      </c>
    </row>
    <row r="151" spans="1:12" ht="47.25" x14ac:dyDescent="0.2">
      <c r="A151" s="107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IF(B151&gt;0,VLOOKUP(B151,КВСР!A76:B1241,2),IF(C151&gt;0,VLOOKUP(C151,КФСР!A76:B1588,2),IF(D151&gt;0,VLOOKUP(D151,Программа!A$1:B$5124,2),IF(F151&gt;0,VLOOKUP(F151,КВР!A$1:B$5001,2),IF(E151&gt;0,VLOOKUP(E151,Направление!A$1:B$4816,2))))))</f>
        <v>Муниципальная целевая программа "Развитие потребительского рынка Тутаевского муниципального района "</v>
      </c>
      <c r="B151" s="108"/>
      <c r="C151" s="104"/>
      <c r="D151" s="105" t="s">
        <v>353</v>
      </c>
      <c r="E151" s="104"/>
      <c r="F151" s="106"/>
      <c r="G151" s="335">
        <v>0</v>
      </c>
      <c r="H151" s="335">
        <f t="shared" si="90"/>
        <v>0</v>
      </c>
      <c r="I151" s="335">
        <f t="shared" si="91"/>
        <v>0</v>
      </c>
      <c r="J151" s="335">
        <v>0</v>
      </c>
      <c r="K151" s="335">
        <f t="shared" si="92"/>
        <v>0</v>
      </c>
      <c r="L151" s="335">
        <f t="shared" si="92"/>
        <v>0</v>
      </c>
    </row>
    <row r="152" spans="1:12" ht="47.25" x14ac:dyDescent="0.2">
      <c r="A152" s="107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IF(B152&gt;0,VLOOKUP(B152,КВСР!A77:B1242,2),IF(C152&gt;0,VLOOKUP(C152,КФСР!A77:B1589,2),IF(D152&gt;0,VLOOKUP(D152,Программа!A$1:B$5124,2),IF(F152&gt;0,VLOOKUP(F152,КВР!A$1:B$5001,2),IF(E152&gt;0,VLOOKUP(E152,Направление!A$1:B$4816,2))))))</f>
        <v>Обеспечение доступности товаров для сельского населения путем оказания государственной поддержки</v>
      </c>
      <c r="B152" s="108"/>
      <c r="C152" s="104"/>
      <c r="D152" s="105" t="s">
        <v>355</v>
      </c>
      <c r="E152" s="104"/>
      <c r="F152" s="106"/>
      <c r="G152" s="335">
        <v>0</v>
      </c>
      <c r="H152" s="335">
        <f t="shared" ref="H152:I152" si="93">H155+H153</f>
        <v>0</v>
      </c>
      <c r="I152" s="335">
        <f t="shared" si="93"/>
        <v>0</v>
      </c>
      <c r="J152" s="335">
        <v>0</v>
      </c>
      <c r="K152" s="335">
        <f t="shared" ref="K152" si="94">K155+K153</f>
        <v>0</v>
      </c>
      <c r="L152" s="335">
        <f t="shared" ref="L152" si="95">L155+L153</f>
        <v>0</v>
      </c>
    </row>
    <row r="153" spans="1:12" ht="94.5" x14ac:dyDescent="0.2">
      <c r="A153" s="107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08"/>
      <c r="C153" s="104"/>
      <c r="D153" s="105"/>
      <c r="E153" s="104">
        <v>12880</v>
      </c>
      <c r="F153" s="106"/>
      <c r="G153" s="335">
        <v>0</v>
      </c>
      <c r="H153" s="335">
        <f t="shared" ref="H153:L153" si="96">H154</f>
        <v>0</v>
      </c>
      <c r="I153" s="335">
        <f t="shared" si="96"/>
        <v>0</v>
      </c>
      <c r="J153" s="335">
        <v>0</v>
      </c>
      <c r="K153" s="335">
        <f t="shared" si="96"/>
        <v>0</v>
      </c>
      <c r="L153" s="335">
        <f t="shared" si="96"/>
        <v>0</v>
      </c>
    </row>
    <row r="154" spans="1:12" ht="15.75" x14ac:dyDescent="0.2">
      <c r="A154" s="107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IF(B154&gt;0,VLOOKUP(B154,КВСР!A79:B1244,2),IF(C154&gt;0,VLOOKUP(C154,КФСР!A79:B1591,2),IF(D154&gt;0,VLOOKUP(D154,Программа!A$1:B$5124,2),IF(F154&gt;0,VLOOKUP(F154,КВР!A$1:B$5001,2),IF(E154&gt;0,VLOOKUP(E154,Направление!A$1:B$4816,2))))))</f>
        <v>Иные бюджетные ассигнования</v>
      </c>
      <c r="B154" s="108"/>
      <c r="C154" s="104"/>
      <c r="D154" s="105"/>
      <c r="E154" s="104"/>
      <c r="F154" s="106">
        <v>800</v>
      </c>
      <c r="G154" s="335">
        <v>0</v>
      </c>
      <c r="H154" s="335"/>
      <c r="I154" s="335">
        <f>G154+H154</f>
        <v>0</v>
      </c>
      <c r="J154" s="335">
        <v>0</v>
      </c>
      <c r="K154" s="335"/>
      <c r="L154" s="335">
        <f>J154+K154</f>
        <v>0</v>
      </c>
    </row>
    <row r="155" spans="1:12" ht="94.5" x14ac:dyDescent="0.2">
      <c r="A155" s="107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IF(B155&gt;0,VLOOKUP(B155,КВСР!A78:B1243,2),IF(C155&gt;0,VLOOKUP(C155,КФСР!A78:B1590,2),IF(D155&gt;0,VLOOKUP(D155,Программа!A$1:B$5124,2),IF(F155&gt;0,VLOOKUP(F155,КВР!A$1:B$5001,2),IF(E155&gt;0,VLOOKUP(E155,Направление!A$1:B$4816,2))))))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08"/>
      <c r="C155" s="104"/>
      <c r="D155" s="105"/>
      <c r="E155" s="104">
        <v>72880</v>
      </c>
      <c r="F155" s="106"/>
      <c r="G155" s="335">
        <v>0</v>
      </c>
      <c r="H155" s="335">
        <f t="shared" si="90"/>
        <v>0</v>
      </c>
      <c r="I155" s="335">
        <f t="shared" si="91"/>
        <v>0</v>
      </c>
      <c r="J155" s="335">
        <v>0</v>
      </c>
      <c r="K155" s="335">
        <f t="shared" ref="K155" si="97">K156</f>
        <v>0</v>
      </c>
      <c r="L155" s="335">
        <f t="shared" ref="L155" si="98">L156</f>
        <v>0</v>
      </c>
    </row>
    <row r="156" spans="1:12" ht="15.75" x14ac:dyDescent="0.2">
      <c r="A156" s="107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IF(B156&gt;0,VLOOKUP(B156,КВСР!A79:B1244,2),IF(C156&gt;0,VLOOKUP(C156,КФСР!A79:B1591,2),IF(D156&gt;0,VLOOKUP(D156,Программа!A$1:B$5124,2),IF(F156&gt;0,VLOOKUP(F156,КВР!A$1:B$5001,2),IF(E156&gt;0,VLOOKUP(E156,Направление!A$1:B$4816,2))))))</f>
        <v>Иные бюджетные ассигнования</v>
      </c>
      <c r="B156" s="108"/>
      <c r="C156" s="104"/>
      <c r="D156" s="105"/>
      <c r="E156" s="104"/>
      <c r="F156" s="106">
        <v>800</v>
      </c>
      <c r="G156" s="335">
        <v>0</v>
      </c>
      <c r="H156" s="335"/>
      <c r="I156" s="335">
        <f>SUM(G156:H156)</f>
        <v>0</v>
      </c>
      <c r="J156" s="335">
        <v>0</v>
      </c>
      <c r="K156" s="266"/>
      <c r="L156" s="266">
        <f>SUM(J156:K156)</f>
        <v>0</v>
      </c>
    </row>
    <row r="157" spans="1:12" ht="15.75" x14ac:dyDescent="0.2">
      <c r="A157" s="107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IF(B157&gt;0,VLOOKUP(B157,КВСР!A61:B1226,2),IF(C157&gt;0,VLOOKUP(C157,КФСР!A61:B1573,2),IF(D157&gt;0,VLOOKUP(D157,Программа!A$1:B$5124,2),IF(F157&gt;0,VLOOKUP(F157,КВР!A$1:B$5001,2),IF(E157&gt;0,VLOOKUP(E157,Направление!A$1:B$4816,2))))))</f>
        <v>Жилищное хозяйство</v>
      </c>
      <c r="B157" s="108"/>
      <c r="C157" s="104">
        <v>501</v>
      </c>
      <c r="D157" s="105"/>
      <c r="E157" s="104"/>
      <c r="F157" s="106"/>
      <c r="G157" s="335">
        <v>500000</v>
      </c>
      <c r="H157" s="335">
        <f t="shared" ref="H157:I160" si="99">H158</f>
        <v>0</v>
      </c>
      <c r="I157" s="335">
        <f>SUM(G157:H157)</f>
        <v>500000</v>
      </c>
      <c r="J157" s="266">
        <v>500000</v>
      </c>
      <c r="K157" s="266">
        <f t="shared" ref="K157:L160" si="100">K158</f>
        <v>0</v>
      </c>
      <c r="L157" s="266">
        <f t="shared" si="100"/>
        <v>500000</v>
      </c>
    </row>
    <row r="158" spans="1:12" ht="63" x14ac:dyDescent="0.2">
      <c r="A158" s="107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08"/>
      <c r="C158" s="104"/>
      <c r="D158" s="105" t="s">
        <v>1414</v>
      </c>
      <c r="E158" s="104"/>
      <c r="F158" s="106"/>
      <c r="G158" s="335">
        <v>500000</v>
      </c>
      <c r="H158" s="335">
        <f t="shared" si="99"/>
        <v>0</v>
      </c>
      <c r="I158" s="335">
        <f t="shared" si="99"/>
        <v>500000</v>
      </c>
      <c r="J158" s="335">
        <v>500000</v>
      </c>
      <c r="K158" s="335">
        <f t="shared" si="100"/>
        <v>0</v>
      </c>
      <c r="L158" s="335">
        <f t="shared" si="100"/>
        <v>500000</v>
      </c>
    </row>
    <row r="159" spans="1:12" ht="47.25" x14ac:dyDescent="0.2">
      <c r="A159" s="107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IF(B159&gt;0,VLOOKUP(B159,КВСР!A64:B1229,2),IF(C159&gt;0,VLOOKUP(C159,КФСР!A64:B1576,2),IF(D159&gt;0,VLOOKUP(D159,Программа!A$1:B$5124,2),IF(F159&gt;0,VLOOKUP(F159,КВР!A$1:B$5001,2),IF(E159&gt;0,VLOOKUP(E159,Направление!A$1:B$4816,2))))))</f>
        <v xml:space="preserve">Реализация  мероприятий  по  развитию, ремонту и содержанию муниципального жилищного фонда   </v>
      </c>
      <c r="B159" s="108"/>
      <c r="C159" s="104"/>
      <c r="D159" s="105" t="s">
        <v>1416</v>
      </c>
      <c r="E159" s="104"/>
      <c r="F159" s="106"/>
      <c r="G159" s="335">
        <v>500000</v>
      </c>
      <c r="H159" s="335">
        <f t="shared" si="99"/>
        <v>0</v>
      </c>
      <c r="I159" s="335">
        <f t="shared" ref="I159:I160" si="101">SUM(G159:H159)</f>
        <v>500000</v>
      </c>
      <c r="J159" s="335">
        <v>500000</v>
      </c>
      <c r="K159" s="335">
        <f t="shared" si="100"/>
        <v>0</v>
      </c>
      <c r="L159" s="335">
        <f t="shared" si="100"/>
        <v>500000</v>
      </c>
    </row>
    <row r="160" spans="1:12" ht="63" x14ac:dyDescent="0.2">
      <c r="A160" s="107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160" s="108"/>
      <c r="C160" s="104"/>
      <c r="D160" s="105"/>
      <c r="E160" s="104">
        <v>29376</v>
      </c>
      <c r="F160" s="106"/>
      <c r="G160" s="335">
        <v>500000</v>
      </c>
      <c r="H160" s="335">
        <f t="shared" si="99"/>
        <v>0</v>
      </c>
      <c r="I160" s="335">
        <f t="shared" si="101"/>
        <v>500000</v>
      </c>
      <c r="J160" s="335">
        <v>500000</v>
      </c>
      <c r="K160" s="335">
        <f t="shared" si="100"/>
        <v>0</v>
      </c>
      <c r="L160" s="335">
        <f t="shared" si="100"/>
        <v>500000</v>
      </c>
    </row>
    <row r="161" spans="1:12" ht="63" x14ac:dyDescent="0.2">
      <c r="A161" s="107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IF(B161&gt;0,VLOOKUP(B161,КВСР!A66:B1231,2),IF(C161&gt;0,VLOOKUP(C161,КФСР!A66:B1578,2),IF(D161&gt;0,VLOOKUP(D161,Программа!A$1:B$5124,2),IF(F161&gt;0,VLOOKUP(F161,КВР!A$1:B$5001,2),IF(E161&gt;0,VLOOKUP(E161,Направление!A$1:B$4816,2))))))</f>
        <v xml:space="preserve">Закупка товаров, работ и услуг для обеспечения государственных (муниципальных) нужд
</v>
      </c>
      <c r="B161" s="108"/>
      <c r="C161" s="104"/>
      <c r="D161" s="105"/>
      <c r="E161" s="104"/>
      <c r="F161" s="106">
        <v>200</v>
      </c>
      <c r="G161" s="335">
        <v>500000</v>
      </c>
      <c r="H161" s="335"/>
      <c r="I161" s="335">
        <f>SUM(G161:H161)</f>
        <v>500000</v>
      </c>
      <c r="J161" s="335">
        <v>500000</v>
      </c>
      <c r="K161" s="266"/>
      <c r="L161" s="266">
        <f t="shared" si="67"/>
        <v>500000</v>
      </c>
    </row>
    <row r="162" spans="1:12" ht="15.75" x14ac:dyDescent="0.2">
      <c r="A162" s="107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IF(B162&gt;0,VLOOKUP(B162,КВСР!A61:B1226,2),IF(C162&gt;0,VLOOKUP(C162,КФСР!A61:B1573,2),IF(D162&gt;0,VLOOKUP(D162,Программа!A$1:B$5124,2),IF(F162&gt;0,VLOOKUP(F162,КВР!A$1:B$5001,2),IF(E162&gt;0,VLOOKUP(E162,Направление!A$1:B$4816,2))))))</f>
        <v>Коммунальное хозяйство</v>
      </c>
      <c r="B162" s="108"/>
      <c r="C162" s="104">
        <v>502</v>
      </c>
      <c r="D162" s="105"/>
      <c r="E162" s="104"/>
      <c r="F162" s="106"/>
      <c r="G162" s="335">
        <v>27363000</v>
      </c>
      <c r="H162" s="335">
        <f t="shared" ref="H162:L162" si="102">H163+H175</f>
        <v>-2500000</v>
      </c>
      <c r="I162" s="335">
        <f t="shared" si="102"/>
        <v>24863000</v>
      </c>
      <c r="J162" s="335">
        <v>2700000</v>
      </c>
      <c r="K162" s="335">
        <f t="shared" si="102"/>
        <v>0</v>
      </c>
      <c r="L162" s="335">
        <f t="shared" si="102"/>
        <v>2700000</v>
      </c>
    </row>
    <row r="163" spans="1:12" ht="63" x14ac:dyDescent="0.2">
      <c r="A163" s="107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08"/>
      <c r="C163" s="104"/>
      <c r="D163" s="105" t="s">
        <v>525</v>
      </c>
      <c r="E163" s="104"/>
      <c r="F163" s="106"/>
      <c r="G163" s="335">
        <v>24663000</v>
      </c>
      <c r="H163" s="335">
        <f t="shared" ref="H163:L163" si="103">H164</f>
        <v>0</v>
      </c>
      <c r="I163" s="335">
        <f t="shared" si="103"/>
        <v>24663000</v>
      </c>
      <c r="J163" s="335">
        <v>0</v>
      </c>
      <c r="K163" s="335">
        <f t="shared" si="103"/>
        <v>0</v>
      </c>
      <c r="L163" s="335">
        <f t="shared" si="103"/>
        <v>0</v>
      </c>
    </row>
    <row r="164" spans="1:12" ht="78.75" x14ac:dyDescent="0.2">
      <c r="A164" s="107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08"/>
      <c r="C164" s="104"/>
      <c r="D164" s="105" t="s">
        <v>554</v>
      </c>
      <c r="E164" s="104"/>
      <c r="F164" s="106"/>
      <c r="G164" s="335">
        <v>24663000</v>
      </c>
      <c r="H164" s="335">
        <f>H168+H165</f>
        <v>0</v>
      </c>
      <c r="I164" s="335">
        <f t="shared" ref="I164:I181" si="104">G164+H164</f>
        <v>24663000</v>
      </c>
      <c r="J164" s="335">
        <v>0</v>
      </c>
      <c r="K164" s="335">
        <f>K168</f>
        <v>0</v>
      </c>
      <c r="L164" s="335">
        <f>L168</f>
        <v>0</v>
      </c>
    </row>
    <row r="165" spans="1:12" ht="34.5" customHeight="1" x14ac:dyDescent="0.2">
      <c r="A165" s="751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IF(B165&gt;0,VLOOKUP(B165,КВСР!A64:B1229,2),IF(C165&gt;0,VLOOKUP(C165,КФСР!A64:B1576,2),IF(D165&gt;0,VLOOKUP(D165,Программа!A$1:B$5124,2),IF(F165&gt;0,VLOOKUP(F165,КВР!A$1:B$5001,2),IF(E165&gt;0,VLOOKUP(E165,Направление!A$1:B$4816,2))))))</f>
        <v xml:space="preserve">Модернизация объектов коммунального назначения с вводом их в эксплуатацию </v>
      </c>
      <c r="B165" s="752"/>
      <c r="C165" s="333"/>
      <c r="D165" s="753" t="s">
        <v>555</v>
      </c>
      <c r="E165" s="333"/>
      <c r="F165" s="393"/>
      <c r="G165" s="335">
        <v>10000000</v>
      </c>
      <c r="H165" s="335">
        <f t="shared" ref="H165:L166" si="105">H166</f>
        <v>0</v>
      </c>
      <c r="I165" s="335">
        <f t="shared" si="105"/>
        <v>10000000</v>
      </c>
      <c r="J165" s="335">
        <f t="shared" si="105"/>
        <v>0</v>
      </c>
      <c r="K165" s="335">
        <f t="shared" si="105"/>
        <v>0</v>
      </c>
      <c r="L165" s="335">
        <f t="shared" si="105"/>
        <v>0</v>
      </c>
    </row>
    <row r="166" spans="1:12" ht="66.75" customHeight="1" x14ac:dyDescent="0.2">
      <c r="A166" s="751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IF(B166&gt;0,VLOOKUP(B166,КВСР!A65:B1230,2),IF(C166&gt;0,VLOOKUP(C166,КФСР!A65:B1577,2),IF(D166&gt;0,VLOOKUP(D166,Программа!A$1:B$5124,2),IF(F166&gt;0,VLOOKUP(F166,КВР!A$1:B$5001,2),IF(E166&gt;0,VLOOKUP(E166,Направление!A$1:B$4816,2))))))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752"/>
      <c r="C166" s="333"/>
      <c r="D166" s="753"/>
      <c r="E166" s="333">
        <v>10090</v>
      </c>
      <c r="F166" s="393"/>
      <c r="G166" s="335">
        <v>10000000</v>
      </c>
      <c r="H166" s="335">
        <f t="shared" si="105"/>
        <v>0</v>
      </c>
      <c r="I166" s="335">
        <f t="shared" si="105"/>
        <v>10000000</v>
      </c>
      <c r="J166" s="335">
        <f t="shared" si="105"/>
        <v>0</v>
      </c>
      <c r="K166" s="335">
        <f t="shared" si="105"/>
        <v>0</v>
      </c>
      <c r="L166" s="335">
        <f t="shared" si="105"/>
        <v>0</v>
      </c>
    </row>
    <row r="167" spans="1:12" ht="63" x14ac:dyDescent="0.2">
      <c r="A167" s="751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IF(B167&gt;0,VLOOKUP(B167,КВСР!A66:B1231,2),IF(C167&gt;0,VLOOKUP(C167,КФСР!A66:B1578,2),IF(D167&gt;0,VLOOKUP(D167,Программа!A$1:B$5124,2),IF(F167&gt;0,VLOOKUP(F167,КВР!A$1:B$5001,2),IF(E167&gt;0,VLOOKUP(E167,Направление!A$1:B$4816,2))))))</f>
        <v xml:space="preserve">Закупка товаров, работ и услуг для обеспечения государственных (муниципальных) нужд
</v>
      </c>
      <c r="B167" s="752"/>
      <c r="C167" s="333"/>
      <c r="D167" s="753"/>
      <c r="E167" s="333"/>
      <c r="F167" s="393">
        <v>200</v>
      </c>
      <c r="G167" s="335">
        <v>10000000</v>
      </c>
      <c r="H167" s="335"/>
      <c r="I167" s="335">
        <f>G167+H167</f>
        <v>10000000</v>
      </c>
      <c r="J167" s="335"/>
      <c r="K167" s="335"/>
      <c r="L167" s="335">
        <f t="shared" ref="L167" si="106">L171</f>
        <v>0</v>
      </c>
    </row>
    <row r="168" spans="1:12" ht="78.75" x14ac:dyDescent="0.2">
      <c r="A168" s="107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08"/>
      <c r="C168" s="104"/>
      <c r="D168" s="105" t="s">
        <v>595</v>
      </c>
      <c r="E168" s="104"/>
      <c r="F168" s="106"/>
      <c r="G168" s="335">
        <v>14663000</v>
      </c>
      <c r="H168" s="335">
        <f>H169+H171+H173</f>
        <v>0</v>
      </c>
      <c r="I168" s="335">
        <f t="shared" ref="I168:K168" si="107">I169+I171+I173</f>
        <v>14663000</v>
      </c>
      <c r="J168" s="335">
        <v>0</v>
      </c>
      <c r="K168" s="335">
        <f t="shared" si="107"/>
        <v>0</v>
      </c>
      <c r="L168" s="335">
        <f t="shared" ref="L168" si="108">L173+L169+L171</f>
        <v>0</v>
      </c>
    </row>
    <row r="169" spans="1:12" ht="47.25" x14ac:dyDescent="0.2">
      <c r="A169" s="107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IF(B169&gt;0,VLOOKUP(B169,КВСР!A65:B1230,2),IF(C169&gt;0,VLOOKUP(C169,КФСР!A65:B1577,2),IF(D169&gt;0,VLOOKUP(D169,Программа!A$1:B$5124,2),IF(F169&gt;0,VLOOKUP(F169,КВР!A$1:B$5001,2),IF(E169&gt;0,VLOOKUP(E169,Направление!A$1:B$4816,2))))))</f>
        <v>Бюджетные инвестиции в объекты капитального строительства муниципальной собственности</v>
      </c>
      <c r="B169" s="108"/>
      <c r="C169" s="104"/>
      <c r="D169" s="105"/>
      <c r="E169" s="104">
        <v>10010</v>
      </c>
      <c r="F169" s="106"/>
      <c r="G169" s="335">
        <v>0</v>
      </c>
      <c r="H169" s="335">
        <f t="shared" ref="H169:L169" si="109">H170</f>
        <v>0</v>
      </c>
      <c r="I169" s="335">
        <f t="shared" si="104"/>
        <v>0</v>
      </c>
      <c r="J169" s="335">
        <v>0</v>
      </c>
      <c r="K169" s="335">
        <f t="shared" si="109"/>
        <v>0</v>
      </c>
      <c r="L169" s="335">
        <f t="shared" si="109"/>
        <v>0</v>
      </c>
    </row>
    <row r="170" spans="1:12" ht="47.25" x14ac:dyDescent="0.2">
      <c r="A170" s="107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IF(B170&gt;0,VLOOKUP(B170,КВСР!A66:B1231,2),IF(C170&gt;0,VLOOKUP(C170,КФСР!A66:B1578,2),IF(D170&gt;0,VLOOKUP(D170,Программа!A$1:B$5124,2),IF(F170&gt;0,VLOOKUP(F170,КВР!A$1:B$5001,2),IF(E170&gt;0,VLOOKUP(E170,Направление!A$1:B$4816,2))))))</f>
        <v>Капитальные вложения в объекты государственной (муниципальной) собственности</v>
      </c>
      <c r="B170" s="108"/>
      <c r="C170" s="104"/>
      <c r="D170" s="105"/>
      <c r="E170" s="104"/>
      <c r="F170" s="106">
        <v>400</v>
      </c>
      <c r="G170" s="335">
        <v>0</v>
      </c>
      <c r="H170" s="335"/>
      <c r="I170" s="335">
        <f t="shared" si="104"/>
        <v>0</v>
      </c>
      <c r="J170" s="335">
        <v>0</v>
      </c>
      <c r="K170" s="266"/>
      <c r="L170" s="266">
        <f t="shared" ref="L170:L181" si="110">J170+K170</f>
        <v>0</v>
      </c>
    </row>
    <row r="171" spans="1:12" ht="47.25" x14ac:dyDescent="0.2">
      <c r="A171" s="107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IF(B171&gt;0,VLOOKUP(B171,КВСР!A67:B1232,2),IF(C171&gt;0,VLOOKUP(C171,КФСР!A67:B1579,2),IF(D171&gt;0,VLOOKUP(D171,Программа!A$1:B$5124,2),IF(F171&gt;0,VLOOKUP(F171,КВР!A$1:B$5001,2),IF(E171&gt;0,VLOOKUP(E171,Направление!A$1:B$4816,2))))))</f>
        <v>Бюджетные инвестиции на строительство межпоселенческих газопроводов</v>
      </c>
      <c r="B171" s="108"/>
      <c r="C171" s="104"/>
      <c r="D171" s="105"/>
      <c r="E171" s="104">
        <v>15260</v>
      </c>
      <c r="F171" s="106"/>
      <c r="G171" s="335">
        <v>1500000</v>
      </c>
      <c r="H171" s="335">
        <f t="shared" ref="H171" si="111">H172</f>
        <v>0</v>
      </c>
      <c r="I171" s="335">
        <f t="shared" si="104"/>
        <v>1500000</v>
      </c>
      <c r="J171" s="335">
        <v>0</v>
      </c>
      <c r="K171" s="266">
        <f>K172</f>
        <v>0</v>
      </c>
      <c r="L171" s="266">
        <f>L172</f>
        <v>0</v>
      </c>
    </row>
    <row r="172" spans="1:12" ht="47.25" x14ac:dyDescent="0.2">
      <c r="A172" s="107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IF(B172&gt;0,VLOOKUP(B172,КВСР!A68:B1233,2),IF(C172&gt;0,VLOOKUP(C172,КФСР!A68:B1580,2),IF(D172&gt;0,VLOOKUP(D172,Программа!A$1:B$5124,2),IF(F172&gt;0,VLOOKUP(F172,КВР!A$1:B$5001,2),IF(E172&gt;0,VLOOKUP(E172,Направление!A$1:B$4816,2))))))</f>
        <v>Капитальные вложения в объекты государственной (муниципальной) собственности</v>
      </c>
      <c r="B172" s="108"/>
      <c r="C172" s="104"/>
      <c r="D172" s="105"/>
      <c r="E172" s="104"/>
      <c r="F172" s="106">
        <v>400</v>
      </c>
      <c r="G172" s="335">
        <v>1500000</v>
      </c>
      <c r="H172" s="335"/>
      <c r="I172" s="335">
        <f t="shared" si="104"/>
        <v>1500000</v>
      </c>
      <c r="J172" s="335">
        <v>0</v>
      </c>
      <c r="K172" s="266"/>
      <c r="L172" s="266">
        <f t="shared" si="110"/>
        <v>0</v>
      </c>
    </row>
    <row r="173" spans="1:12" ht="47.25" x14ac:dyDescent="0.2">
      <c r="A173" s="107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IF(B173&gt;0,VLOOKUP(B173,КВСР!A65:B1230,2),IF(C173&gt;0,VLOOKUP(C173,КФСР!A65:B1577,2),IF(D173&gt;0,VLOOKUP(D173,Программа!A$1:B$5124,2),IF(F173&gt;0,VLOOKUP(F173,КВР!A$1:B$5001,2),IF(E173&gt;0,VLOOKUP(E173,Направление!A$1:B$4816,2))))))</f>
        <v>Расходы на мероприятия по строительству межпоселеченских газопроводов</v>
      </c>
      <c r="B173" s="108"/>
      <c r="C173" s="104"/>
      <c r="D173" s="105"/>
      <c r="E173" s="104">
        <v>75260</v>
      </c>
      <c r="F173" s="106"/>
      <c r="G173" s="335">
        <v>13163000</v>
      </c>
      <c r="H173" s="335">
        <f t="shared" ref="H173" si="112">H174</f>
        <v>0</v>
      </c>
      <c r="I173" s="335">
        <f t="shared" si="104"/>
        <v>13163000</v>
      </c>
      <c r="J173" s="335">
        <v>0</v>
      </c>
      <c r="K173" s="266">
        <f>K174</f>
        <v>0</v>
      </c>
      <c r="L173" s="266">
        <f>L174</f>
        <v>0</v>
      </c>
    </row>
    <row r="174" spans="1:12" ht="47.25" x14ac:dyDescent="0.2">
      <c r="A174" s="107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IF(B174&gt;0,VLOOKUP(B174,КВСР!A66:B1231,2),IF(C174&gt;0,VLOOKUP(C174,КФСР!A66:B1578,2),IF(D174&gt;0,VLOOKUP(D174,Программа!A$1:B$5124,2),IF(F174&gt;0,VLOOKUP(F174,КВР!A$1:B$5001,2),IF(E174&gt;0,VLOOKUP(E174,Направление!A$1:B$4816,2))))))</f>
        <v>Капитальные вложения в объекты государственной (муниципальной) собственности</v>
      </c>
      <c r="B174" s="108"/>
      <c r="C174" s="104"/>
      <c r="D174" s="105"/>
      <c r="E174" s="104"/>
      <c r="F174" s="106">
        <v>400</v>
      </c>
      <c r="G174" s="335">
        <v>13163000</v>
      </c>
      <c r="H174" s="335"/>
      <c r="I174" s="335">
        <f t="shared" si="104"/>
        <v>13163000</v>
      </c>
      <c r="J174" s="335">
        <v>0</v>
      </c>
      <c r="K174" s="266"/>
      <c r="L174" s="266">
        <f t="shared" si="110"/>
        <v>0</v>
      </c>
    </row>
    <row r="175" spans="1:12" ht="15.75" x14ac:dyDescent="0.2">
      <c r="A175" s="107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IF(B175&gt;0,VLOOKUP(B175,КВСР!A67:B1232,2),IF(C175&gt;0,VLOOKUP(C175,КФСР!A67:B1579,2),IF(D175&gt;0,VLOOKUP(D175,Программа!A$1:B$5124,2),IF(F175&gt;0,VLOOKUP(F175,КВР!A$1:B$5001,2),IF(E175&gt;0,VLOOKUP(E175,Направление!A$1:B$4816,2))))))</f>
        <v>Непрограммные расходы бюджета</v>
      </c>
      <c r="B175" s="108"/>
      <c r="C175" s="104"/>
      <c r="D175" s="105" t="s">
        <v>311</v>
      </c>
      <c r="E175" s="104"/>
      <c r="F175" s="106"/>
      <c r="G175" s="335">
        <v>2700000</v>
      </c>
      <c r="H175" s="335">
        <f>H178+H180+H176</f>
        <v>-2500000</v>
      </c>
      <c r="I175" s="335">
        <f t="shared" ref="I175:L175" si="113">I178+I180+I176</f>
        <v>200000</v>
      </c>
      <c r="J175" s="335">
        <v>2700000</v>
      </c>
      <c r="K175" s="335">
        <f t="shared" si="113"/>
        <v>0</v>
      </c>
      <c r="L175" s="335">
        <f t="shared" si="113"/>
        <v>2700000</v>
      </c>
    </row>
    <row r="176" spans="1:12" ht="31.5" x14ac:dyDescent="0.2">
      <c r="A176" s="107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IF(B176&gt;0,VLOOKUP(B176,КВСР!A68:B1233,2),IF(C176&gt;0,VLOOKUP(C176,КФСР!A68:B1580,2),IF(D176&gt;0,VLOOKUP(D176,Программа!A$1:B$5124,2),IF(F176&gt;0,VLOOKUP(F176,КВР!A$1:B$5001,2),IF(E176&gt;0,VLOOKUP(E176,Направление!A$1:B$4816,2))))))</f>
        <v>Мероприятия по актуализации схем коммунальной инфраструктуры</v>
      </c>
      <c r="B176" s="108"/>
      <c r="C176" s="104"/>
      <c r="D176" s="105"/>
      <c r="E176" s="104">
        <v>10410</v>
      </c>
      <c r="F176" s="106"/>
      <c r="G176" s="335">
        <v>0</v>
      </c>
      <c r="H176" s="335">
        <f>H177</f>
        <v>0</v>
      </c>
      <c r="I176" s="335">
        <f>I177</f>
        <v>0</v>
      </c>
      <c r="J176" s="335">
        <v>0</v>
      </c>
      <c r="K176" s="335">
        <f>K177</f>
        <v>0</v>
      </c>
      <c r="L176" s="335">
        <f>L177</f>
        <v>0</v>
      </c>
    </row>
    <row r="177" spans="1:12" ht="63" x14ac:dyDescent="0.2">
      <c r="A177" s="107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IF(B177&gt;0,VLOOKUP(B177,КВСР!A69:B1234,2),IF(C177&gt;0,VLOOKUP(C177,КФСР!A69:B1581,2),IF(D177&gt;0,VLOOKUP(D177,Программа!A$1:B$5124,2),IF(F177&gt;0,VLOOKUP(F177,КВР!A$1:B$5001,2),IF(E177&gt;0,VLOOKUP(E177,Направление!A$1:B$4816,2))))))</f>
        <v xml:space="preserve">Закупка товаров, работ и услуг для обеспечения государственных (муниципальных) нужд
</v>
      </c>
      <c r="B177" s="108"/>
      <c r="C177" s="104"/>
      <c r="D177" s="105"/>
      <c r="E177" s="104"/>
      <c r="F177" s="106">
        <v>200</v>
      </c>
      <c r="G177" s="335">
        <v>0</v>
      </c>
      <c r="H177" s="335"/>
      <c r="I177" s="335">
        <f>G177+H177</f>
        <v>0</v>
      </c>
      <c r="J177" s="335">
        <v>0</v>
      </c>
      <c r="K177" s="335"/>
      <c r="L177" s="335">
        <f>J177+K177</f>
        <v>0</v>
      </c>
    </row>
    <row r="178" spans="1:12" ht="47.25" x14ac:dyDescent="0.2">
      <c r="A178" s="107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IF(B178&gt;0,VLOOKUP(B178,КВСР!A68:B1233,2),IF(C178&gt;0,VLOOKUP(C178,КФСР!A68:B1580,2),IF(D178&gt;0,VLOOKUP(D178,Программа!A$1:B$5124,2),IF(F178&gt;0,VLOOKUP(F178,КВР!A$1:B$5001,2),IF(E178&gt;0,VLOOKUP(E178,Направление!A$1:B$4816,2))))))</f>
        <v>Обеспечение мероприятий по актуализации схем коммунальной инфраструктуры</v>
      </c>
      <c r="B178" s="108"/>
      <c r="C178" s="104"/>
      <c r="D178" s="105"/>
      <c r="E178" s="104">
        <v>29536</v>
      </c>
      <c r="F178" s="106"/>
      <c r="G178" s="335">
        <v>200000</v>
      </c>
      <c r="H178" s="335">
        <f t="shared" ref="H178:I178" si="114">H179</f>
        <v>0</v>
      </c>
      <c r="I178" s="335">
        <f t="shared" si="114"/>
        <v>200000</v>
      </c>
      <c r="J178" s="335">
        <v>200000</v>
      </c>
      <c r="K178" s="335">
        <f t="shared" ref="K178" si="115">K179</f>
        <v>0</v>
      </c>
      <c r="L178" s="335">
        <f t="shared" ref="L178" si="116">L179</f>
        <v>200000</v>
      </c>
    </row>
    <row r="179" spans="1:12" ht="63" x14ac:dyDescent="0.2">
      <c r="A179" s="107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08"/>
      <c r="C179" s="104"/>
      <c r="D179" s="105"/>
      <c r="E179" s="104"/>
      <c r="F179" s="106">
        <v>200</v>
      </c>
      <c r="G179" s="335">
        <v>200000</v>
      </c>
      <c r="H179" s="335"/>
      <c r="I179" s="335">
        <f t="shared" si="104"/>
        <v>200000</v>
      </c>
      <c r="J179" s="335">
        <v>200000</v>
      </c>
      <c r="K179" s="266"/>
      <c r="L179" s="266">
        <f t="shared" si="110"/>
        <v>200000</v>
      </c>
    </row>
    <row r="180" spans="1:12" ht="47.25" x14ac:dyDescent="0.2">
      <c r="A180" s="107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IF(B180&gt;0,VLOOKUP(B180,КВСР!A69:B1234,2),IF(C180&gt;0,VLOOKUP(C180,КФСР!A69:B1581,2),IF(D180&gt;0,VLOOKUP(D180,Программа!A$1:B$5124,2),IF(F180&gt;0,VLOOKUP(F180,КВР!A$1:B$5001,2),IF(E180&gt;0,VLOOKUP(E180,Направление!A$1:B$4816,2))))))</f>
        <v>Обеспечение мероприятий  по переработке и утилизации ливневых стоков</v>
      </c>
      <c r="B180" s="108"/>
      <c r="C180" s="104"/>
      <c r="D180" s="105"/>
      <c r="E180" s="104">
        <v>29616</v>
      </c>
      <c r="F180" s="106"/>
      <c r="G180" s="335">
        <v>2500000</v>
      </c>
      <c r="H180" s="335">
        <f t="shared" ref="H180:L180" si="117">H181</f>
        <v>-2500000</v>
      </c>
      <c r="I180" s="335">
        <f t="shared" si="104"/>
        <v>0</v>
      </c>
      <c r="J180" s="335">
        <v>2500000</v>
      </c>
      <c r="K180" s="335">
        <f t="shared" si="117"/>
        <v>0</v>
      </c>
      <c r="L180" s="335">
        <f t="shared" si="117"/>
        <v>2500000</v>
      </c>
    </row>
    <row r="181" spans="1:12" ht="63" x14ac:dyDescent="0.2">
      <c r="A181" s="107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IF(B181&gt;0,VLOOKUP(B181,КВСР!A70:B1235,2),IF(C181&gt;0,VLOOKUP(C181,КФСР!A70:B1582,2),IF(D181&gt;0,VLOOKUP(D181,Программа!A$1:B$5124,2),IF(F181&gt;0,VLOOKUP(F181,КВР!A$1:B$5001,2),IF(E181&gt;0,VLOOKUP(E181,Направление!A$1:B$4816,2))))))</f>
        <v xml:space="preserve">Закупка товаров, работ и услуг для обеспечения государственных (муниципальных) нужд
</v>
      </c>
      <c r="B181" s="108"/>
      <c r="C181" s="104"/>
      <c r="D181" s="105"/>
      <c r="E181" s="104"/>
      <c r="F181" s="106">
        <v>200</v>
      </c>
      <c r="G181" s="335">
        <v>2500000</v>
      </c>
      <c r="H181" s="335">
        <v>-2500000</v>
      </c>
      <c r="I181" s="335">
        <f t="shared" si="104"/>
        <v>0</v>
      </c>
      <c r="J181" s="335">
        <v>2500000</v>
      </c>
      <c r="K181" s="266"/>
      <c r="L181" s="266">
        <f t="shared" si="110"/>
        <v>2500000</v>
      </c>
    </row>
    <row r="182" spans="1:12" ht="15.75" x14ac:dyDescent="0.2">
      <c r="A182" s="107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IF(B182&gt;0,VLOOKUP(B182,КВСР!A71:B1236,2),IF(C182&gt;0,VLOOKUP(C182,КФСР!A71:B1583,2),IF(D182&gt;0,VLOOKUP(D182,Программа!A$1:B$5124,2),IF(F182&gt;0,VLOOKUP(F182,КВР!A$1:B$5001,2),IF(E182&gt;0,VLOOKUP(E182,Направление!A$1:B$4816,2))))))</f>
        <v>Благоустройство</v>
      </c>
      <c r="B182" s="108"/>
      <c r="C182" s="104">
        <v>503</v>
      </c>
      <c r="D182" s="105"/>
      <c r="E182" s="104"/>
      <c r="F182" s="106"/>
      <c r="G182" s="335">
        <v>31355078</v>
      </c>
      <c r="H182" s="335">
        <f t="shared" ref="H182:I182" si="118">H183+H205</f>
        <v>-5818000</v>
      </c>
      <c r="I182" s="335">
        <f t="shared" si="118"/>
        <v>25537078</v>
      </c>
      <c r="J182" s="335">
        <v>24930078</v>
      </c>
      <c r="K182" s="335">
        <f t="shared" ref="K182" si="119">K183+K205</f>
        <v>0</v>
      </c>
      <c r="L182" s="335">
        <f t="shared" ref="L182" si="120">L183+L205</f>
        <v>24930078</v>
      </c>
    </row>
    <row r="183" spans="1:12" ht="63" x14ac:dyDescent="0.2">
      <c r="A183" s="107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08"/>
      <c r="C183" s="104"/>
      <c r="D183" s="105" t="s">
        <v>640</v>
      </c>
      <c r="E183" s="104"/>
      <c r="F183" s="106"/>
      <c r="G183" s="335">
        <v>25480078</v>
      </c>
      <c r="H183" s="335">
        <f>H184+H188+H197+H201</f>
        <v>-7443000</v>
      </c>
      <c r="I183" s="335">
        <f t="shared" ref="I183" si="121">I184+I188+I197+I201</f>
        <v>18037078</v>
      </c>
      <c r="J183" s="335">
        <v>23430078</v>
      </c>
      <c r="K183" s="335">
        <f t="shared" ref="K183" si="122">K184+K188+K197+K201</f>
        <v>0</v>
      </c>
      <c r="L183" s="335">
        <f t="shared" ref="L183" si="123">L184+L188+L197+L201</f>
        <v>23430078</v>
      </c>
    </row>
    <row r="184" spans="1:12" ht="63" x14ac:dyDescent="0.2">
      <c r="A184" s="107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08"/>
      <c r="C184" s="104"/>
      <c r="D184" s="105" t="s">
        <v>642</v>
      </c>
      <c r="E184" s="104"/>
      <c r="F184" s="106"/>
      <c r="G184" s="335">
        <v>500000</v>
      </c>
      <c r="H184" s="335">
        <f t="shared" ref="H184:L186" si="124">H185</f>
        <v>0</v>
      </c>
      <c r="I184" s="335">
        <f t="shared" si="124"/>
        <v>500000</v>
      </c>
      <c r="J184" s="335">
        <v>500000</v>
      </c>
      <c r="K184" s="335">
        <f t="shared" si="124"/>
        <v>0</v>
      </c>
      <c r="L184" s="335">
        <f t="shared" si="124"/>
        <v>500000</v>
      </c>
    </row>
    <row r="185" spans="1:12" ht="47.25" x14ac:dyDescent="0.2">
      <c r="A185" s="107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IF(B185&gt;0,VLOOKUP(B185,КВСР!A74:B1239,2),IF(C185&gt;0,VLOOKUP(C185,КФСР!A74:B1586,2),IF(D185&gt;0,VLOOKUP(D185,Программа!A$1:B$5124,2),IF(F185&gt;0,VLOOKUP(F185,КВР!A$1:B$5001,2),IF(E185&gt;0,VLOOKUP(E185,Направление!A$1:B$4816,2))))))</f>
        <v>Обеспечение комплекса работ по повышению уровня благоустройства мест погребений</v>
      </c>
      <c r="B185" s="108"/>
      <c r="C185" s="104"/>
      <c r="D185" s="105" t="s">
        <v>644</v>
      </c>
      <c r="E185" s="104"/>
      <c r="F185" s="106"/>
      <c r="G185" s="335">
        <v>500000</v>
      </c>
      <c r="H185" s="335">
        <f t="shared" si="124"/>
        <v>0</v>
      </c>
      <c r="I185" s="335">
        <f t="shared" si="124"/>
        <v>500000</v>
      </c>
      <c r="J185" s="335">
        <v>500000</v>
      </c>
      <c r="K185" s="335">
        <f t="shared" si="124"/>
        <v>0</v>
      </c>
      <c r="L185" s="335">
        <f t="shared" si="124"/>
        <v>500000</v>
      </c>
    </row>
    <row r="186" spans="1:12" ht="31.5" x14ac:dyDescent="0.2">
      <c r="A186" s="107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IF(B186&gt;0,VLOOKUP(B186,КВСР!A75:B1240,2),IF(C186&gt;0,VLOOKUP(C186,КФСР!A75:B1587,2),IF(D186&gt;0,VLOOKUP(D186,Программа!A$1:B$5124,2),IF(F186&gt;0,VLOOKUP(F186,КВР!A$1:B$5001,2),IF(E186&gt;0,VLOOKUP(E186,Направление!A$1:B$4816,2))))))</f>
        <v>Обеспечение мероприятий по  содержанию мест захоронения</v>
      </c>
      <c r="B186" s="108"/>
      <c r="C186" s="104"/>
      <c r="D186" s="105"/>
      <c r="E186" s="104">
        <v>29316</v>
      </c>
      <c r="F186" s="106"/>
      <c r="G186" s="335">
        <v>500000</v>
      </c>
      <c r="H186" s="335">
        <f t="shared" si="124"/>
        <v>0</v>
      </c>
      <c r="I186" s="335">
        <f t="shared" si="124"/>
        <v>500000</v>
      </c>
      <c r="J186" s="335">
        <v>500000</v>
      </c>
      <c r="K186" s="335">
        <f t="shared" si="124"/>
        <v>0</v>
      </c>
      <c r="L186" s="335">
        <f t="shared" si="124"/>
        <v>500000</v>
      </c>
    </row>
    <row r="187" spans="1:12" ht="63" x14ac:dyDescent="0.2">
      <c r="A187" s="107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08"/>
      <c r="C187" s="104"/>
      <c r="D187" s="105"/>
      <c r="E187" s="104"/>
      <c r="F187" s="106">
        <v>200</v>
      </c>
      <c r="G187" s="335">
        <v>500000</v>
      </c>
      <c r="H187" s="335"/>
      <c r="I187" s="335">
        <f t="shared" ref="I187" si="125">SUM(G187:H187)</f>
        <v>500000</v>
      </c>
      <c r="J187" s="335">
        <v>500000</v>
      </c>
      <c r="K187" s="266"/>
      <c r="L187" s="266">
        <f t="shared" ref="L187" si="126">SUM(J187:K187)</f>
        <v>500000</v>
      </c>
    </row>
    <row r="188" spans="1:12" ht="63" x14ac:dyDescent="0.2">
      <c r="A188" s="107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188" s="108"/>
      <c r="C188" s="104"/>
      <c r="D188" s="105" t="s">
        <v>645</v>
      </c>
      <c r="E188" s="104"/>
      <c r="F188" s="106"/>
      <c r="G188" s="335">
        <v>11818000</v>
      </c>
      <c r="H188" s="335">
        <f>H189+H193</f>
        <v>-7443000</v>
      </c>
      <c r="I188" s="335">
        <f t="shared" ref="I188:L188" si="127">I189+I193</f>
        <v>4375000</v>
      </c>
      <c r="J188" s="335">
        <v>11118000</v>
      </c>
      <c r="K188" s="335">
        <f t="shared" si="127"/>
        <v>0</v>
      </c>
      <c r="L188" s="335">
        <f t="shared" si="127"/>
        <v>11118000</v>
      </c>
    </row>
    <row r="189" spans="1:12" ht="63" x14ac:dyDescent="0.2">
      <c r="A189" s="107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189" s="108"/>
      <c r="C189" s="104"/>
      <c r="D189" s="105" t="s">
        <v>647</v>
      </c>
      <c r="E189" s="104"/>
      <c r="F189" s="106"/>
      <c r="G189" s="335">
        <v>5000000</v>
      </c>
      <c r="H189" s="335">
        <f>H190</f>
        <v>-2125000</v>
      </c>
      <c r="I189" s="335">
        <f t="shared" ref="I189:L189" si="128">I190</f>
        <v>2875000</v>
      </c>
      <c r="J189" s="335">
        <v>5000000</v>
      </c>
      <c r="K189" s="335">
        <f t="shared" si="128"/>
        <v>2500000</v>
      </c>
      <c r="L189" s="335">
        <f t="shared" si="128"/>
        <v>7500000</v>
      </c>
    </row>
    <row r="190" spans="1:12" ht="47.25" x14ac:dyDescent="0.2">
      <c r="A190" s="107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IF(B190&gt;0,VLOOKUP(B190,КВСР!A85:B1250,2),IF(C190&gt;0,VLOOKUP(C190,КФСР!A85:B1597,2),IF(D190&gt;0,VLOOKUP(D190,Программа!A$1:B$5124,2),IF(F190&gt;0,VLOOKUP(F190,КВР!A$1:B$5001,2),IF(E190&gt;0,VLOOKUP(E190,Направление!A$1:B$4816,2))))))</f>
        <v>Содержание и организация деятельности по благоустройству на территории поселения</v>
      </c>
      <c r="B190" s="108"/>
      <c r="C190" s="104"/>
      <c r="D190" s="105"/>
      <c r="E190" s="104">
        <v>29256</v>
      </c>
      <c r="F190" s="106"/>
      <c r="G190" s="335">
        <v>5000000</v>
      </c>
      <c r="H190" s="335">
        <f>H191+H192</f>
        <v>-2125000</v>
      </c>
      <c r="I190" s="335">
        <f t="shared" ref="I190:L190" si="129">I191+I192</f>
        <v>2875000</v>
      </c>
      <c r="J190" s="335">
        <v>5000000</v>
      </c>
      <c r="K190" s="335">
        <f t="shared" si="129"/>
        <v>2500000</v>
      </c>
      <c r="L190" s="335">
        <f t="shared" si="129"/>
        <v>7500000</v>
      </c>
    </row>
    <row r="191" spans="1:12" ht="110.25" x14ac:dyDescent="0.2">
      <c r="A191" s="107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08"/>
      <c r="C191" s="104"/>
      <c r="D191" s="105"/>
      <c r="E191" s="104"/>
      <c r="F191" s="106">
        <v>100</v>
      </c>
      <c r="G191" s="335">
        <v>4985000</v>
      </c>
      <c r="H191" s="335">
        <v>-2125000</v>
      </c>
      <c r="I191" s="335">
        <f t="shared" ref="I191:I210" si="130">SUM(G191:H191)</f>
        <v>2860000</v>
      </c>
      <c r="J191" s="335">
        <v>4985000</v>
      </c>
      <c r="K191" s="266">
        <v>2500000</v>
      </c>
      <c r="L191" s="266">
        <f t="shared" ref="L191:L210" si="131">SUM(J191:K191)</f>
        <v>7485000</v>
      </c>
    </row>
    <row r="192" spans="1:12" ht="15.75" x14ac:dyDescent="0.2">
      <c r="A192" s="107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IF(B192&gt;0,VLOOKUP(B192,КВСР!A87:B1252,2),IF(C192&gt;0,VLOOKUP(C192,КФСР!A87:B1599,2),IF(D192&gt;0,VLOOKUP(D192,Программа!A$1:B$5124,2),IF(F192&gt;0,VLOOKUP(F192,КВР!A$1:B$5001,2),IF(E192&gt;0,VLOOKUP(E192,Направление!A$1:B$4816,2))))))</f>
        <v>Иные бюджетные ассигнования</v>
      </c>
      <c r="B192" s="108"/>
      <c r="C192" s="104"/>
      <c r="D192" s="105"/>
      <c r="E192" s="104"/>
      <c r="F192" s="106">
        <v>800</v>
      </c>
      <c r="G192" s="335">
        <v>15000</v>
      </c>
      <c r="H192" s="335"/>
      <c r="I192" s="335">
        <f t="shared" si="130"/>
        <v>15000</v>
      </c>
      <c r="J192" s="335">
        <v>15000</v>
      </c>
      <c r="K192" s="266"/>
      <c r="L192" s="266">
        <f t="shared" si="131"/>
        <v>15000</v>
      </c>
    </row>
    <row r="193" spans="1:12" ht="47.25" x14ac:dyDescent="0.2">
      <c r="A193" s="107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IF(B193&gt;0,VLOOKUP(B193,КВСР!A88:B1253,2),IF(C193&gt;0,VLOOKUP(C193,КФСР!A88:B1600,2),IF(D193&gt;0,VLOOKUP(D193,Программа!A$1:B$5124,2),IF(F193&gt;0,VLOOKUP(F193,КВР!A$1:B$5001,2),IF(E193&gt;0,VLOOKUP(E193,Направление!A$1:B$4816,2))))))</f>
        <v xml:space="preserve">Обеспечение мероприятий по совершенствованию  эстетического  состояния территорий </v>
      </c>
      <c r="B193" s="108"/>
      <c r="C193" s="104"/>
      <c r="D193" s="105" t="s">
        <v>649</v>
      </c>
      <c r="E193" s="104"/>
      <c r="F193" s="106"/>
      <c r="G193" s="335">
        <v>6818000</v>
      </c>
      <c r="H193" s="335">
        <f t="shared" ref="H193:L193" si="132">H194</f>
        <v>-5318000</v>
      </c>
      <c r="I193" s="335">
        <f t="shared" si="132"/>
        <v>1500000</v>
      </c>
      <c r="J193" s="335">
        <v>6118000</v>
      </c>
      <c r="K193" s="335">
        <f t="shared" si="132"/>
        <v>-2500000</v>
      </c>
      <c r="L193" s="335">
        <f t="shared" si="132"/>
        <v>3618000</v>
      </c>
    </row>
    <row r="194" spans="1:12" ht="31.5" x14ac:dyDescent="0.2">
      <c r="A194" s="107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IF(B194&gt;0,VLOOKUP(B194,КВСР!A87:B1252,2),IF(C194&gt;0,VLOOKUP(C194,КФСР!A87:B1599,2),IF(D194&gt;0,VLOOKUP(D194,Программа!A$1:B$5124,2),IF(F194&gt;0,VLOOKUP(F194,КВР!A$1:B$5001,2),IF(E194&gt;0,VLOOKUP(E194,Направление!A$1:B$4816,2))))))</f>
        <v>Обеспечение мероприятий в области благоустройства и озеленения</v>
      </c>
      <c r="B194" s="108"/>
      <c r="C194" s="104"/>
      <c r="D194" s="105"/>
      <c r="E194" s="104">
        <v>29266</v>
      </c>
      <c r="F194" s="106"/>
      <c r="G194" s="335">
        <v>6818000</v>
      </c>
      <c r="H194" s="335">
        <f>H195+H196</f>
        <v>-5318000</v>
      </c>
      <c r="I194" s="335">
        <f t="shared" si="130"/>
        <v>1500000</v>
      </c>
      <c r="J194" s="266">
        <v>6118000</v>
      </c>
      <c r="K194" s="266">
        <f>K195+K196</f>
        <v>-2500000</v>
      </c>
      <c r="L194" s="266">
        <f t="shared" si="131"/>
        <v>3618000</v>
      </c>
    </row>
    <row r="195" spans="1:12" ht="63" x14ac:dyDescent="0.2">
      <c r="A195" s="107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08"/>
      <c r="C195" s="104"/>
      <c r="D195" s="105"/>
      <c r="E195" s="104"/>
      <c r="F195" s="106">
        <v>200</v>
      </c>
      <c r="G195" s="335">
        <v>6118000</v>
      </c>
      <c r="H195" s="335">
        <v>-5318000</v>
      </c>
      <c r="I195" s="335">
        <f t="shared" si="130"/>
        <v>800000</v>
      </c>
      <c r="J195" s="335">
        <v>6118000</v>
      </c>
      <c r="K195" s="266">
        <v>-2500000</v>
      </c>
      <c r="L195" s="266">
        <f t="shared" si="131"/>
        <v>3618000</v>
      </c>
    </row>
    <row r="196" spans="1:12" ht="53.25" customHeight="1" x14ac:dyDescent="0.2">
      <c r="A196" s="107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IF(B196&gt;0,VLOOKUP(B196,КВСР!A89:B1254,2),IF(C196&gt;0,VLOOKUP(C196,КФСР!A89:B1601,2),IF(D196&gt;0,VLOOKUP(D196,Программа!A$1:B$5124,2),IF(F196&gt;0,VLOOKUP(F196,КВР!A$1:B$5001,2),IF(E196&gt;0,VLOOKUP(E196,Направление!A$1:B$4816,2))))))</f>
        <v>Капитальные вложения в объекты государственной (муниципальной) собственности</v>
      </c>
      <c r="B196" s="108"/>
      <c r="C196" s="104"/>
      <c r="D196" s="105"/>
      <c r="E196" s="104"/>
      <c r="F196" s="106">
        <v>400</v>
      </c>
      <c r="G196" s="335">
        <v>700000</v>
      </c>
      <c r="H196" s="335"/>
      <c r="I196" s="335">
        <f>SUM(G196:H196)</f>
        <v>700000</v>
      </c>
      <c r="J196" s="335"/>
      <c r="K196" s="266"/>
      <c r="L196" s="266">
        <f>SUM(J196:K196)</f>
        <v>0</v>
      </c>
    </row>
    <row r="197" spans="1:12" ht="110.25" x14ac:dyDescent="0.2">
      <c r="A197" s="107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08"/>
      <c r="C197" s="104"/>
      <c r="D197" s="105" t="s">
        <v>1389</v>
      </c>
      <c r="E197" s="104"/>
      <c r="F197" s="106"/>
      <c r="G197" s="335">
        <v>11662078</v>
      </c>
      <c r="H197" s="335">
        <f t="shared" ref="H197:I199" si="133">H198</f>
        <v>0</v>
      </c>
      <c r="I197" s="335">
        <f t="shared" si="133"/>
        <v>11662078</v>
      </c>
      <c r="J197" s="335">
        <v>11662078</v>
      </c>
      <c r="K197" s="335">
        <f t="shared" ref="K197:K199" si="134">K198</f>
        <v>0</v>
      </c>
      <c r="L197" s="335">
        <f t="shared" ref="L197:L199" si="135">L198</f>
        <v>11662078</v>
      </c>
    </row>
    <row r="198" spans="1:12" ht="47.25" x14ac:dyDescent="0.2">
      <c r="A198" s="107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IF(B198&gt;0,VLOOKUP(B198,КВСР!A90:B1255,2),IF(C198&gt;0,VLOOKUP(C198,КФСР!A90:B1602,2),IF(D198&gt;0,VLOOKUP(D198,Программа!A$1:B$5124,2),IF(F198&gt;0,VLOOKUP(F198,КВР!A$1:B$5001,2),IF(E198&gt;0,VLOOKUP(E198,Направление!A$1:B$4816,2))))))</f>
        <v>Создание механизма управления потреблением энергетических ресурсов и сокращение бюджетных затрат</v>
      </c>
      <c r="B198" s="108"/>
      <c r="C198" s="104"/>
      <c r="D198" s="105" t="s">
        <v>1390</v>
      </c>
      <c r="E198" s="104"/>
      <c r="F198" s="106"/>
      <c r="G198" s="335">
        <v>11662078</v>
      </c>
      <c r="H198" s="335">
        <f t="shared" si="133"/>
        <v>0</v>
      </c>
      <c r="I198" s="335">
        <f t="shared" si="133"/>
        <v>11662078</v>
      </c>
      <c r="J198" s="335">
        <v>11662078</v>
      </c>
      <c r="K198" s="335">
        <f t="shared" si="134"/>
        <v>0</v>
      </c>
      <c r="L198" s="335">
        <f t="shared" si="135"/>
        <v>11662078</v>
      </c>
    </row>
    <row r="199" spans="1:12" ht="31.5" x14ac:dyDescent="0.2">
      <c r="A199" s="107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IF(B199&gt;0,VLOOKUP(B199,КВСР!A91:B1256,2),IF(C199&gt;0,VLOOKUP(C199,КФСР!A91:B1603,2),IF(D199&gt;0,VLOOKUP(D199,Программа!A$1:B$5124,2),IF(F199&gt;0,VLOOKUP(F199,КВР!A$1:B$5001,2),IF(E199&gt;0,VLOOKUP(E199,Направление!A$1:B$4816,2))))))</f>
        <v>Обеспечение мероприятий по уличному освещению</v>
      </c>
      <c r="B199" s="108"/>
      <c r="C199" s="104"/>
      <c r="D199" s="105"/>
      <c r="E199" s="104">
        <v>29236</v>
      </c>
      <c r="F199" s="106"/>
      <c r="G199" s="335">
        <v>11662078</v>
      </c>
      <c r="H199" s="335">
        <f t="shared" si="133"/>
        <v>0</v>
      </c>
      <c r="I199" s="335">
        <f t="shared" si="133"/>
        <v>11662078</v>
      </c>
      <c r="J199" s="335">
        <v>11662078</v>
      </c>
      <c r="K199" s="335">
        <f t="shared" si="134"/>
        <v>0</v>
      </c>
      <c r="L199" s="335">
        <f t="shared" si="135"/>
        <v>11662078</v>
      </c>
    </row>
    <row r="200" spans="1:12" ht="63" x14ac:dyDescent="0.2">
      <c r="A200" s="107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IF(B200&gt;0,VLOOKUP(B200,КВСР!A92:B1257,2),IF(C200&gt;0,VLOOKUP(C200,КФСР!A92:B1604,2),IF(D200&gt;0,VLOOKUP(D200,Программа!A$1:B$5124,2),IF(F200&gt;0,VLOOKUP(F200,КВР!A$1:B$5001,2),IF(E200&gt;0,VLOOKUP(E200,Направление!A$1:B$4816,2))))))</f>
        <v xml:space="preserve">Закупка товаров, работ и услуг для обеспечения государственных (муниципальных) нужд
</v>
      </c>
      <c r="B200" s="108"/>
      <c r="C200" s="104"/>
      <c r="D200" s="105"/>
      <c r="E200" s="104"/>
      <c r="F200" s="106">
        <v>200</v>
      </c>
      <c r="G200" s="335">
        <v>11662078</v>
      </c>
      <c r="H200" s="335"/>
      <c r="I200" s="335">
        <f>G200+H200</f>
        <v>11662078</v>
      </c>
      <c r="J200" s="335">
        <v>11662078</v>
      </c>
      <c r="K200" s="266"/>
      <c r="L200" s="266">
        <f>J200+K200</f>
        <v>11662078</v>
      </c>
    </row>
    <row r="201" spans="1:12" ht="63" x14ac:dyDescent="0.2">
      <c r="A201" s="107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08"/>
      <c r="C201" s="104"/>
      <c r="D201" s="105" t="s">
        <v>1391</v>
      </c>
      <c r="E201" s="104"/>
      <c r="F201" s="106"/>
      <c r="G201" s="335">
        <v>1500000</v>
      </c>
      <c r="H201" s="335">
        <f t="shared" ref="H201:I203" si="136">H202</f>
        <v>0</v>
      </c>
      <c r="I201" s="335">
        <f t="shared" si="136"/>
        <v>1500000</v>
      </c>
      <c r="J201" s="335">
        <v>150000</v>
      </c>
      <c r="K201" s="335">
        <f t="shared" ref="K201:K203" si="137">K202</f>
        <v>0</v>
      </c>
      <c r="L201" s="335">
        <f t="shared" ref="L201:L203" si="138">L202</f>
        <v>150000</v>
      </c>
    </row>
    <row r="202" spans="1:12" ht="31.5" x14ac:dyDescent="0.2">
      <c r="A202" s="107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IF(B202&gt;0,VLOOKUP(B202,КВСР!A94:B1259,2),IF(C202&gt;0,VLOOKUP(C202,КФСР!A94:B1606,2),IF(D202&gt;0,VLOOKUP(D202,Программа!A$1:B$5124,2),IF(F202&gt;0,VLOOKUP(F202,КВР!A$1:B$5001,2),IF(E202&gt;0,VLOOKUP(E202,Направление!A$1:B$4816,2))))))</f>
        <v xml:space="preserve">Реконструкция, ремонт и строительство новых сетей уличного освещения </v>
      </c>
      <c r="B202" s="108"/>
      <c r="C202" s="104"/>
      <c r="D202" s="105" t="s">
        <v>1392</v>
      </c>
      <c r="E202" s="104"/>
      <c r="F202" s="106"/>
      <c r="G202" s="335">
        <v>1500000</v>
      </c>
      <c r="H202" s="335">
        <f t="shared" si="136"/>
        <v>0</v>
      </c>
      <c r="I202" s="335">
        <f t="shared" si="136"/>
        <v>1500000</v>
      </c>
      <c r="J202" s="335">
        <v>150000</v>
      </c>
      <c r="K202" s="335">
        <f t="shared" si="137"/>
        <v>0</v>
      </c>
      <c r="L202" s="335">
        <f t="shared" si="138"/>
        <v>150000</v>
      </c>
    </row>
    <row r="203" spans="1:12" ht="63" x14ac:dyDescent="0.2">
      <c r="A203" s="107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203" s="108"/>
      <c r="C203" s="104"/>
      <c r="D203" s="105"/>
      <c r="E203" s="104">
        <v>29246</v>
      </c>
      <c r="F203" s="106"/>
      <c r="G203" s="335">
        <v>1500000</v>
      </c>
      <c r="H203" s="335">
        <f t="shared" si="136"/>
        <v>0</v>
      </c>
      <c r="I203" s="335">
        <f t="shared" si="136"/>
        <v>1500000</v>
      </c>
      <c r="J203" s="335">
        <v>150000</v>
      </c>
      <c r="K203" s="335">
        <f t="shared" si="137"/>
        <v>0</v>
      </c>
      <c r="L203" s="335">
        <f t="shared" si="138"/>
        <v>150000</v>
      </c>
    </row>
    <row r="204" spans="1:12" ht="63" x14ac:dyDescent="0.2">
      <c r="A204" s="107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IF(B204&gt;0,VLOOKUP(B204,КВСР!A96:B1261,2),IF(C204&gt;0,VLOOKUP(C204,КФСР!A96:B1608,2),IF(D204&gt;0,VLOOKUP(D204,Программа!A$1:B$5124,2),IF(F204&gt;0,VLOOKUP(F204,КВР!A$1:B$5001,2),IF(E204&gt;0,VLOOKUP(E204,Направление!A$1:B$4816,2))))))</f>
        <v xml:space="preserve">Закупка товаров, работ и услуг для обеспечения государственных (муниципальных) нужд
</v>
      </c>
      <c r="B204" s="108"/>
      <c r="C204" s="104"/>
      <c r="D204" s="105"/>
      <c r="E204" s="104"/>
      <c r="F204" s="106">
        <v>200</v>
      </c>
      <c r="G204" s="335">
        <v>1500000</v>
      </c>
      <c r="H204" s="335"/>
      <c r="I204" s="335">
        <f>G204+H204</f>
        <v>1500000</v>
      </c>
      <c r="J204" s="335">
        <v>150000</v>
      </c>
      <c r="K204" s="266"/>
      <c r="L204" s="266">
        <f>J204+K204</f>
        <v>150000</v>
      </c>
    </row>
    <row r="205" spans="1:12" ht="63" x14ac:dyDescent="0.2">
      <c r="A205" s="107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IF(B205&gt;0,VLOOKUP(B205,КВСР!A89:B1254,2),IF(C205&gt;0,VLOOKUP(C205,КФСР!A89:B1601,2),IF(D205&gt;0,VLOOKUP(D205,Программа!A$1:B$5124,2),IF(F205&gt;0,VLOOKUP(F205,КВР!A$1:B$5001,2),IF(E205&gt;0,VLOOKUP(E205,Направление!A$1:B$4816,2))))))</f>
        <v>Муниципальная программа "Формирование  современной городской среды"  Тутаевского муниципального района</v>
      </c>
      <c r="B205" s="108"/>
      <c r="C205" s="104"/>
      <c r="D205" s="105" t="s">
        <v>1134</v>
      </c>
      <c r="E205" s="104"/>
      <c r="F205" s="106"/>
      <c r="G205" s="340">
        <v>5875000</v>
      </c>
      <c r="H205" s="335">
        <f t="shared" ref="H205:H209" si="139">H206</f>
        <v>1625000</v>
      </c>
      <c r="I205" s="335">
        <f t="shared" si="130"/>
        <v>7500000</v>
      </c>
      <c r="J205" s="266">
        <v>1500000</v>
      </c>
      <c r="K205" s="266">
        <f t="shared" ref="K205:L209" si="140">K206</f>
        <v>0</v>
      </c>
      <c r="L205" s="266">
        <f t="shared" si="140"/>
        <v>1500000</v>
      </c>
    </row>
    <row r="206" spans="1:12" ht="31.5" x14ac:dyDescent="0.2">
      <c r="A206" s="107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IF(B206&gt;0,VLOOKUP(B206,КВСР!A90:B1255,2),IF(C206&gt;0,VLOOKUP(C206,КФСР!A90:B1602,2),IF(D206&gt;0,VLOOKUP(D206,Программа!A$1:B$5124,2),IF(F206&gt;0,VLOOKUP(F206,КВР!A$1:B$5001,2),IF(E206&gt;0,VLOOKUP(E206,Направление!A$1:B$4816,2))))))</f>
        <v>Повышение уровня благоустройства территорий</v>
      </c>
      <c r="B206" s="108"/>
      <c r="C206" s="104"/>
      <c r="D206" s="105" t="s">
        <v>1152</v>
      </c>
      <c r="E206" s="104"/>
      <c r="F206" s="106"/>
      <c r="G206" s="340">
        <v>5875000</v>
      </c>
      <c r="H206" s="335">
        <f>H209+H207</f>
        <v>1625000</v>
      </c>
      <c r="I206" s="335">
        <f>SUM(G206:H206)</f>
        <v>7500000</v>
      </c>
      <c r="J206" s="266">
        <v>1500000</v>
      </c>
      <c r="K206" s="266">
        <f>K209+K207</f>
        <v>0</v>
      </c>
      <c r="L206" s="266">
        <f>L209+L207</f>
        <v>1500000</v>
      </c>
    </row>
    <row r="207" spans="1:12" ht="47.25" x14ac:dyDescent="0.2">
      <c r="A207" s="107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IF(B207&gt;0,VLOOKUP(B207,КВСР!A89:B1254,2),IF(C207&gt;0,VLOOKUP(C207,КФСР!A89:B1601,2),IF(D207&gt;0,VLOOKUP(D207,Программа!A$1:B$5124,2),IF(F207&gt;0,VLOOKUP(F207,КВР!A$1:B$5001,2),IF(E207&gt;0,VLOOKUP(E207,Направление!A$1:B$4816,2))))))</f>
        <v>Обеспечение мероприятий по формированию современной городской среды</v>
      </c>
      <c r="B207" s="108"/>
      <c r="C207" s="104"/>
      <c r="D207" s="105"/>
      <c r="E207" s="104">
        <v>29456</v>
      </c>
      <c r="F207" s="106"/>
      <c r="G207" s="340">
        <v>1500000</v>
      </c>
      <c r="H207" s="335">
        <f t="shared" si="139"/>
        <v>0</v>
      </c>
      <c r="I207" s="335">
        <f t="shared" ref="I207:I208" si="141">SUM(G207:H207)</f>
        <v>1500000</v>
      </c>
      <c r="J207" s="266">
        <v>1500000</v>
      </c>
      <c r="K207" s="266">
        <f t="shared" si="140"/>
        <v>0</v>
      </c>
      <c r="L207" s="266">
        <f t="shared" si="140"/>
        <v>1500000</v>
      </c>
    </row>
    <row r="208" spans="1:12" ht="63" x14ac:dyDescent="0.2">
      <c r="A208" s="107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IF(B208&gt;0,VLOOKUP(B208,КВСР!A90:B1255,2),IF(C208&gt;0,VLOOKUP(C208,КФСР!A90:B1602,2),IF(D208&gt;0,VLOOKUP(D208,Программа!A$1:B$5124,2),IF(F208&gt;0,VLOOKUP(F208,КВР!A$1:B$5001,2),IF(E208&gt;0,VLOOKUP(E208,Направление!A$1:B$4816,2))))))</f>
        <v xml:space="preserve">Закупка товаров, работ и услуг для обеспечения государственных (муниципальных) нужд
</v>
      </c>
      <c r="B208" s="108"/>
      <c r="C208" s="104"/>
      <c r="D208" s="105"/>
      <c r="E208" s="104"/>
      <c r="F208" s="106">
        <v>200</v>
      </c>
      <c r="G208" s="335">
        <v>1500000</v>
      </c>
      <c r="H208" s="335"/>
      <c r="I208" s="335">
        <f t="shared" si="141"/>
        <v>1500000</v>
      </c>
      <c r="J208" s="335">
        <v>1500000</v>
      </c>
      <c r="K208" s="266"/>
      <c r="L208" s="266">
        <f t="shared" ref="L208" si="142">SUM(J208:K208)</f>
        <v>1500000</v>
      </c>
    </row>
    <row r="209" spans="1:12" ht="63" x14ac:dyDescent="0.2">
      <c r="A209" s="107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IF(B209&gt;0,VLOOKUP(B209,КВСР!A91:B1256,2),IF(C209&gt;0,VLOOKUP(C209,КФСР!A91:B1603,2),IF(D209&gt;0,VLOOKUP(D209,Программа!A$1:B$5124,2),IF(F209&gt;0,VLOOKUP(F209,КВР!A$1:B$5001,2),IF(E209&gt;0,VLOOKUP(E209,Направление!A$1:B$4816,2))))))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08"/>
      <c r="C209" s="104"/>
      <c r="D209" s="105"/>
      <c r="E209" s="104">
        <v>29856</v>
      </c>
      <c r="F209" s="106"/>
      <c r="G209" s="340">
        <f>G210</f>
        <v>4375000</v>
      </c>
      <c r="H209" s="335">
        <f t="shared" si="139"/>
        <v>1625000</v>
      </c>
      <c r="I209" s="335">
        <f t="shared" si="130"/>
        <v>6000000</v>
      </c>
      <c r="J209" s="266">
        <f>J210</f>
        <v>0</v>
      </c>
      <c r="K209" s="266">
        <f t="shared" si="140"/>
        <v>0</v>
      </c>
      <c r="L209" s="266">
        <f t="shared" si="140"/>
        <v>0</v>
      </c>
    </row>
    <row r="210" spans="1:12" ht="63" x14ac:dyDescent="0.2">
      <c r="A210" s="107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IF(B210&gt;0,VLOOKUP(B210,КВСР!A92:B1257,2),IF(C210&gt;0,VLOOKUP(C210,КФСР!A92:B1604,2),IF(D210&gt;0,VLOOKUP(D210,Программа!A$1:B$5124,2),IF(F210&gt;0,VLOOKUP(F210,КВР!A$1:B$5001,2),IF(E210&gt;0,VLOOKUP(E210,Направление!A$1:B$4816,2))))))</f>
        <v xml:space="preserve">Закупка товаров, работ и услуг для обеспечения государственных (муниципальных) нужд
</v>
      </c>
      <c r="B210" s="108"/>
      <c r="C210" s="104"/>
      <c r="D210" s="105"/>
      <c r="E210" s="104"/>
      <c r="F210" s="106">
        <v>200</v>
      </c>
      <c r="G210" s="335">
        <v>4375000</v>
      </c>
      <c r="H210" s="335">
        <v>1625000</v>
      </c>
      <c r="I210" s="335">
        <f t="shared" si="130"/>
        <v>6000000</v>
      </c>
      <c r="J210" s="335"/>
      <c r="K210" s="266"/>
      <c r="L210" s="266">
        <f t="shared" si="131"/>
        <v>0</v>
      </c>
    </row>
    <row r="211" spans="1:12" ht="31.5" x14ac:dyDescent="0.2">
      <c r="A211" s="107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IF(B211&gt;0,VLOOKUP(B211,КВСР!A71:B1236,2),IF(C211&gt;0,VLOOKUP(C211,КФСР!A71:B1583,2),IF(D211&gt;0,VLOOKUP(D211,Программа!A$1:B$5124,2),IF(F211&gt;0,VLOOKUP(F211,КВР!A$1:B$5001,2),IF(E211&gt;0,VLOOKUP(E211,Направление!A$1:B$4816,2))))))</f>
        <v>Другие вопросы в области охраны окружающей среды</v>
      </c>
      <c r="B211" s="108"/>
      <c r="C211" s="104">
        <v>605</v>
      </c>
      <c r="D211" s="105"/>
      <c r="E211" s="104"/>
      <c r="F211" s="106"/>
      <c r="G211" s="335">
        <v>2936113</v>
      </c>
      <c r="H211" s="335">
        <f t="shared" ref="H211:L216" si="143">H212</f>
        <v>0</v>
      </c>
      <c r="I211" s="335">
        <f t="shared" si="143"/>
        <v>2936113</v>
      </c>
      <c r="J211" s="335">
        <v>6359412</v>
      </c>
      <c r="K211" s="335">
        <f t="shared" si="143"/>
        <v>0</v>
      </c>
      <c r="L211" s="335">
        <f t="shared" si="143"/>
        <v>6359412</v>
      </c>
    </row>
    <row r="212" spans="1:12" ht="63" x14ac:dyDescent="0.2">
      <c r="A212" s="107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08"/>
      <c r="C212" s="104"/>
      <c r="D212" s="105" t="s">
        <v>1026</v>
      </c>
      <c r="E212" s="104"/>
      <c r="F212" s="106"/>
      <c r="G212" s="335">
        <v>2936113</v>
      </c>
      <c r="H212" s="335">
        <f t="shared" si="143"/>
        <v>0</v>
      </c>
      <c r="I212" s="335">
        <f t="shared" si="143"/>
        <v>2936113</v>
      </c>
      <c r="J212" s="335">
        <v>6359412</v>
      </c>
      <c r="K212" s="335">
        <f t="shared" si="143"/>
        <v>0</v>
      </c>
      <c r="L212" s="335">
        <f t="shared" si="143"/>
        <v>6359412</v>
      </c>
    </row>
    <row r="213" spans="1:12" ht="63" x14ac:dyDescent="0.2">
      <c r="A213" s="107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08"/>
      <c r="C213" s="104"/>
      <c r="D213" s="105" t="s">
        <v>1067</v>
      </c>
      <c r="E213" s="104"/>
      <c r="F213" s="106"/>
      <c r="G213" s="335">
        <v>2936113</v>
      </c>
      <c r="H213" s="335">
        <f>H216+H218+H214</f>
        <v>0</v>
      </c>
      <c r="I213" s="335">
        <f>I216+I218+I214</f>
        <v>2936113</v>
      </c>
      <c r="J213" s="335">
        <v>6359412</v>
      </c>
      <c r="K213" s="335">
        <f t="shared" ref="K213:L213" si="144">K216+K218+K214</f>
        <v>0</v>
      </c>
      <c r="L213" s="335">
        <f t="shared" si="144"/>
        <v>6359412</v>
      </c>
    </row>
    <row r="214" spans="1:12" ht="31.5" x14ac:dyDescent="0.2">
      <c r="A214" s="107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IF(B214&gt;0,VLOOKUP(B214,КВСР!A74:B1239,2),IF(C214&gt;0,VLOOKUP(C214,КФСР!A74:B1586,2),IF(D214&gt;0,VLOOKUP(D214,Программа!A$1:B$5124,2),IF(F214&gt;0,VLOOKUP(F214,КВР!A$1:B$5001,2),IF(E214&gt;0,VLOOKUP(E214,Направление!A$1:B$4816,2))))))</f>
        <v>Расходы на природоохранные мероприятия</v>
      </c>
      <c r="B214" s="108"/>
      <c r="C214" s="104"/>
      <c r="D214" s="105"/>
      <c r="E214" s="104">
        <v>10600</v>
      </c>
      <c r="F214" s="106"/>
      <c r="G214" s="335">
        <v>2464048</v>
      </c>
      <c r="H214" s="335">
        <f t="shared" ref="H214:L214" si="145">H215</f>
        <v>0</v>
      </c>
      <c r="I214" s="335">
        <f t="shared" si="145"/>
        <v>2464048</v>
      </c>
      <c r="J214" s="335">
        <v>5887347</v>
      </c>
      <c r="K214" s="335">
        <f t="shared" si="145"/>
        <v>0</v>
      </c>
      <c r="L214" s="335">
        <f t="shared" si="145"/>
        <v>5887347</v>
      </c>
    </row>
    <row r="215" spans="1:12" ht="63" x14ac:dyDescent="0.2">
      <c r="A215" s="107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IF(B215&gt;0,VLOOKUP(B215,КВСР!A75:B1240,2),IF(C215&gt;0,VLOOKUP(C215,КФСР!A75:B1587,2),IF(D215&gt;0,VLOOKUP(D215,Программа!A$1:B$5124,2),IF(F215&gt;0,VLOOKUP(F215,КВР!A$1:B$5001,2),IF(E215&gt;0,VLOOKUP(E215,Направление!A$1:B$4816,2))))))</f>
        <v xml:space="preserve">Закупка товаров, работ и услуг для обеспечения государственных (муниципальных) нужд
</v>
      </c>
      <c r="B215" s="108"/>
      <c r="C215" s="104"/>
      <c r="D215" s="105"/>
      <c r="E215" s="104"/>
      <c r="F215" s="106">
        <v>200</v>
      </c>
      <c r="G215" s="335">
        <v>2464048</v>
      </c>
      <c r="H215" s="335"/>
      <c r="I215" s="335">
        <f>G215+H215</f>
        <v>2464048</v>
      </c>
      <c r="J215" s="335">
        <v>5887347</v>
      </c>
      <c r="K215" s="335"/>
      <c r="L215" s="266">
        <f>K215+J215</f>
        <v>5887347</v>
      </c>
    </row>
    <row r="216" spans="1:12" ht="31.5" x14ac:dyDescent="0.2">
      <c r="A216" s="107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IF(B216&gt;0,VLOOKUP(B216,КВСР!A75:B1240,2),IF(C216&gt;0,VLOOKUP(C216,КФСР!A75:B1587,2),IF(D216&gt;0,VLOOKUP(D216,Программа!A$1:B$5124,2),IF(F216&gt;0,VLOOKUP(F216,КВР!A$1:B$5001,2),IF(E216&gt;0,VLOOKUP(E216,Направление!A$1:B$4816,2))))))</f>
        <v>Расходы на реализацию мероприятий по борьбе с борщевиком Сосновского</v>
      </c>
      <c r="B216" s="108"/>
      <c r="C216" s="104"/>
      <c r="D216" s="105"/>
      <c r="E216" s="104">
        <v>16900</v>
      </c>
      <c r="F216" s="106"/>
      <c r="G216" s="335">
        <v>25000</v>
      </c>
      <c r="H216" s="335">
        <f t="shared" si="143"/>
        <v>0</v>
      </c>
      <c r="I216" s="335">
        <f t="shared" si="143"/>
        <v>25000</v>
      </c>
      <c r="J216" s="335">
        <v>25000</v>
      </c>
      <c r="K216" s="335">
        <f t="shared" si="143"/>
        <v>0</v>
      </c>
      <c r="L216" s="335">
        <f t="shared" si="143"/>
        <v>25000</v>
      </c>
    </row>
    <row r="217" spans="1:12" ht="63" x14ac:dyDescent="0.2">
      <c r="A217" s="107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IF(B217&gt;0,VLOOKUP(B217,КВСР!A76:B1241,2),IF(C217&gt;0,VLOOKUP(C217,КФСР!A76:B1588,2),IF(D217&gt;0,VLOOKUP(D217,Программа!A$1:B$5124,2),IF(F217&gt;0,VLOOKUP(F217,КВР!A$1:B$5001,2),IF(E217&gt;0,VLOOKUP(E217,Направление!A$1:B$4816,2))))))</f>
        <v xml:space="preserve">Закупка товаров, работ и услуг для обеспечения государственных (муниципальных) нужд
</v>
      </c>
      <c r="B217" s="108"/>
      <c r="C217" s="104"/>
      <c r="D217" s="105"/>
      <c r="E217" s="104"/>
      <c r="F217" s="106">
        <v>200</v>
      </c>
      <c r="G217" s="335">
        <v>25000</v>
      </c>
      <c r="H217" s="335"/>
      <c r="I217" s="335">
        <f>G217+H217</f>
        <v>25000</v>
      </c>
      <c r="J217" s="335">
        <v>25000</v>
      </c>
      <c r="K217" s="266"/>
      <c r="L217" s="266">
        <f>K217+J217</f>
        <v>25000</v>
      </c>
    </row>
    <row r="218" spans="1:12" ht="47.25" x14ac:dyDescent="0.2">
      <c r="A218" s="107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IF(B218&gt;0,VLOOKUP(B218,КВСР!A81:B1246,2),IF(C218&gt;0,VLOOKUP(C218,КФСР!A81:B1593,2),IF(D218&gt;0,VLOOKUP(D218,Программа!A$1:B$5124,2),IF(F218&gt;0,VLOOKUP(F218,КВР!A$1:B$5001,2),IF(E218&gt;0,VLOOKUP(E218,Направление!A$1:B$4816,2))))))</f>
        <v>Расходы на реализацию мероприятий по борьбе с борщевиком Сосновского на территории Ярославской области</v>
      </c>
      <c r="B218" s="108"/>
      <c r="C218" s="104"/>
      <c r="D218" s="105"/>
      <c r="E218" s="104">
        <v>76900</v>
      </c>
      <c r="F218" s="106"/>
      <c r="G218" s="335">
        <v>447065</v>
      </c>
      <c r="H218" s="335">
        <f t="shared" ref="H218:L218" si="146">H219</f>
        <v>0</v>
      </c>
      <c r="I218" s="335">
        <f t="shared" si="146"/>
        <v>447065</v>
      </c>
      <c r="J218" s="335">
        <v>447065</v>
      </c>
      <c r="K218" s="266">
        <f t="shared" si="146"/>
        <v>0</v>
      </c>
      <c r="L218" s="266">
        <f t="shared" si="146"/>
        <v>447065</v>
      </c>
    </row>
    <row r="219" spans="1:12" ht="63" x14ac:dyDescent="0.2">
      <c r="A219" s="107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IF(B219&gt;0,VLOOKUP(B219,КВСР!A82:B1247,2),IF(C219&gt;0,VLOOKUP(C219,КФСР!A82:B1594,2),IF(D219&gt;0,VLOOKUP(D219,Программа!A$1:B$5124,2),IF(F219&gt;0,VLOOKUP(F219,КВР!A$1:B$5001,2),IF(E219&gt;0,VLOOKUP(E219,Направление!A$1:B$4816,2))))))</f>
        <v xml:space="preserve">Закупка товаров, работ и услуг для обеспечения государственных (муниципальных) нужд
</v>
      </c>
      <c r="B219" s="108"/>
      <c r="C219" s="104"/>
      <c r="D219" s="105"/>
      <c r="E219" s="104"/>
      <c r="F219" s="106">
        <v>200</v>
      </c>
      <c r="G219" s="335">
        <v>447065</v>
      </c>
      <c r="H219" s="335"/>
      <c r="I219" s="335">
        <f>G219+H219</f>
        <v>447065</v>
      </c>
      <c r="J219" s="335">
        <v>447065</v>
      </c>
      <c r="K219" s="266"/>
      <c r="L219" s="266">
        <f>J219+K219</f>
        <v>447065</v>
      </c>
    </row>
    <row r="220" spans="1:12" ht="15.75" x14ac:dyDescent="0.2">
      <c r="A220" s="107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IF(B220&gt;0,VLOOKUP(B220,КВСР!A83:B1248,2),IF(C220&gt;0,VLOOKUP(C220,КФСР!A83:B1595,2),IF(D220&gt;0,VLOOKUP(D220,Программа!A$1:B$5124,2),IF(F220&gt;0,VLOOKUP(F220,КВР!A$1:B$5001,2),IF(E220&gt;0,VLOOKUP(E220,Направление!A$1:B$4816,2))))))</f>
        <v>Массовый спорт</v>
      </c>
      <c r="B220" s="108"/>
      <c r="C220" s="104">
        <v>1102</v>
      </c>
      <c r="D220" s="105"/>
      <c r="E220" s="104"/>
      <c r="F220" s="106"/>
      <c r="G220" s="335">
        <v>16000000</v>
      </c>
      <c r="H220" s="335">
        <f>H221</f>
        <v>0</v>
      </c>
      <c r="I220" s="335">
        <f t="shared" ref="H220:I227" si="147">I221</f>
        <v>16000000</v>
      </c>
      <c r="J220" s="335">
        <v>268236880</v>
      </c>
      <c r="K220" s="335">
        <f t="shared" ref="K220:K227" si="148">K221</f>
        <v>0</v>
      </c>
      <c r="L220" s="335">
        <f t="shared" ref="L220:L227" si="149">L221</f>
        <v>268236880</v>
      </c>
    </row>
    <row r="221" spans="1:12" ht="63" x14ac:dyDescent="0.2">
      <c r="A221" s="107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21" s="108"/>
      <c r="C221" s="104"/>
      <c r="D221" s="105" t="s">
        <v>367</v>
      </c>
      <c r="E221" s="104"/>
      <c r="F221" s="106"/>
      <c r="G221" s="335">
        <v>16000000</v>
      </c>
      <c r="H221" s="335">
        <f t="shared" si="147"/>
        <v>0</v>
      </c>
      <c r="I221" s="335">
        <f t="shared" si="147"/>
        <v>16000000</v>
      </c>
      <c r="J221" s="335">
        <v>268236880</v>
      </c>
      <c r="K221" s="335">
        <f t="shared" si="148"/>
        <v>0</v>
      </c>
      <c r="L221" s="335">
        <f t="shared" si="149"/>
        <v>268236880</v>
      </c>
    </row>
    <row r="222" spans="1:12" ht="47.25" x14ac:dyDescent="0.2">
      <c r="A222" s="107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222" s="108"/>
      <c r="C222" s="104"/>
      <c r="D222" s="105" t="s">
        <v>386</v>
      </c>
      <c r="E222" s="104"/>
      <c r="F222" s="106"/>
      <c r="G222" s="335">
        <v>16000000</v>
      </c>
      <c r="H222" s="335">
        <f>H226+H223</f>
        <v>0</v>
      </c>
      <c r="I222" s="335">
        <f t="shared" ref="I222:L222" si="150">I226+I223</f>
        <v>16000000</v>
      </c>
      <c r="J222" s="335">
        <f t="shared" si="150"/>
        <v>268236880</v>
      </c>
      <c r="K222" s="335">
        <f t="shared" si="150"/>
        <v>0</v>
      </c>
      <c r="L222" s="335">
        <f t="shared" si="150"/>
        <v>268236880</v>
      </c>
    </row>
    <row r="223" spans="1:12" ht="47.25" x14ac:dyDescent="0.2">
      <c r="A223" s="107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IF(B223&gt;0,VLOOKUP(B223,КВСР!A86:B1251,2),IF(C223&gt;0,VLOOKUP(C223,КФСР!A86:B1598,2),IF(D223&gt;0,VLOOKUP(D223,Программа!A$1:B$5124,2),IF(F223&gt;0,VLOOKUP(F223,КВР!A$1:B$5001,2),IF(E223&gt;0,VLOOKUP(E223,Направление!A$1:B$4816,2))))))</f>
        <v>Строительство и реконструкция спортивных сооружений и укрепление материальной базы</v>
      </c>
      <c r="B223" s="108"/>
      <c r="C223" s="104"/>
      <c r="D223" s="105" t="s">
        <v>387</v>
      </c>
      <c r="E223" s="104"/>
      <c r="F223" s="106"/>
      <c r="G223" s="335">
        <v>16000000</v>
      </c>
      <c r="H223" s="335">
        <f t="shared" ref="H223:L224" si="151">H224</f>
        <v>0</v>
      </c>
      <c r="I223" s="335">
        <f t="shared" si="151"/>
        <v>16000000</v>
      </c>
      <c r="J223" s="335">
        <f t="shared" si="151"/>
        <v>0</v>
      </c>
      <c r="K223" s="335">
        <f t="shared" si="151"/>
        <v>0</v>
      </c>
      <c r="L223" s="335">
        <f t="shared" si="151"/>
        <v>0</v>
      </c>
    </row>
    <row r="224" spans="1:12" ht="47.25" x14ac:dyDescent="0.2">
      <c r="A224" s="107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IF(B224&gt;0,VLOOKUP(B224,КВСР!A87:B1252,2),IF(C224&gt;0,VLOOKUP(C224,КФСР!A87:B1599,2),IF(D224&gt;0,VLOOKUP(D224,Программа!A$1:B$5124,2),IF(F224&gt;0,VLOOKUP(F224,КВР!A$1:B$5001,2),IF(E224&gt;0,VLOOKUP(E224,Направление!A$1:B$4816,2))))))</f>
        <v>Мероприятия по строительству, реконструкции и ремонту спортивных объектов</v>
      </c>
      <c r="B224" s="108"/>
      <c r="C224" s="104"/>
      <c r="D224" s="105"/>
      <c r="E224" s="104">
        <v>14100</v>
      </c>
      <c r="F224" s="106"/>
      <c r="G224" s="335">
        <v>16000000</v>
      </c>
      <c r="H224" s="335">
        <f t="shared" si="151"/>
        <v>0</v>
      </c>
      <c r="I224" s="335">
        <f t="shared" si="151"/>
        <v>16000000</v>
      </c>
      <c r="J224" s="335">
        <f t="shared" si="151"/>
        <v>0</v>
      </c>
      <c r="K224" s="335">
        <f t="shared" si="151"/>
        <v>0</v>
      </c>
      <c r="L224" s="335">
        <f t="shared" si="151"/>
        <v>0</v>
      </c>
    </row>
    <row r="225" spans="1:12" ht="47.25" x14ac:dyDescent="0.2">
      <c r="A225" s="107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IF(B225&gt;0,VLOOKUP(B225,КВСР!A88:B1253,2),IF(C225&gt;0,VLOOKUP(C225,КФСР!A88:B1600,2),IF(D225&gt;0,VLOOKUP(D225,Программа!A$1:B$5124,2),IF(F225&gt;0,VLOOKUP(F225,КВР!A$1:B$5001,2),IF(E225&gt;0,VLOOKUP(E225,Направление!A$1:B$4816,2))))))</f>
        <v>Капитальные вложения в объекты государственной (муниципальной) собственности</v>
      </c>
      <c r="B225" s="108"/>
      <c r="C225" s="104"/>
      <c r="D225" s="105"/>
      <c r="E225" s="104"/>
      <c r="F225" s="106">
        <v>400</v>
      </c>
      <c r="G225" s="335">
        <v>16000000</v>
      </c>
      <c r="H225" s="335"/>
      <c r="I225" s="335">
        <f>G225+H225</f>
        <v>16000000</v>
      </c>
      <c r="J225" s="335"/>
      <c r="K225" s="335"/>
      <c r="L225" s="266">
        <f>J225+K225</f>
        <v>0</v>
      </c>
    </row>
    <row r="226" spans="1:12" ht="31.5" x14ac:dyDescent="0.2">
      <c r="A226" s="107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IF(B226&gt;0,VLOOKUP(B226,КВСР!A86:B1251,2),IF(C226&gt;0,VLOOKUP(C226,КФСР!A86:B1598,2),IF(D226&gt;0,VLOOKUP(D226,Программа!A$1:B$5124,2),IF(F226&gt;0,VLOOKUP(F226,КВР!A$1:B$5001,2),IF(E226&gt;0,VLOOKUP(E226,Направление!A$1:B$4816,2))))))</f>
        <v>Региональный проект "Спорт – норма жизни"</v>
      </c>
      <c r="B226" s="108"/>
      <c r="C226" s="104"/>
      <c r="D226" s="105" t="s">
        <v>1656</v>
      </c>
      <c r="E226" s="104"/>
      <c r="F226" s="106"/>
      <c r="G226" s="335">
        <v>0</v>
      </c>
      <c r="H226" s="335">
        <f t="shared" si="147"/>
        <v>0</v>
      </c>
      <c r="I226" s="335">
        <f t="shared" si="147"/>
        <v>0</v>
      </c>
      <c r="J226" s="335">
        <v>268236880</v>
      </c>
      <c r="K226" s="335">
        <f t="shared" si="148"/>
        <v>0</v>
      </c>
      <c r="L226" s="335">
        <f t="shared" si="149"/>
        <v>268236880</v>
      </c>
    </row>
    <row r="227" spans="1:12" ht="63" x14ac:dyDescent="0.2">
      <c r="A227" s="107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IF(B227&gt;0,VLOOKUP(B227,КВСР!A87:B1252,2),IF(C227&gt;0,VLOOKUP(C227,КФСР!A87:B1599,2),IF(D227&gt;0,VLOOKUP(D227,Программа!A$1:B$5124,2),IF(F227&gt;0,VLOOKUP(F227,КВР!A$1:B$5001,2),IF(E227&gt;0,VLOOKUP(E227,Направление!A$1:B$4816,2))))))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08"/>
      <c r="C227" s="104"/>
      <c r="D227" s="105"/>
      <c r="E227" s="104">
        <v>51390</v>
      </c>
      <c r="F227" s="106"/>
      <c r="G227" s="335">
        <v>0</v>
      </c>
      <c r="H227" s="335">
        <f t="shared" si="147"/>
        <v>0</v>
      </c>
      <c r="I227" s="335">
        <f t="shared" si="147"/>
        <v>0</v>
      </c>
      <c r="J227" s="335">
        <v>268236880</v>
      </c>
      <c r="K227" s="335">
        <f t="shared" si="148"/>
        <v>0</v>
      </c>
      <c r="L227" s="335">
        <f t="shared" si="149"/>
        <v>268236880</v>
      </c>
    </row>
    <row r="228" spans="1:12" ht="47.25" x14ac:dyDescent="0.2">
      <c r="A228" s="107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IF(B228&gt;0,VLOOKUP(B228,КВСР!A88:B1253,2),IF(C228&gt;0,VLOOKUP(C228,КФСР!A88:B1600,2),IF(D228&gt;0,VLOOKUP(D228,Программа!A$1:B$5124,2),IF(F228&gt;0,VLOOKUP(F228,КВР!A$1:B$5001,2),IF(E228&gt;0,VLOOKUP(E228,Направление!A$1:B$4816,2))))))</f>
        <v>Капитальные вложения в объекты государственной (муниципальной) собственности</v>
      </c>
      <c r="B228" s="108"/>
      <c r="C228" s="104"/>
      <c r="D228" s="105"/>
      <c r="E228" s="104"/>
      <c r="F228" s="106">
        <v>400</v>
      </c>
      <c r="G228" s="335">
        <v>0</v>
      </c>
      <c r="H228" s="335"/>
      <c r="I228" s="335">
        <f>G228+H228</f>
        <v>0</v>
      </c>
      <c r="J228" s="335">
        <v>268236880</v>
      </c>
      <c r="K228" s="266"/>
      <c r="L228" s="266">
        <f>J228+K228</f>
        <v>268236880</v>
      </c>
    </row>
    <row r="229" spans="1:12" ht="15.75" x14ac:dyDescent="0.2">
      <c r="A229" s="107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IF(B229&gt;0,VLOOKUP(B229,КВСР!A89:B1254,2),IF(C229&gt;0,VLOOKUP(C229,КФСР!A89:B1601,2),IF(D229&gt;0,VLOOKUP(D229,Программа!A$1:B$5124,2),IF(F229&gt;0,VLOOKUP(F229,КВР!A$1:B$5001,2),IF(E229&gt;0,VLOOKUP(E229,Направление!A$1:B$4816,2))))))</f>
        <v>Периодическая печать и издательства</v>
      </c>
      <c r="B229" s="108"/>
      <c r="C229" s="104">
        <v>1202</v>
      </c>
      <c r="D229" s="105"/>
      <c r="E229" s="104"/>
      <c r="F229" s="106"/>
      <c r="G229" s="335">
        <v>2500000</v>
      </c>
      <c r="H229" s="335">
        <f t="shared" ref="H229:I231" si="152">H230</f>
        <v>0</v>
      </c>
      <c r="I229" s="335">
        <f t="shared" si="152"/>
        <v>2500000</v>
      </c>
      <c r="J229" s="335">
        <v>0</v>
      </c>
      <c r="K229" s="335">
        <f t="shared" ref="K229:K231" si="153">K230</f>
        <v>0</v>
      </c>
      <c r="L229" s="335">
        <f t="shared" ref="L229:L231" si="154">L230</f>
        <v>0</v>
      </c>
    </row>
    <row r="230" spans="1:12" ht="15.75" x14ac:dyDescent="0.2">
      <c r="A230" s="107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IF(B230&gt;0,VLOOKUP(B230,КВСР!A90:B1255,2),IF(C230&gt;0,VLOOKUP(C230,КФСР!A90:B1602,2),IF(D230&gt;0,VLOOKUP(D230,Программа!A$1:B$5124,2),IF(F230&gt;0,VLOOKUP(F230,КВР!A$1:B$5001,2),IF(E230&gt;0,VLOOKUP(E230,Направление!A$1:B$4816,2))))))</f>
        <v>Непрограммные расходы бюджета</v>
      </c>
      <c r="B230" s="108"/>
      <c r="C230" s="104"/>
      <c r="D230" s="105" t="s">
        <v>311</v>
      </c>
      <c r="E230" s="104"/>
      <c r="F230" s="106"/>
      <c r="G230" s="335">
        <v>2500000</v>
      </c>
      <c r="H230" s="335">
        <f t="shared" si="152"/>
        <v>0</v>
      </c>
      <c r="I230" s="335">
        <f t="shared" si="152"/>
        <v>2500000</v>
      </c>
      <c r="J230" s="335">
        <v>0</v>
      </c>
      <c r="K230" s="335">
        <f t="shared" si="153"/>
        <v>0</v>
      </c>
      <c r="L230" s="335">
        <f t="shared" si="154"/>
        <v>0</v>
      </c>
    </row>
    <row r="231" spans="1:12" ht="15.75" x14ac:dyDescent="0.2">
      <c r="A231" s="107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IF(B231&gt;0,VLOOKUP(B231,КВСР!A91:B1256,2),IF(C231&gt;0,VLOOKUP(C231,КФСР!A91:B1603,2),IF(D231&gt;0,VLOOKUP(D231,Программа!A$1:B$5124,2),IF(F231&gt;0,VLOOKUP(F231,КВР!A$1:B$5001,2),IF(E231&gt;0,VLOOKUP(E231,Направление!A$1:B$4816,2))))))</f>
        <v xml:space="preserve">Поддержка периодических изданий </v>
      </c>
      <c r="B231" s="108"/>
      <c r="C231" s="104"/>
      <c r="D231" s="105"/>
      <c r="E231" s="104">
        <v>12750</v>
      </c>
      <c r="F231" s="106"/>
      <c r="G231" s="335">
        <v>2500000</v>
      </c>
      <c r="H231" s="335">
        <f t="shared" si="152"/>
        <v>0</v>
      </c>
      <c r="I231" s="335">
        <f t="shared" si="152"/>
        <v>2500000</v>
      </c>
      <c r="J231" s="335">
        <v>0</v>
      </c>
      <c r="K231" s="335">
        <f t="shared" si="153"/>
        <v>0</v>
      </c>
      <c r="L231" s="335">
        <f t="shared" si="154"/>
        <v>0</v>
      </c>
    </row>
    <row r="232" spans="1:12" ht="47.25" x14ac:dyDescent="0.2">
      <c r="A232" s="107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IF(B232&gt;0,VLOOKUP(B232,КВСР!A92:B1257,2),IF(C232&gt;0,VLOOKUP(C232,КФСР!A92:B1604,2),IF(D232&gt;0,VLOOKUP(D232,Программа!A$1:B$5124,2),IF(F232&gt;0,VLOOKUP(F232,КВР!A$1:B$5001,2),IF(E232&gt;0,VLOOKUP(E232,Направление!A$1:B$4816,2))))))</f>
        <v>Предоставление субсидий бюджетным, автономным учреждениям и иным некоммерческим организациям</v>
      </c>
      <c r="B232" s="108"/>
      <c r="C232" s="104"/>
      <c r="D232" s="105"/>
      <c r="E232" s="104"/>
      <c r="F232" s="106">
        <v>600</v>
      </c>
      <c r="G232" s="335">
        <v>2500000</v>
      </c>
      <c r="H232" s="335"/>
      <c r="I232" s="335">
        <f>G232+H232</f>
        <v>2500000</v>
      </c>
      <c r="J232" s="335">
        <v>0</v>
      </c>
      <c r="K232" s="266"/>
      <c r="L232" s="266">
        <f>J232+K232</f>
        <v>0</v>
      </c>
    </row>
    <row r="233" spans="1:12" ht="31.5" x14ac:dyDescent="0.2">
      <c r="A233" s="102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IF(B233&gt;0,VLOOKUP(B233,КВСР!A51:B1216,2),IF(C233&gt;0,VLOOKUP(C233,КФСР!A51:B1563,2),IF(D233&gt;0,VLOOKUP(D233,Программа!A$1:B$5124,2),IF(F233&gt;0,VLOOKUP(F233,КВР!A$1:B$5001,2),IF(E233&gt;0,VLOOKUP(E233,Направление!A$1:B$4816,2))))))</f>
        <v>Департамент муниципального имущества Администрации ТМР</v>
      </c>
      <c r="B233" s="103">
        <v>952</v>
      </c>
      <c r="C233" s="104"/>
      <c r="D233" s="105"/>
      <c r="E233" s="104"/>
      <c r="F233" s="106"/>
      <c r="G233" s="338">
        <v>7730000</v>
      </c>
      <c r="H233" s="338">
        <f t="shared" ref="H233:L233" si="155">H234+H253+H259</f>
        <v>0</v>
      </c>
      <c r="I233" s="338">
        <f t="shared" si="155"/>
        <v>7730000</v>
      </c>
      <c r="J233" s="338">
        <v>1380000</v>
      </c>
      <c r="K233" s="334">
        <f t="shared" si="155"/>
        <v>0</v>
      </c>
      <c r="L233" s="334">
        <f t="shared" si="155"/>
        <v>1380000</v>
      </c>
    </row>
    <row r="234" spans="1:12" ht="15.75" x14ac:dyDescent="0.2">
      <c r="A234" s="107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IF(B234&gt;0,VLOOKUP(B234,КВСР!A52:B1217,2),IF(C234&gt;0,VLOOKUP(C234,КФСР!A52:B1564,2),IF(D234&gt;0,VLOOKUP(D234,Программа!A$1:B$5124,2),IF(F234&gt;0,VLOOKUP(F234,КВР!A$1:B$5001,2),IF(E234&gt;0,VLOOKUP(E234,Направление!A$1:B$4816,2))))))</f>
        <v>Другие общегосударственные вопросы</v>
      </c>
      <c r="B234" s="108"/>
      <c r="C234" s="104">
        <v>113</v>
      </c>
      <c r="D234" s="105"/>
      <c r="E234" s="104"/>
      <c r="F234" s="106"/>
      <c r="G234" s="335">
        <v>6780000</v>
      </c>
      <c r="H234" s="335">
        <f t="shared" ref="H234:K234" si="156">H239+H235</f>
        <v>0</v>
      </c>
      <c r="I234" s="335">
        <f t="shared" si="156"/>
        <v>6780000</v>
      </c>
      <c r="J234" s="335">
        <v>550000</v>
      </c>
      <c r="K234" s="266">
        <f t="shared" si="156"/>
        <v>0</v>
      </c>
      <c r="L234" s="266">
        <f>L239+L235</f>
        <v>550000</v>
      </c>
    </row>
    <row r="235" spans="1:12" ht="63" x14ac:dyDescent="0.2">
      <c r="A235" s="107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08"/>
      <c r="C235" s="104"/>
      <c r="D235" s="105" t="s">
        <v>326</v>
      </c>
      <c r="E235" s="104"/>
      <c r="F235" s="106"/>
      <c r="G235" s="335">
        <v>150000</v>
      </c>
      <c r="H235" s="335">
        <f t="shared" ref="H235:L236" si="157">H236</f>
        <v>0</v>
      </c>
      <c r="I235" s="335">
        <f t="shared" si="157"/>
        <v>150000</v>
      </c>
      <c r="J235" s="335">
        <v>0</v>
      </c>
      <c r="K235" s="266">
        <f t="shared" si="157"/>
        <v>0</v>
      </c>
      <c r="L235" s="266">
        <f>L236</f>
        <v>0</v>
      </c>
    </row>
    <row r="236" spans="1:12" ht="31.5" x14ac:dyDescent="0.2">
      <c r="A236" s="107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IF(B236&gt;0,VLOOKUP(B236,КВСР!A54:B1219,2),IF(C236&gt;0,VLOOKUP(C236,КФСР!A54:B1566,2),IF(D236&gt;0,VLOOKUP(D236,Программа!A$1:B$5124,2),IF(F236&gt;0,VLOOKUP(F236,КВР!A$1:B$5001,2),IF(E236&gt;0,VLOOKUP(E236,Направление!A$1:B$4816,2))))))</f>
        <v>Бесперебойное функционирование информационных систем</v>
      </c>
      <c r="B236" s="108"/>
      <c r="C236" s="104"/>
      <c r="D236" s="105" t="s">
        <v>360</v>
      </c>
      <c r="E236" s="104"/>
      <c r="F236" s="106"/>
      <c r="G236" s="335">
        <v>150000</v>
      </c>
      <c r="H236" s="335">
        <f t="shared" si="157"/>
        <v>0</v>
      </c>
      <c r="I236" s="335">
        <f t="shared" si="157"/>
        <v>150000</v>
      </c>
      <c r="J236" s="335">
        <v>0</v>
      </c>
      <c r="K236" s="266">
        <f t="shared" si="157"/>
        <v>0</v>
      </c>
      <c r="L236" s="266">
        <f t="shared" si="157"/>
        <v>0</v>
      </c>
    </row>
    <row r="237" spans="1:12" ht="31.5" x14ac:dyDescent="0.2">
      <c r="A237" s="107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IF(B237&gt;0,VLOOKUP(B237,КВСР!A55:B1220,2),IF(C237&gt;0,VLOOKUP(C237,КФСР!A55:B1567,2),IF(D237&gt;0,VLOOKUP(D237,Программа!A$1:B$5124,2),IF(F237&gt;0,VLOOKUP(F237,КВР!A$1:B$5001,2),IF(E237&gt;0,VLOOKUP(E237,Направление!A$1:B$4816,2))))))</f>
        <v>Расходы на проведение мероприятий по информатизации</v>
      </c>
      <c r="B237" s="108"/>
      <c r="C237" s="104"/>
      <c r="D237" s="105"/>
      <c r="E237" s="104">
        <v>12210</v>
      </c>
      <c r="F237" s="106"/>
      <c r="G237" s="335">
        <v>150000</v>
      </c>
      <c r="H237" s="335">
        <f t="shared" ref="H237:L237" si="158">H238</f>
        <v>0</v>
      </c>
      <c r="I237" s="335">
        <f t="shared" si="158"/>
        <v>150000</v>
      </c>
      <c r="J237" s="335">
        <v>0</v>
      </c>
      <c r="K237" s="266">
        <f t="shared" si="158"/>
        <v>0</v>
      </c>
      <c r="L237" s="266">
        <f t="shared" si="158"/>
        <v>0</v>
      </c>
    </row>
    <row r="238" spans="1:12" ht="63" x14ac:dyDescent="0.2">
      <c r="A238" s="107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IF(B238&gt;0,VLOOKUP(B238,КВСР!A56:B1221,2),IF(C238&gt;0,VLOOKUP(C238,КФСР!A56:B1568,2),IF(D238&gt;0,VLOOKUP(D238,Программа!A$1:B$5124,2),IF(F238&gt;0,VLOOKUP(F238,КВР!A$1:B$5001,2),IF(E238&gt;0,VLOOKUP(E238,Направление!A$1:B$4816,2))))))</f>
        <v xml:space="preserve">Закупка товаров, работ и услуг для обеспечения государственных (муниципальных) нужд
</v>
      </c>
      <c r="B238" s="108"/>
      <c r="C238" s="104"/>
      <c r="D238" s="105"/>
      <c r="E238" s="104"/>
      <c r="F238" s="106">
        <v>200</v>
      </c>
      <c r="G238" s="335">
        <v>150000</v>
      </c>
      <c r="H238" s="335"/>
      <c r="I238" s="335">
        <f>G238+H238</f>
        <v>150000</v>
      </c>
      <c r="J238" s="335">
        <v>0</v>
      </c>
      <c r="K238" s="266"/>
      <c r="L238" s="266">
        <f>J238+K238</f>
        <v>0</v>
      </c>
    </row>
    <row r="239" spans="1:12" ht="15.75" x14ac:dyDescent="0.2">
      <c r="A239" s="107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IF(B239&gt;0,VLOOKUP(B239,КВСР!A53:B1218,2),IF(C239&gt;0,VLOOKUP(C239,КФСР!A53:B1565,2),IF(D239&gt;0,VLOOKUP(D239,Программа!A$1:B$5124,2),IF(F239&gt;0,VLOOKUP(F239,КВР!A$1:B$5001,2),IF(E239&gt;0,VLOOKUP(E239,Направление!A$1:B$4816,2))))))</f>
        <v>Непрограммные расходы бюджета</v>
      </c>
      <c r="B239" s="108"/>
      <c r="C239" s="104"/>
      <c r="D239" s="105" t="s">
        <v>311</v>
      </c>
      <c r="E239" s="104"/>
      <c r="F239" s="106"/>
      <c r="G239" s="335">
        <v>6630000</v>
      </c>
      <c r="H239" s="335">
        <f t="shared" ref="H239:L239" si="159">H240+H248+H244+H246+H251</f>
        <v>0</v>
      </c>
      <c r="I239" s="335">
        <f t="shared" si="159"/>
        <v>6630000</v>
      </c>
      <c r="J239" s="335">
        <v>550000</v>
      </c>
      <c r="K239" s="335">
        <f t="shared" si="159"/>
        <v>0</v>
      </c>
      <c r="L239" s="335">
        <f t="shared" si="159"/>
        <v>550000</v>
      </c>
    </row>
    <row r="240" spans="1:12" ht="15.75" x14ac:dyDescent="0.2">
      <c r="A240" s="107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IF(B240&gt;0,VLOOKUP(B240,КВСР!A54:B1219,2),IF(C240&gt;0,VLOOKUP(C240,КФСР!A54:B1566,2),IF(D240&gt;0,VLOOKUP(D240,Программа!A$1:B$5124,2),IF(F240&gt;0,VLOOKUP(F240,КВР!A$1:B$5001,2),IF(E240&gt;0,VLOOKUP(E240,Направление!A$1:B$4816,2))))))</f>
        <v>Содержание центрального аппарата</v>
      </c>
      <c r="B240" s="108"/>
      <c r="C240" s="104"/>
      <c r="D240" s="105"/>
      <c r="E240" s="104">
        <v>12010</v>
      </c>
      <c r="F240" s="106"/>
      <c r="G240" s="335">
        <v>5285000</v>
      </c>
      <c r="H240" s="335">
        <f t="shared" ref="H240:L240" si="160">H241+H242+H243</f>
        <v>0</v>
      </c>
      <c r="I240" s="335">
        <f t="shared" si="160"/>
        <v>5285000</v>
      </c>
      <c r="J240" s="335">
        <v>0</v>
      </c>
      <c r="K240" s="266">
        <f t="shared" si="160"/>
        <v>0</v>
      </c>
      <c r="L240" s="266">
        <f t="shared" si="160"/>
        <v>0</v>
      </c>
    </row>
    <row r="241" spans="1:12" ht="110.25" x14ac:dyDescent="0.2">
      <c r="A241" s="107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08"/>
      <c r="C241" s="104"/>
      <c r="D241" s="105"/>
      <c r="E241" s="104"/>
      <c r="F241" s="106">
        <v>100</v>
      </c>
      <c r="G241" s="335">
        <v>5195000</v>
      </c>
      <c r="H241" s="335"/>
      <c r="I241" s="335">
        <f>SUM(G241:H241)</f>
        <v>5195000</v>
      </c>
      <c r="J241" s="335">
        <v>0</v>
      </c>
      <c r="K241" s="266"/>
      <c r="L241" s="266">
        <f t="shared" si="10"/>
        <v>0</v>
      </c>
    </row>
    <row r="242" spans="1:12" ht="63" x14ac:dyDescent="0.2">
      <c r="A242" s="107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IF(B242&gt;0,VLOOKUP(B242,КВСР!A56:B1221,2),IF(C242&gt;0,VLOOKUP(C242,КФСР!A56:B1568,2),IF(D242&gt;0,VLOOKUP(D242,Программа!A$1:B$5124,2),IF(F242&gt;0,VLOOKUP(F242,КВР!A$1:B$5001,2),IF(E242&gt;0,VLOOKUP(E242,Направление!A$1:B$4816,2))))))</f>
        <v xml:space="preserve">Закупка товаров, работ и услуг для обеспечения государственных (муниципальных) нужд
</v>
      </c>
      <c r="B242" s="108"/>
      <c r="C242" s="104"/>
      <c r="D242" s="105"/>
      <c r="E242" s="104"/>
      <c r="F242" s="106">
        <v>200</v>
      </c>
      <c r="G242" s="335">
        <v>90000</v>
      </c>
      <c r="H242" s="335"/>
      <c r="I242" s="335">
        <f t="shared" ref="I242:I243" si="161">SUM(G242:H242)</f>
        <v>90000</v>
      </c>
      <c r="J242" s="335">
        <v>0</v>
      </c>
      <c r="K242" s="266"/>
      <c r="L242" s="266">
        <f t="shared" si="10"/>
        <v>0</v>
      </c>
    </row>
    <row r="243" spans="1:12" ht="15.75" x14ac:dyDescent="0.2">
      <c r="A243" s="107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IF(B243&gt;0,VLOOKUP(B243,КВСР!A57:B1222,2),IF(C243&gt;0,VLOOKUP(C243,КФСР!A57:B1569,2),IF(D243&gt;0,VLOOKUP(D243,Программа!A$1:B$5124,2),IF(F243&gt;0,VLOOKUP(F243,КВР!A$1:B$5001,2),IF(E243&gt;0,VLOOKUP(E243,Направление!A$1:B$4816,2))))))</f>
        <v>Иные бюджетные ассигнования</v>
      </c>
      <c r="B243" s="108"/>
      <c r="C243" s="104"/>
      <c r="D243" s="105"/>
      <c r="E243" s="104"/>
      <c r="F243" s="106">
        <v>800</v>
      </c>
      <c r="G243" s="335">
        <v>0</v>
      </c>
      <c r="H243" s="335"/>
      <c r="I243" s="335">
        <f t="shared" si="161"/>
        <v>0</v>
      </c>
      <c r="J243" s="335">
        <v>0</v>
      </c>
      <c r="K243" s="266"/>
      <c r="L243" s="266">
        <f t="shared" si="10"/>
        <v>0</v>
      </c>
    </row>
    <row r="244" spans="1:12" ht="31.5" x14ac:dyDescent="0.2">
      <c r="A244" s="107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IF(B244&gt;0,VLOOKUP(B244,КВСР!A57:B1222,2),IF(C244&gt;0,VLOOKUP(C244,КФСР!A57:B1569,2),IF(D244&gt;0,VLOOKUP(D244,Программа!A$1:B$5124,2),IF(F244&gt;0,VLOOKUP(F244,КВР!A$1:B$5001,2),IF(E244&gt;0,VLOOKUP(E244,Направление!A$1:B$4816,2))))))</f>
        <v>Выполнение других обязательств органов местного самоуправления</v>
      </c>
      <c r="B244" s="108"/>
      <c r="C244" s="104"/>
      <c r="D244" s="105"/>
      <c r="E244" s="104">
        <v>12080</v>
      </c>
      <c r="F244" s="106"/>
      <c r="G244" s="335">
        <v>665000</v>
      </c>
      <c r="H244" s="335">
        <f t="shared" ref="H244:K244" si="162">H245</f>
        <v>0</v>
      </c>
      <c r="I244" s="335">
        <f t="shared" si="162"/>
        <v>665000</v>
      </c>
      <c r="J244" s="335">
        <v>0</v>
      </c>
      <c r="K244" s="266">
        <f t="shared" si="162"/>
        <v>0</v>
      </c>
      <c r="L244" s="266">
        <f t="shared" si="10"/>
        <v>0</v>
      </c>
    </row>
    <row r="245" spans="1:12" ht="63" x14ac:dyDescent="0.2">
      <c r="A245" s="107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08"/>
      <c r="C245" s="104"/>
      <c r="D245" s="105"/>
      <c r="E245" s="104"/>
      <c r="F245" s="106">
        <v>200</v>
      </c>
      <c r="G245" s="335">
        <v>665000</v>
      </c>
      <c r="H245" s="335"/>
      <c r="I245" s="335">
        <f>G245+H245</f>
        <v>665000</v>
      </c>
      <c r="J245" s="335">
        <v>0</v>
      </c>
      <c r="K245" s="266"/>
      <c r="L245" s="266">
        <f t="shared" si="10"/>
        <v>0</v>
      </c>
    </row>
    <row r="246" spans="1:12" ht="47.25" x14ac:dyDescent="0.2">
      <c r="A246" s="107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IF(B246&gt;0,VLOOKUP(B246,КВСР!A59:B1224,2),IF(C246&gt;0,VLOOKUP(C246,КФСР!A59:B1571,2),IF(D246&gt;0,VLOOKUP(D246,Программа!A$1:B$5124,2),IF(F246&gt;0,VLOOKUP(F246,КВР!A$1:B$5001,2),IF(E246&gt;0,VLOOKUP(E246,Направление!A$1:B$4816,2))))))</f>
        <v>Оценка недвижимости, признание прав и регулирование отношений по муниципальной собственности</v>
      </c>
      <c r="B246" s="108"/>
      <c r="C246" s="104"/>
      <c r="D246" s="105"/>
      <c r="E246" s="104">
        <v>12090</v>
      </c>
      <c r="F246" s="106"/>
      <c r="G246" s="335">
        <v>130000</v>
      </c>
      <c r="H246" s="335">
        <f t="shared" ref="H246:K246" si="163">H247</f>
        <v>0</v>
      </c>
      <c r="I246" s="335">
        <f t="shared" si="163"/>
        <v>130000</v>
      </c>
      <c r="J246" s="335">
        <v>0</v>
      </c>
      <c r="K246" s="266">
        <f t="shared" si="163"/>
        <v>0</v>
      </c>
      <c r="L246" s="266">
        <f t="shared" si="10"/>
        <v>0</v>
      </c>
    </row>
    <row r="247" spans="1:12" ht="63" x14ac:dyDescent="0.2">
      <c r="A247" s="107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08"/>
      <c r="C247" s="104"/>
      <c r="D247" s="105"/>
      <c r="E247" s="104"/>
      <c r="F247" s="106">
        <v>200</v>
      </c>
      <c r="G247" s="335">
        <v>130000</v>
      </c>
      <c r="H247" s="335"/>
      <c r="I247" s="335">
        <f t="shared" ref="I247" si="164">G247+H247</f>
        <v>130000</v>
      </c>
      <c r="J247" s="335">
        <v>0</v>
      </c>
      <c r="K247" s="266"/>
      <c r="L247" s="266">
        <f t="shared" si="10"/>
        <v>0</v>
      </c>
    </row>
    <row r="248" spans="1:12" ht="94.5" x14ac:dyDescent="0.2">
      <c r="A248" s="107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08"/>
      <c r="C248" s="104"/>
      <c r="D248" s="105"/>
      <c r="E248" s="104">
        <v>29026</v>
      </c>
      <c r="F248" s="106"/>
      <c r="G248" s="335">
        <v>250000</v>
      </c>
      <c r="H248" s="335">
        <f t="shared" ref="H248" si="165">H249+H250</f>
        <v>0</v>
      </c>
      <c r="I248" s="335">
        <f t="shared" si="9"/>
        <v>250000</v>
      </c>
      <c r="J248" s="335">
        <v>250000</v>
      </c>
      <c r="K248" s="266">
        <f t="shared" ref="K248" si="166">K249+K250</f>
        <v>0</v>
      </c>
      <c r="L248" s="266">
        <f t="shared" si="10"/>
        <v>250000</v>
      </c>
    </row>
    <row r="249" spans="1:12" ht="110.25" x14ac:dyDescent="0.2">
      <c r="A249" s="107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08"/>
      <c r="C249" s="104"/>
      <c r="D249" s="105"/>
      <c r="E249" s="104"/>
      <c r="F249" s="106">
        <v>100</v>
      </c>
      <c r="G249" s="335">
        <v>0</v>
      </c>
      <c r="H249" s="335"/>
      <c r="I249" s="335">
        <f t="shared" si="9"/>
        <v>0</v>
      </c>
      <c r="J249" s="335">
        <v>0</v>
      </c>
      <c r="K249" s="266"/>
      <c r="L249" s="266">
        <f t="shared" si="10"/>
        <v>0</v>
      </c>
    </row>
    <row r="250" spans="1:12" ht="63" x14ac:dyDescent="0.2">
      <c r="A250" s="107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IF(B250&gt;0,VLOOKUP(B250,КВСР!A58:B1223,2),IF(C250&gt;0,VLOOKUP(C250,КФСР!A58:B1570,2),IF(D250&gt;0,VLOOKUP(D250,Программа!A$1:B$5124,2),IF(F250&gt;0,VLOOKUP(F250,КВР!A$1:B$5001,2),IF(E250&gt;0,VLOOKUP(E250,Направление!A$1:B$4816,2))))))</f>
        <v xml:space="preserve">Закупка товаров, работ и услуг для обеспечения государственных (муниципальных) нужд
</v>
      </c>
      <c r="B250" s="108"/>
      <c r="C250" s="104"/>
      <c r="D250" s="105"/>
      <c r="E250" s="104"/>
      <c r="F250" s="106">
        <v>200</v>
      </c>
      <c r="G250" s="335">
        <v>250000</v>
      </c>
      <c r="H250" s="335"/>
      <c r="I250" s="335">
        <f t="shared" si="9"/>
        <v>250000</v>
      </c>
      <c r="J250" s="335">
        <v>250000</v>
      </c>
      <c r="K250" s="266"/>
      <c r="L250" s="266">
        <f t="shared" si="10"/>
        <v>250000</v>
      </c>
    </row>
    <row r="251" spans="1:12" ht="63" x14ac:dyDescent="0.2">
      <c r="A251" s="107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08"/>
      <c r="C251" s="104"/>
      <c r="D251" s="105"/>
      <c r="E251" s="104">
        <v>29556</v>
      </c>
      <c r="F251" s="106"/>
      <c r="G251" s="335">
        <v>300000</v>
      </c>
      <c r="H251" s="335">
        <f t="shared" ref="H251:L251" si="167">H252</f>
        <v>0</v>
      </c>
      <c r="I251" s="335">
        <f t="shared" si="167"/>
        <v>300000</v>
      </c>
      <c r="J251" s="335">
        <v>300000</v>
      </c>
      <c r="K251" s="335">
        <f t="shared" si="167"/>
        <v>0</v>
      </c>
      <c r="L251" s="335">
        <f t="shared" si="167"/>
        <v>300000</v>
      </c>
    </row>
    <row r="252" spans="1:12" ht="63" x14ac:dyDescent="0.2">
      <c r="A252" s="107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08"/>
      <c r="C252" s="104"/>
      <c r="D252" s="105"/>
      <c r="E252" s="104"/>
      <c r="F252" s="106">
        <v>200</v>
      </c>
      <c r="G252" s="335">
        <v>300000</v>
      </c>
      <c r="H252" s="335"/>
      <c r="I252" s="335">
        <f>G252+H252</f>
        <v>300000</v>
      </c>
      <c r="J252" s="335">
        <v>300000</v>
      </c>
      <c r="K252" s="266"/>
      <c r="L252" s="266">
        <f>J252+K252</f>
        <v>300000</v>
      </c>
    </row>
    <row r="253" spans="1:12" ht="31.5" x14ac:dyDescent="0.2">
      <c r="A253" s="107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IF(B253&gt;0,VLOOKUP(B253,КВСР!A59:B1224,2),IF(C253&gt;0,VLOOKUP(C253,КФСР!A59:B1571,2),IF(D253&gt;0,VLOOKUP(D253,Программа!A$1:B$5124,2),IF(F253&gt;0,VLOOKUP(F253,КВР!A$1:B$5001,2),IF(E253&gt;0,VLOOKUP(E253,Направление!A$1:B$4816,2))))))</f>
        <v>Другие вопросы в области национальной экономики</v>
      </c>
      <c r="B253" s="108"/>
      <c r="C253" s="104">
        <v>412</v>
      </c>
      <c r="D253" s="105"/>
      <c r="E253" s="104"/>
      <c r="F253" s="106"/>
      <c r="G253" s="335">
        <v>520000</v>
      </c>
      <c r="H253" s="335">
        <f t="shared" ref="H253:L253" si="168">H254</f>
        <v>0</v>
      </c>
      <c r="I253" s="335">
        <f t="shared" si="168"/>
        <v>520000</v>
      </c>
      <c r="J253" s="335">
        <v>400000</v>
      </c>
      <c r="K253" s="335">
        <f t="shared" si="168"/>
        <v>0</v>
      </c>
      <c r="L253" s="335">
        <f t="shared" si="168"/>
        <v>400000</v>
      </c>
    </row>
    <row r="254" spans="1:12" ht="15.75" x14ac:dyDescent="0.2">
      <c r="A254" s="107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IF(B254&gt;0,VLOOKUP(B254,КВСР!A60:B1225,2),IF(C254&gt;0,VLOOKUP(C254,КФСР!A60:B1572,2),IF(D254&gt;0,VLOOKUP(D254,Программа!A$1:B$5124,2),IF(F254&gt;0,VLOOKUP(F254,КВР!A$1:B$5001,2),IF(E254&gt;0,VLOOKUP(E254,Направление!A$1:B$4816,2))))))</f>
        <v>Непрограммные расходы бюджета</v>
      </c>
      <c r="B254" s="108"/>
      <c r="C254" s="104"/>
      <c r="D254" s="105" t="s">
        <v>311</v>
      </c>
      <c r="E254" s="104"/>
      <c r="F254" s="106"/>
      <c r="G254" s="335">
        <v>520000</v>
      </c>
      <c r="H254" s="335">
        <f t="shared" ref="H254:I254" si="169">H255+H257</f>
        <v>0</v>
      </c>
      <c r="I254" s="335">
        <f t="shared" si="169"/>
        <v>520000</v>
      </c>
      <c r="J254" s="335">
        <v>400000</v>
      </c>
      <c r="K254" s="335">
        <f t="shared" ref="K254" si="170">K255+K257</f>
        <v>0</v>
      </c>
      <c r="L254" s="335">
        <f t="shared" ref="L254" si="171">L255+L257</f>
        <v>400000</v>
      </c>
    </row>
    <row r="255" spans="1:12" ht="31.5" x14ac:dyDescent="0.2">
      <c r="A255" s="107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IF(B255&gt;0,VLOOKUP(B255,КВСР!A61:B1226,2),IF(C255&gt;0,VLOOKUP(C255,КФСР!A61:B1573,2),IF(D255&gt;0,VLOOKUP(D255,Программа!A$1:B$5124,2),IF(F255&gt;0,VLOOKUP(F255,КВР!A$1:B$5001,2),IF(E255&gt;0,VLOOKUP(E255,Направление!A$1:B$4816,2))))))</f>
        <v>Мероприятия по землеустройству и землепользованию</v>
      </c>
      <c r="B255" s="108"/>
      <c r="C255" s="104"/>
      <c r="D255" s="105"/>
      <c r="E255" s="104">
        <v>10510</v>
      </c>
      <c r="F255" s="106"/>
      <c r="G255" s="335">
        <v>120000</v>
      </c>
      <c r="H255" s="335">
        <f>H256</f>
        <v>0</v>
      </c>
      <c r="I255" s="335">
        <f t="shared" ref="I255" si="172">I256</f>
        <v>120000</v>
      </c>
      <c r="J255" s="335">
        <v>0</v>
      </c>
      <c r="K255" s="266">
        <v>0</v>
      </c>
      <c r="L255" s="266">
        <f t="shared" si="10"/>
        <v>0</v>
      </c>
    </row>
    <row r="256" spans="1:12" ht="63" x14ac:dyDescent="0.2">
      <c r="A256" s="107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IF(B256&gt;0,VLOOKUP(B256,КВСР!A62:B1227,2),IF(C256&gt;0,VLOOKUP(C256,КФСР!A62:B1574,2),IF(D256&gt;0,VLOOKUP(D256,Программа!A$1:B$5124,2),IF(F256&gt;0,VLOOKUP(F256,КВР!A$1:B$5001,2),IF(E256&gt;0,VLOOKUP(E256,Направление!A$1:B$4816,2))))))</f>
        <v xml:space="preserve">Закупка товаров, работ и услуг для обеспечения государственных (муниципальных) нужд
</v>
      </c>
      <c r="B256" s="108"/>
      <c r="C256" s="104"/>
      <c r="D256" s="105"/>
      <c r="E256" s="104"/>
      <c r="F256" s="106">
        <v>200</v>
      </c>
      <c r="G256" s="335">
        <v>120000</v>
      </c>
      <c r="H256" s="335"/>
      <c r="I256" s="335">
        <f>G256+H256</f>
        <v>120000</v>
      </c>
      <c r="J256" s="335">
        <v>0</v>
      </c>
      <c r="K256" s="266"/>
      <c r="L256" s="266">
        <f t="shared" si="10"/>
        <v>0</v>
      </c>
    </row>
    <row r="257" spans="1:12" ht="63" x14ac:dyDescent="0.2">
      <c r="A257" s="107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08"/>
      <c r="C257" s="104"/>
      <c r="D257" s="105"/>
      <c r="E257" s="104">
        <v>29276</v>
      </c>
      <c r="F257" s="106"/>
      <c r="G257" s="335">
        <v>400000</v>
      </c>
      <c r="H257" s="335">
        <f>H258</f>
        <v>0</v>
      </c>
      <c r="I257" s="335">
        <f t="shared" ref="I257:L257" si="173">I258</f>
        <v>400000</v>
      </c>
      <c r="J257" s="335">
        <v>400000</v>
      </c>
      <c r="K257" s="335">
        <f t="shared" si="173"/>
        <v>0</v>
      </c>
      <c r="L257" s="335">
        <f t="shared" si="173"/>
        <v>400000</v>
      </c>
    </row>
    <row r="258" spans="1:12" ht="63" x14ac:dyDescent="0.2">
      <c r="A258" s="107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IF(B258&gt;0,VLOOKUP(B258,КВСР!A64:B1229,2),IF(C258&gt;0,VLOOKUP(C258,КФСР!A64:B1576,2),IF(D258&gt;0,VLOOKUP(D258,Программа!A$1:B$5124,2),IF(F258&gt;0,VLOOKUP(F258,КВР!A$1:B$5001,2),IF(E258&gt;0,VLOOKUP(E258,Направление!A$1:B$4816,2))))))</f>
        <v xml:space="preserve">Закупка товаров, работ и услуг для обеспечения государственных (муниципальных) нужд
</v>
      </c>
      <c r="B258" s="108"/>
      <c r="C258" s="104"/>
      <c r="D258" s="105"/>
      <c r="E258" s="104"/>
      <c r="F258" s="106">
        <v>200</v>
      </c>
      <c r="G258" s="335">
        <v>400000</v>
      </c>
      <c r="H258" s="335"/>
      <c r="I258" s="335">
        <f t="shared" ref="I258" si="174">SUM(G258:H258)</f>
        <v>400000</v>
      </c>
      <c r="J258" s="335">
        <v>400000</v>
      </c>
      <c r="K258" s="266"/>
      <c r="L258" s="266">
        <f t="shared" si="10"/>
        <v>400000</v>
      </c>
    </row>
    <row r="259" spans="1:12" ht="15.75" x14ac:dyDescent="0.2">
      <c r="A259" s="107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IF(B259&gt;0,VLOOKUP(B259,КВСР!A63:B1228,2),IF(C259&gt;0,VLOOKUP(C259,КФСР!A63:B1575,2),IF(D259&gt;0,VLOOKUP(D259,Программа!A$1:B$5124,2),IF(F259&gt;0,VLOOKUP(F259,КВР!A$1:B$5001,2),IF(E259&gt;0,VLOOKUP(E259,Направление!A$1:B$4816,2))))))</f>
        <v>Жилищное хозяйство</v>
      </c>
      <c r="B259" s="108"/>
      <c r="C259" s="104">
        <v>501</v>
      </c>
      <c r="D259" s="105"/>
      <c r="E259" s="104"/>
      <c r="F259" s="106"/>
      <c r="G259" s="335">
        <v>430000</v>
      </c>
      <c r="H259" s="335">
        <f t="shared" ref="H259:I259" si="175">H260</f>
        <v>0</v>
      </c>
      <c r="I259" s="335">
        <f t="shared" si="175"/>
        <v>430000</v>
      </c>
      <c r="J259" s="335">
        <v>430000</v>
      </c>
      <c r="K259" s="266">
        <f>K260</f>
        <v>0</v>
      </c>
      <c r="L259" s="266">
        <f t="shared" si="10"/>
        <v>430000</v>
      </c>
    </row>
    <row r="260" spans="1:12" ht="15.75" x14ac:dyDescent="0.2">
      <c r="A260" s="107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IF(B260&gt;0,VLOOKUP(B260,КВСР!A64:B1229,2),IF(C260&gt;0,VLOOKUP(C260,КФСР!A64:B1576,2),IF(D260&gt;0,VLOOKUP(D260,Программа!A$1:B$5124,2),IF(F260&gt;0,VLOOKUP(F260,КВР!A$1:B$5001,2),IF(E260&gt;0,VLOOKUP(E260,Направление!A$1:B$4816,2))))))</f>
        <v>Непрограммные расходы бюджета</v>
      </c>
      <c r="B260" s="108"/>
      <c r="C260" s="104"/>
      <c r="D260" s="105" t="s">
        <v>311</v>
      </c>
      <c r="E260" s="104"/>
      <c r="F260" s="106"/>
      <c r="G260" s="335">
        <v>430000</v>
      </c>
      <c r="H260" s="335">
        <f t="shared" ref="H260:I260" si="176">H261+H263+H265</f>
        <v>0</v>
      </c>
      <c r="I260" s="335">
        <f t="shared" si="176"/>
        <v>430000</v>
      </c>
      <c r="J260" s="335">
        <v>430000</v>
      </c>
      <c r="K260" s="266">
        <f>K263+K265</f>
        <v>0</v>
      </c>
      <c r="L260" s="266">
        <f t="shared" si="10"/>
        <v>430000</v>
      </c>
    </row>
    <row r="261" spans="1:12" ht="47.25" x14ac:dyDescent="0.2">
      <c r="A261" s="107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IF(B261&gt;0,VLOOKUP(B261,КВСР!A65:B1230,2),IF(C261&gt;0,VLOOKUP(C261,КФСР!A65:B1577,2),IF(D261&gt;0,VLOOKUP(D261,Программа!A$1:B$5124,2),IF(F261&gt;0,VLOOKUP(F261,КВР!A$1:B$5001,2),IF(E261&gt;0,VLOOKUP(E261,Направление!A$1:B$4816,2))))))</f>
        <v>Взносы на  капитальный ремонт  жилых помещений муниципального жилищного фонда</v>
      </c>
      <c r="B261" s="108"/>
      <c r="C261" s="104"/>
      <c r="D261" s="105"/>
      <c r="E261" s="104">
        <v>10370</v>
      </c>
      <c r="F261" s="106"/>
      <c r="G261" s="335">
        <v>0</v>
      </c>
      <c r="H261" s="335">
        <f t="shared" ref="H261:I261" si="177">H262</f>
        <v>0</v>
      </c>
      <c r="I261" s="335">
        <f t="shared" si="177"/>
        <v>0</v>
      </c>
      <c r="J261" s="335">
        <v>0</v>
      </c>
      <c r="K261" s="266">
        <v>0</v>
      </c>
      <c r="L261" s="266">
        <f t="shared" si="10"/>
        <v>0</v>
      </c>
    </row>
    <row r="262" spans="1:12" ht="63" x14ac:dyDescent="0.2">
      <c r="A262" s="107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IF(B262&gt;0,VLOOKUP(B262,КВСР!A66:B1231,2),IF(C262&gt;0,VLOOKUP(C262,КФСР!A66:B1578,2),IF(D262&gt;0,VLOOKUP(D262,Программа!A$1:B$5124,2),IF(F262&gt;0,VLOOKUP(F262,КВР!A$1:B$5001,2),IF(E262&gt;0,VLOOKUP(E262,Направление!A$1:B$4816,2))))))</f>
        <v xml:space="preserve">Закупка товаров, работ и услуг для обеспечения государственных (муниципальных) нужд
</v>
      </c>
      <c r="B262" s="108"/>
      <c r="C262" s="104"/>
      <c r="D262" s="105"/>
      <c r="E262" s="104"/>
      <c r="F262" s="106">
        <v>200</v>
      </c>
      <c r="G262" s="335">
        <v>0</v>
      </c>
      <c r="H262" s="335"/>
      <c r="I262" s="335">
        <f>G262+H262</f>
        <v>0</v>
      </c>
      <c r="J262" s="335">
        <v>0</v>
      </c>
      <c r="K262" s="266"/>
      <c r="L262" s="266">
        <f t="shared" si="10"/>
        <v>0</v>
      </c>
    </row>
    <row r="263" spans="1:12" ht="47.25" x14ac:dyDescent="0.2">
      <c r="A263" s="107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IF(B263&gt;0,VLOOKUP(B263,КВСР!A67:B1232,2),IF(C263&gt;0,VLOOKUP(C263,КФСР!A67:B1579,2),IF(D263&gt;0,VLOOKUP(D263,Программа!A$1:B$5124,2),IF(F263&gt;0,VLOOKUP(F263,КВР!A$1:B$5001,2),IF(E263&gt;0,VLOOKUP(E263,Направление!A$1:B$4816,2))))))</f>
        <v xml:space="preserve">Обеспечение мероприятий по начислению и сбору платы за найм муниципального жилищного фонда </v>
      </c>
      <c r="B263" s="108"/>
      <c r="C263" s="104"/>
      <c r="D263" s="105"/>
      <c r="E263" s="104">
        <v>29436</v>
      </c>
      <c r="F263" s="106"/>
      <c r="G263" s="335">
        <v>350000</v>
      </c>
      <c r="H263" s="340">
        <f t="shared" ref="H263:L263" si="178">H264</f>
        <v>0</v>
      </c>
      <c r="I263" s="335">
        <f t="shared" si="178"/>
        <v>350000</v>
      </c>
      <c r="J263" s="335">
        <v>350000</v>
      </c>
      <c r="K263" s="340">
        <f t="shared" si="178"/>
        <v>0</v>
      </c>
      <c r="L263" s="335">
        <f t="shared" si="178"/>
        <v>350000</v>
      </c>
    </row>
    <row r="264" spans="1:12" ht="63" x14ac:dyDescent="0.2">
      <c r="A264" s="107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IF(B264&gt;0,VLOOKUP(B264,КВСР!A68:B1233,2),IF(C264&gt;0,VLOOKUP(C264,КФСР!A68:B1580,2),IF(D264&gt;0,VLOOKUP(D264,Программа!A$1:B$5124,2),IF(F264&gt;0,VLOOKUP(F264,КВР!A$1:B$5001,2),IF(E264&gt;0,VLOOKUP(E264,Направление!A$1:B$4816,2))))))</f>
        <v xml:space="preserve">Закупка товаров, работ и услуг для обеспечения государственных (муниципальных) нужд
</v>
      </c>
      <c r="B264" s="108"/>
      <c r="C264" s="104"/>
      <c r="D264" s="105"/>
      <c r="E264" s="104"/>
      <c r="F264" s="106">
        <v>200</v>
      </c>
      <c r="G264" s="335">
        <v>350000</v>
      </c>
      <c r="H264" s="340"/>
      <c r="I264" s="335">
        <f>G264+H264</f>
        <v>350000</v>
      </c>
      <c r="J264" s="335">
        <v>350000</v>
      </c>
      <c r="K264" s="256"/>
      <c r="L264" s="266">
        <f>J264+K264</f>
        <v>350000</v>
      </c>
    </row>
    <row r="265" spans="1:12" ht="63" x14ac:dyDescent="0.2">
      <c r="A265" s="107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08"/>
      <c r="C265" s="104"/>
      <c r="D265" s="105"/>
      <c r="E265" s="104">
        <v>29446</v>
      </c>
      <c r="F265" s="106"/>
      <c r="G265" s="335">
        <v>80000</v>
      </c>
      <c r="H265" s="340">
        <f t="shared" ref="H265:L265" si="179">H266</f>
        <v>0</v>
      </c>
      <c r="I265" s="335">
        <f t="shared" si="179"/>
        <v>80000</v>
      </c>
      <c r="J265" s="335">
        <v>80000</v>
      </c>
      <c r="K265" s="340">
        <f t="shared" si="179"/>
        <v>0</v>
      </c>
      <c r="L265" s="335">
        <f t="shared" si="179"/>
        <v>80000</v>
      </c>
    </row>
    <row r="266" spans="1:12" ht="63" x14ac:dyDescent="0.2">
      <c r="A266" s="107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IF(B266&gt;0,VLOOKUP(B266,КВСР!A70:B1235,2),IF(C266&gt;0,VLOOKUP(C266,КФСР!A70:B1582,2),IF(D266&gt;0,VLOOKUP(D266,Программа!A$1:B$5124,2),IF(F266&gt;0,VLOOKUP(F266,КВР!A$1:B$5001,2),IF(E266&gt;0,VLOOKUP(E266,Направление!A$1:B$4816,2))))))</f>
        <v xml:space="preserve">Закупка товаров, работ и услуг для обеспечения государственных (муниципальных) нужд
</v>
      </c>
      <c r="B266" s="108"/>
      <c r="C266" s="104"/>
      <c r="D266" s="105"/>
      <c r="E266" s="104"/>
      <c r="F266" s="106">
        <v>200</v>
      </c>
      <c r="G266" s="335">
        <v>80000</v>
      </c>
      <c r="H266" s="340"/>
      <c r="I266" s="335">
        <f>G266+H266</f>
        <v>80000</v>
      </c>
      <c r="J266" s="335">
        <v>80000</v>
      </c>
      <c r="K266" s="256"/>
      <c r="L266" s="266">
        <f>J266+K266</f>
        <v>80000</v>
      </c>
    </row>
    <row r="267" spans="1:12" s="126" customFormat="1" ht="31.5" x14ac:dyDescent="0.2">
      <c r="A267" s="102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IF(B267&gt;0,VLOOKUP(B267,КВСР!A76:B1241,2),IF(C267&gt;0,VLOOKUP(C267,КФСР!A76:B1588,2),IF(D267&gt;0,VLOOKUP(D267,Программа!A$1:B$5124,2),IF(F267&gt;0,VLOOKUP(F267,КВР!A$1:B$5001,2),IF(E267&gt;0,VLOOKUP(E267,Направление!A$1:B$4816,2))))))</f>
        <v>Департамент образования Администрации ТМР</v>
      </c>
      <c r="B267" s="103">
        <v>953</v>
      </c>
      <c r="C267" s="121"/>
      <c r="D267" s="122"/>
      <c r="E267" s="121"/>
      <c r="F267" s="123"/>
      <c r="G267" s="338">
        <v>1058428262</v>
      </c>
      <c r="H267" s="338">
        <f>H268+H287+H304+H327+H346+H388+H411+H382+H321</f>
        <v>0</v>
      </c>
      <c r="I267" s="338">
        <f>I268+I287+I304+I327+I346+I388+I411+I382+I321</f>
        <v>1058428262</v>
      </c>
      <c r="J267" s="338">
        <v>975311257</v>
      </c>
      <c r="K267" s="338">
        <f>K268+K287+K304+K327+K346+K388+K411+K382+K321</f>
        <v>0</v>
      </c>
      <c r="L267" s="338">
        <f>L268+L287+L304+L327+L346+L388+L411+L382+L321</f>
        <v>975311257</v>
      </c>
    </row>
    <row r="268" spans="1:12" ht="15.75" x14ac:dyDescent="0.2">
      <c r="A268" s="107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IF(B268&gt;0,VLOOKUP(B268,КВСР!A81:B1246,2),IF(C268&gt;0,VLOOKUP(C268,КФСР!A81:B1593,2),IF(D268&gt;0,VLOOKUP(D268,Программа!A$1:B$5124,2),IF(F268&gt;0,VLOOKUP(F268,КВР!A$1:B$5001,2),IF(E268&gt;0,VLOOKUP(E268,Направление!A$1:B$4816,2))))))</f>
        <v>Дошкольное образование</v>
      </c>
      <c r="B268" s="108"/>
      <c r="C268" s="104">
        <v>701</v>
      </c>
      <c r="D268" s="105"/>
      <c r="E268" s="104"/>
      <c r="F268" s="106"/>
      <c r="G268" s="335">
        <v>398328457</v>
      </c>
      <c r="H268" s="335">
        <f t="shared" ref="H268:L270" si="180">H269</f>
        <v>0</v>
      </c>
      <c r="I268" s="335">
        <f t="shared" si="180"/>
        <v>398328457</v>
      </c>
      <c r="J268" s="335">
        <v>349920457</v>
      </c>
      <c r="K268" s="335">
        <f t="shared" si="180"/>
        <v>0</v>
      </c>
      <c r="L268" s="335">
        <f t="shared" si="180"/>
        <v>349920457</v>
      </c>
    </row>
    <row r="269" spans="1:12" ht="63" x14ac:dyDescent="0.2">
      <c r="A269" s="107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69" s="108"/>
      <c r="C269" s="104"/>
      <c r="D269" s="105" t="s">
        <v>367</v>
      </c>
      <c r="E269" s="104"/>
      <c r="F269" s="106"/>
      <c r="G269" s="335">
        <v>398328457</v>
      </c>
      <c r="H269" s="335">
        <f t="shared" si="180"/>
        <v>0</v>
      </c>
      <c r="I269" s="335">
        <f t="shared" si="180"/>
        <v>398328457</v>
      </c>
      <c r="J269" s="335">
        <v>349920457</v>
      </c>
      <c r="K269" s="335">
        <f t="shared" si="180"/>
        <v>0</v>
      </c>
      <c r="L269" s="335">
        <f t="shared" si="180"/>
        <v>349920457</v>
      </c>
    </row>
    <row r="270" spans="1:12" ht="63" x14ac:dyDescent="0.2">
      <c r="A270" s="107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08"/>
      <c r="C270" s="104"/>
      <c r="D270" s="105" t="s">
        <v>369</v>
      </c>
      <c r="E270" s="104"/>
      <c r="F270" s="106"/>
      <c r="G270" s="335">
        <v>398328457</v>
      </c>
      <c r="H270" s="335">
        <f t="shared" si="180"/>
        <v>0</v>
      </c>
      <c r="I270" s="335">
        <f t="shared" si="180"/>
        <v>398328457</v>
      </c>
      <c r="J270" s="335">
        <v>349920457</v>
      </c>
      <c r="K270" s="335">
        <f t="shared" si="180"/>
        <v>0</v>
      </c>
      <c r="L270" s="335">
        <f t="shared" si="180"/>
        <v>349920457</v>
      </c>
    </row>
    <row r="271" spans="1:12" ht="47.25" x14ac:dyDescent="0.2">
      <c r="A271" s="107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IF(B271&gt;0,VLOOKUP(B271,КВСР!A83:B1248,2),IF(C271&gt;0,VLOOKUP(C271,КФСР!A83:B1595,2),IF(D271&gt;0,VLOOKUP(D271,Программа!A$1:B$5124,2),IF(F271&gt;0,VLOOKUP(F271,КВР!A$1:B$5001,2),IF(E271&gt;0,VLOOKUP(E271,Направление!A$1:B$4816,2))))))</f>
        <v>Обеспечение качества и доступности образовательных услуг в сфере дошкольного образования</v>
      </c>
      <c r="B271" s="108"/>
      <c r="C271" s="104"/>
      <c r="D271" s="105" t="s">
        <v>370</v>
      </c>
      <c r="E271" s="104"/>
      <c r="F271" s="106"/>
      <c r="G271" s="335">
        <v>398328457</v>
      </c>
      <c r="H271" s="335">
        <f>H272+H278+H282+H280+H285+H276</f>
        <v>0</v>
      </c>
      <c r="I271" s="335">
        <f t="shared" ref="I271:L271" si="181">I272+I278+I282+I280+I285+I276</f>
        <v>398328457</v>
      </c>
      <c r="J271" s="335">
        <v>349920457</v>
      </c>
      <c r="K271" s="335">
        <f t="shared" si="181"/>
        <v>0</v>
      </c>
      <c r="L271" s="335">
        <f t="shared" si="181"/>
        <v>349920457</v>
      </c>
    </row>
    <row r="272" spans="1:12" ht="31.5" x14ac:dyDescent="0.2">
      <c r="A272" s="107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IF(B272&gt;0,VLOOKUP(B272,КВСР!A84:B1249,2),IF(C272&gt;0,VLOOKUP(C272,КФСР!A84:B1596,2),IF(D272&gt;0,VLOOKUP(D272,Программа!A$1:B$5124,2),IF(F272&gt;0,VLOOKUP(F272,КВР!A$1:B$5001,2),IF(E272&gt;0,VLOOKUP(E272,Направление!A$1:B$4816,2))))))</f>
        <v>Обеспечение деятельности дошкольных учреждений</v>
      </c>
      <c r="B272" s="108"/>
      <c r="C272" s="104"/>
      <c r="D272" s="105"/>
      <c r="E272" s="104">
        <v>13010</v>
      </c>
      <c r="F272" s="106"/>
      <c r="G272" s="335">
        <v>126329125</v>
      </c>
      <c r="H272" s="335">
        <f t="shared" ref="H272:I272" si="182">H273+H274+H275</f>
        <v>0</v>
      </c>
      <c r="I272" s="335">
        <f t="shared" si="182"/>
        <v>126329125</v>
      </c>
      <c r="J272" s="335">
        <v>81296125</v>
      </c>
      <c r="K272" s="266">
        <f t="shared" ref="K272:L272" si="183">K273+K274</f>
        <v>0</v>
      </c>
      <c r="L272" s="266">
        <f t="shared" si="183"/>
        <v>81296125</v>
      </c>
    </row>
    <row r="273" spans="1:12" ht="110.25" x14ac:dyDescent="0.2">
      <c r="A273" s="107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08"/>
      <c r="C273" s="104"/>
      <c r="D273" s="105"/>
      <c r="E273" s="104"/>
      <c r="F273" s="106">
        <v>100</v>
      </c>
      <c r="G273" s="335">
        <v>54659125</v>
      </c>
      <c r="H273" s="335"/>
      <c r="I273" s="335">
        <f t="shared" si="9"/>
        <v>54659125</v>
      </c>
      <c r="J273" s="335">
        <v>21626125</v>
      </c>
      <c r="K273" s="266"/>
      <c r="L273" s="266">
        <f t="shared" si="10"/>
        <v>21626125</v>
      </c>
    </row>
    <row r="274" spans="1:12" ht="63" x14ac:dyDescent="0.2">
      <c r="A274" s="107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IF(B274&gt;0,VLOOKUP(B274,КВСР!A86:B1251,2),IF(C274&gt;0,VLOOKUP(C274,КФСР!A86:B1598,2),IF(D274&gt;0,VLOOKUP(D274,Программа!A$1:B$5124,2),IF(F274&gt;0,VLOOKUP(F274,КВР!A$1:B$5001,2),IF(E274&gt;0,VLOOKUP(E274,Направление!A$1:B$4816,2))))))</f>
        <v xml:space="preserve">Закупка товаров, работ и услуг для обеспечения государственных (муниципальных) нужд
</v>
      </c>
      <c r="B274" s="108"/>
      <c r="C274" s="104"/>
      <c r="D274" s="105"/>
      <c r="E274" s="104"/>
      <c r="F274" s="106">
        <v>200</v>
      </c>
      <c r="G274" s="335">
        <v>71670000</v>
      </c>
      <c r="H274" s="335"/>
      <c r="I274" s="335">
        <f t="shared" si="9"/>
        <v>71670000</v>
      </c>
      <c r="J274" s="335">
        <v>59670000</v>
      </c>
      <c r="K274" s="266"/>
      <c r="L274" s="266">
        <f t="shared" si="10"/>
        <v>59670000</v>
      </c>
    </row>
    <row r="275" spans="1:12" ht="15.75" x14ac:dyDescent="0.2">
      <c r="A275" s="107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IF(B275&gt;0,VLOOKUP(B275,КВСР!A87:B1252,2),IF(C275&gt;0,VLOOKUP(C275,КФСР!A87:B1599,2),IF(D275&gt;0,VLOOKUP(D275,Программа!A$1:B$5124,2),IF(F275&gt;0,VLOOKUP(F275,КВР!A$1:B$5001,2),IF(E275&gt;0,VLOOKUP(E275,Направление!A$1:B$4816,2))))))</f>
        <v>Иные бюджетные ассигнования</v>
      </c>
      <c r="B275" s="108"/>
      <c r="C275" s="104"/>
      <c r="D275" s="105"/>
      <c r="E275" s="104"/>
      <c r="F275" s="106">
        <v>800</v>
      </c>
      <c r="G275" s="335">
        <v>0</v>
      </c>
      <c r="H275" s="335"/>
      <c r="I275" s="335">
        <f t="shared" si="9"/>
        <v>0</v>
      </c>
      <c r="J275" s="335">
        <v>0</v>
      </c>
      <c r="K275" s="266"/>
      <c r="L275" s="266">
        <f t="shared" si="10"/>
        <v>0</v>
      </c>
    </row>
    <row r="276" spans="1:12" ht="31.5" x14ac:dyDescent="0.2">
      <c r="A276" s="107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IF(B276&gt;0,VLOOKUP(B276,КВСР!A88:B1253,2),IF(C276&gt;0,VLOOKUP(C276,КФСР!A88:B1600,2),IF(D276&gt;0,VLOOKUP(D276,Программа!A$1:B$5124,2),IF(F276&gt;0,VLOOKUP(F276,КВР!A$1:B$5001,2),IF(E276&gt;0,VLOOKUP(E276,Направление!A$1:B$4816,2))))))</f>
        <v>Обеспечение деятельности общеобразовательных учреждений</v>
      </c>
      <c r="B276" s="108"/>
      <c r="C276" s="104"/>
      <c r="D276" s="105"/>
      <c r="E276" s="104">
        <v>13110</v>
      </c>
      <c r="F276" s="106"/>
      <c r="G276" s="335">
        <v>12710000</v>
      </c>
      <c r="H276" s="335">
        <f>H277</f>
        <v>0</v>
      </c>
      <c r="I276" s="335">
        <f t="shared" ref="I276:L276" si="184">I277</f>
        <v>12710000</v>
      </c>
      <c r="J276" s="335">
        <v>9335000</v>
      </c>
      <c r="K276" s="335">
        <f t="shared" si="184"/>
        <v>0</v>
      </c>
      <c r="L276" s="335">
        <f t="shared" si="184"/>
        <v>9335000</v>
      </c>
    </row>
    <row r="277" spans="1:12" ht="47.25" x14ac:dyDescent="0.2">
      <c r="A277" s="107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IF(B277&gt;0,VLOOKUP(B277,КВСР!A89:B1254,2),IF(C277&gt;0,VLOOKUP(C277,КФСР!A89:B1601,2),IF(D277&gt;0,VLOOKUP(D277,Программа!A$1:B$5124,2),IF(F277&gt;0,VLOOKUP(F277,КВР!A$1:B$5001,2),IF(E277&gt;0,VLOOKUP(E277,Направление!A$1:B$4816,2))))))</f>
        <v>Предоставление субсидий бюджетным, автономным учреждениям и иным некоммерческим организациям</v>
      </c>
      <c r="B277" s="108"/>
      <c r="C277" s="104"/>
      <c r="D277" s="105"/>
      <c r="E277" s="104"/>
      <c r="F277" s="106">
        <v>600</v>
      </c>
      <c r="G277" s="335">
        <v>12710000</v>
      </c>
      <c r="H277" s="335"/>
      <c r="I277" s="335">
        <f t="shared" si="9"/>
        <v>12710000</v>
      </c>
      <c r="J277" s="335">
        <v>9335000</v>
      </c>
      <c r="K277" s="266"/>
      <c r="L277" s="266">
        <f t="shared" si="10"/>
        <v>9335000</v>
      </c>
    </row>
    <row r="278" spans="1:12" ht="63" x14ac:dyDescent="0.2">
      <c r="A278" s="107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78" s="108"/>
      <c r="C278" s="104"/>
      <c r="D278" s="105"/>
      <c r="E278" s="104">
        <v>15890</v>
      </c>
      <c r="F278" s="106"/>
      <c r="G278" s="335">
        <v>1323875</v>
      </c>
      <c r="H278" s="335">
        <f t="shared" ref="H278:I278" si="185">H279</f>
        <v>0</v>
      </c>
      <c r="I278" s="335">
        <f t="shared" si="185"/>
        <v>1323875</v>
      </c>
      <c r="J278" s="335">
        <v>1323875</v>
      </c>
      <c r="K278" s="266">
        <f t="shared" ref="K278:L278" si="186">K279</f>
        <v>0</v>
      </c>
      <c r="L278" s="266">
        <f t="shared" si="186"/>
        <v>1323875</v>
      </c>
    </row>
    <row r="279" spans="1:12" ht="110.25" x14ac:dyDescent="0.2">
      <c r="A279" s="107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08"/>
      <c r="C279" s="104"/>
      <c r="D279" s="105"/>
      <c r="E279" s="104"/>
      <c r="F279" s="106">
        <v>100</v>
      </c>
      <c r="G279" s="335">
        <v>1323875</v>
      </c>
      <c r="H279" s="335"/>
      <c r="I279" s="335">
        <f t="shared" si="9"/>
        <v>1323875</v>
      </c>
      <c r="J279" s="335">
        <v>1323875</v>
      </c>
      <c r="K279" s="266"/>
      <c r="L279" s="266">
        <f t="shared" si="10"/>
        <v>1323875</v>
      </c>
    </row>
    <row r="280" spans="1:12" ht="47.25" x14ac:dyDescent="0.2">
      <c r="A280" s="107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80" s="108"/>
      <c r="C280" s="104"/>
      <c r="D280" s="105"/>
      <c r="E280" s="104">
        <v>70520</v>
      </c>
      <c r="F280" s="106"/>
      <c r="G280" s="335">
        <v>21024922</v>
      </c>
      <c r="H280" s="335">
        <f t="shared" ref="H280:L280" si="187">H281</f>
        <v>0</v>
      </c>
      <c r="I280" s="335">
        <f t="shared" si="187"/>
        <v>21024922</v>
      </c>
      <c r="J280" s="335">
        <v>21024922</v>
      </c>
      <c r="K280" s="266">
        <f t="shared" si="187"/>
        <v>0</v>
      </c>
      <c r="L280" s="266">
        <f t="shared" si="187"/>
        <v>21024922</v>
      </c>
    </row>
    <row r="281" spans="1:12" ht="47.25" x14ac:dyDescent="0.2">
      <c r="A281" s="107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IF(B281&gt;0,VLOOKUP(B281,КВСР!A92:B1257,2),IF(C281&gt;0,VLOOKUP(C281,КФСР!A92:B1604,2),IF(D281&gt;0,VLOOKUP(D281,Программа!A$1:B$5124,2),IF(F281&gt;0,VLOOKUP(F281,КВР!A$1:B$5001,2),IF(E281&gt;0,VLOOKUP(E281,Направление!A$1:B$4816,2))))))</f>
        <v>Предоставление субсидий бюджетным, автономным учреждениям и иным некоммерческим организациям</v>
      </c>
      <c r="B281" s="108"/>
      <c r="C281" s="104"/>
      <c r="D281" s="105"/>
      <c r="E281" s="104"/>
      <c r="F281" s="106">
        <v>600</v>
      </c>
      <c r="G281" s="335">
        <v>21024922</v>
      </c>
      <c r="H281" s="335"/>
      <c r="I281" s="335">
        <f t="shared" si="9"/>
        <v>21024922</v>
      </c>
      <c r="J281" s="335">
        <v>21024922</v>
      </c>
      <c r="K281" s="266"/>
      <c r="L281" s="266">
        <f t="shared" si="10"/>
        <v>21024922</v>
      </c>
    </row>
    <row r="282" spans="1:12" ht="63" x14ac:dyDescent="0.2">
      <c r="A282" s="107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08"/>
      <c r="C282" s="104"/>
      <c r="D282" s="105"/>
      <c r="E282" s="104">
        <v>73110</v>
      </c>
      <c r="F282" s="106"/>
      <c r="G282" s="335">
        <v>236317535</v>
      </c>
      <c r="H282" s="335">
        <f t="shared" ref="H282:L282" si="188">H283+H284</f>
        <v>0</v>
      </c>
      <c r="I282" s="335">
        <f t="shared" si="188"/>
        <v>236317535</v>
      </c>
      <c r="J282" s="335">
        <v>236317535</v>
      </c>
      <c r="K282" s="266">
        <f t="shared" si="188"/>
        <v>0</v>
      </c>
      <c r="L282" s="266">
        <f t="shared" si="188"/>
        <v>236317535</v>
      </c>
    </row>
    <row r="283" spans="1:12" ht="110.25" x14ac:dyDescent="0.2">
      <c r="A283" s="107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08"/>
      <c r="C283" s="104"/>
      <c r="D283" s="105"/>
      <c r="E283" s="104"/>
      <c r="F283" s="106">
        <v>100</v>
      </c>
      <c r="G283" s="335">
        <v>228152620</v>
      </c>
      <c r="H283" s="335"/>
      <c r="I283" s="335">
        <f t="shared" si="9"/>
        <v>228152620</v>
      </c>
      <c r="J283" s="335">
        <v>228152620</v>
      </c>
      <c r="K283" s="266"/>
      <c r="L283" s="266">
        <f t="shared" si="10"/>
        <v>228152620</v>
      </c>
    </row>
    <row r="284" spans="1:12" ht="63" x14ac:dyDescent="0.2">
      <c r="A284" s="107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IF(B284&gt;0,VLOOKUP(B284,КВСР!A93:B1258,2),IF(C284&gt;0,VLOOKUP(C284,КФСР!A93:B1605,2),IF(D284&gt;0,VLOOKUP(D284,Программа!A$1:B$5124,2),IF(F284&gt;0,VLOOKUP(F284,КВР!A$1:B$5001,2),IF(E284&gt;0,VLOOKUP(E284,Направление!A$1:B$4816,2))))))</f>
        <v xml:space="preserve">Закупка товаров, работ и услуг для обеспечения государственных (муниципальных) нужд
</v>
      </c>
      <c r="B284" s="108"/>
      <c r="C284" s="104"/>
      <c r="D284" s="105"/>
      <c r="E284" s="104"/>
      <c r="F284" s="106">
        <v>200</v>
      </c>
      <c r="G284" s="335">
        <v>8164915</v>
      </c>
      <c r="H284" s="335"/>
      <c r="I284" s="335">
        <f t="shared" si="9"/>
        <v>8164915</v>
      </c>
      <c r="J284" s="335">
        <v>8164915</v>
      </c>
      <c r="K284" s="266"/>
      <c r="L284" s="266">
        <f t="shared" si="10"/>
        <v>8164915</v>
      </c>
    </row>
    <row r="285" spans="1:12" ht="63" x14ac:dyDescent="0.2">
      <c r="A285" s="107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85" s="108"/>
      <c r="C285" s="104"/>
      <c r="D285" s="105"/>
      <c r="E285" s="104">
        <v>75890</v>
      </c>
      <c r="F285" s="106"/>
      <c r="G285" s="335">
        <v>623000</v>
      </c>
      <c r="H285" s="335">
        <f>H286</f>
        <v>0</v>
      </c>
      <c r="I285" s="335">
        <f t="shared" ref="I285:L285" si="189">I286</f>
        <v>623000</v>
      </c>
      <c r="J285" s="335">
        <v>623000</v>
      </c>
      <c r="K285" s="335">
        <f t="shared" si="189"/>
        <v>0</v>
      </c>
      <c r="L285" s="335">
        <f t="shared" si="189"/>
        <v>623000</v>
      </c>
    </row>
    <row r="286" spans="1:12" ht="110.25" x14ac:dyDescent="0.2">
      <c r="A286" s="107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08"/>
      <c r="C286" s="104"/>
      <c r="D286" s="105"/>
      <c r="E286" s="104"/>
      <c r="F286" s="106">
        <v>100</v>
      </c>
      <c r="G286" s="335">
        <v>623000</v>
      </c>
      <c r="H286" s="335"/>
      <c r="I286" s="335">
        <f t="shared" si="9"/>
        <v>623000</v>
      </c>
      <c r="J286" s="335">
        <v>623000</v>
      </c>
      <c r="K286" s="266"/>
      <c r="L286" s="266">
        <f t="shared" si="10"/>
        <v>623000</v>
      </c>
    </row>
    <row r="287" spans="1:12" ht="15.75" x14ac:dyDescent="0.2">
      <c r="A287" s="107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IF(B287&gt;0,VLOOKUP(B287,КВСР!A90:B1255,2),IF(C287&gt;0,VLOOKUP(C287,КФСР!A90:B1602,2),IF(D287&gt;0,VLOOKUP(D287,Программа!A$1:B$5124,2),IF(F287&gt;0,VLOOKUP(F287,КВР!A$1:B$5001,2),IF(E287&gt;0,VLOOKUP(E287,Направление!A$1:B$4816,2))))))</f>
        <v>Общее образование</v>
      </c>
      <c r="B287" s="108"/>
      <c r="C287" s="104">
        <v>702</v>
      </c>
      <c r="D287" s="105"/>
      <c r="E287" s="104"/>
      <c r="F287" s="106"/>
      <c r="G287" s="335">
        <v>501696553</v>
      </c>
      <c r="H287" s="335">
        <f t="shared" ref="H287:I287" si="190">H288</f>
        <v>0</v>
      </c>
      <c r="I287" s="335">
        <f t="shared" si="190"/>
        <v>501696553</v>
      </c>
      <c r="J287" s="335">
        <v>476872900</v>
      </c>
      <c r="K287" s="266">
        <f t="shared" ref="K287:L288" si="191">K288</f>
        <v>0</v>
      </c>
      <c r="L287" s="266">
        <f t="shared" si="191"/>
        <v>476872900</v>
      </c>
    </row>
    <row r="288" spans="1:12" ht="63" x14ac:dyDescent="0.2">
      <c r="A288" s="107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88" s="108"/>
      <c r="C288" s="104"/>
      <c r="D288" s="105" t="s">
        <v>367</v>
      </c>
      <c r="E288" s="104"/>
      <c r="F288" s="106"/>
      <c r="G288" s="335">
        <v>501696553</v>
      </c>
      <c r="H288" s="335">
        <f>H289</f>
        <v>0</v>
      </c>
      <c r="I288" s="335">
        <f>I289</f>
        <v>501696553</v>
      </c>
      <c r="J288" s="335">
        <v>476872900</v>
      </c>
      <c r="K288" s="335">
        <f t="shared" si="191"/>
        <v>0</v>
      </c>
      <c r="L288" s="335">
        <f t="shared" si="191"/>
        <v>476872900</v>
      </c>
    </row>
    <row r="289" spans="1:12" ht="63" x14ac:dyDescent="0.2">
      <c r="A289" s="107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08"/>
      <c r="C289" s="104"/>
      <c r="D289" s="105" t="s">
        <v>369</v>
      </c>
      <c r="E289" s="104"/>
      <c r="F289" s="106"/>
      <c r="G289" s="335">
        <v>501696553</v>
      </c>
      <c r="H289" s="335">
        <f>H290+H301</f>
        <v>0</v>
      </c>
      <c r="I289" s="335">
        <f>I290+I301</f>
        <v>501696553</v>
      </c>
      <c r="J289" s="335">
        <v>476872900</v>
      </c>
      <c r="K289" s="335">
        <f t="shared" ref="K289" si="192">K290+K301</f>
        <v>0</v>
      </c>
      <c r="L289" s="335">
        <f t="shared" ref="L289" si="193">L290+L301</f>
        <v>476872900</v>
      </c>
    </row>
    <row r="290" spans="1:12" ht="47.25" x14ac:dyDescent="0.2">
      <c r="A290" s="107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IF(B290&gt;0,VLOOKUP(B290,КВСР!A93:B1258,2),IF(C290&gt;0,VLOOKUP(C290,КФСР!A93:B1605,2),IF(D290&gt;0,VLOOKUP(D290,Программа!A$1:B$5124,2),IF(F290&gt;0,VLOOKUP(F290,КВР!A$1:B$5001,2),IF(E290&gt;0,VLOOKUP(E290,Направление!A$1:B$4816,2))))))</f>
        <v>Обеспечение качества и доступности образовательных услуг в сфере общего образования</v>
      </c>
      <c r="B290" s="108"/>
      <c r="C290" s="104"/>
      <c r="D290" s="105" t="s">
        <v>409</v>
      </c>
      <c r="E290" s="104"/>
      <c r="F290" s="106"/>
      <c r="G290" s="335">
        <v>499852113</v>
      </c>
      <c r="H290" s="335">
        <f>H291+H293+H295+H297+H299</f>
        <v>0</v>
      </c>
      <c r="I290" s="335">
        <f>I291+I293+I295+I297+I299</f>
        <v>499852113</v>
      </c>
      <c r="J290" s="335">
        <v>474789040</v>
      </c>
      <c r="K290" s="335">
        <f t="shared" ref="K290" si="194">K291+K293+K295+K297+K299</f>
        <v>0</v>
      </c>
      <c r="L290" s="335">
        <f t="shared" ref="L290" si="195">L291+L293+L295+L297+L299</f>
        <v>474789040</v>
      </c>
    </row>
    <row r="291" spans="1:12" ht="31.5" x14ac:dyDescent="0.2">
      <c r="A291" s="107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IF(B291&gt;0,VLOOKUP(B291,КВСР!A94:B1259,2),IF(C291&gt;0,VLOOKUP(C291,КФСР!A94:B1606,2),IF(D291&gt;0,VLOOKUP(D291,Программа!A$1:B$5124,2),IF(F291&gt;0,VLOOKUP(F291,КВР!A$1:B$5001,2),IF(E291&gt;0,VLOOKUP(E291,Направление!A$1:B$4816,2))))))</f>
        <v>Обеспечение деятельности общеобразовательных учреждений</v>
      </c>
      <c r="B291" s="108"/>
      <c r="C291" s="104"/>
      <c r="D291" s="105"/>
      <c r="E291" s="104">
        <v>13110</v>
      </c>
      <c r="F291" s="106"/>
      <c r="G291" s="335">
        <v>39225892</v>
      </c>
      <c r="H291" s="335">
        <f t="shared" ref="H291:I291" si="196">H292</f>
        <v>0</v>
      </c>
      <c r="I291" s="335">
        <f t="shared" si="196"/>
        <v>39225892</v>
      </c>
      <c r="J291" s="335">
        <v>11786805</v>
      </c>
      <c r="K291" s="266">
        <f t="shared" ref="K291:L291" si="197">K292</f>
        <v>0</v>
      </c>
      <c r="L291" s="266">
        <f t="shared" si="197"/>
        <v>11786805</v>
      </c>
    </row>
    <row r="292" spans="1:12" ht="47.25" x14ac:dyDescent="0.2">
      <c r="A292" s="107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0"/>
      <c r="C292" s="111"/>
      <c r="D292" s="113"/>
      <c r="E292" s="111"/>
      <c r="F292" s="112">
        <v>600</v>
      </c>
      <c r="G292" s="335">
        <v>39225892</v>
      </c>
      <c r="H292" s="335"/>
      <c r="I292" s="335">
        <f t="shared" si="9"/>
        <v>39225892</v>
      </c>
      <c r="J292" s="335">
        <v>11786805</v>
      </c>
      <c r="K292" s="266"/>
      <c r="L292" s="266">
        <f t="shared" si="10"/>
        <v>11786805</v>
      </c>
    </row>
    <row r="293" spans="1:12" ht="78.75" x14ac:dyDescent="0.2">
      <c r="A293" s="107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10"/>
      <c r="C293" s="111"/>
      <c r="D293" s="105"/>
      <c r="E293" s="104">
        <v>53031</v>
      </c>
      <c r="F293" s="112"/>
      <c r="G293" s="335">
        <v>23201640</v>
      </c>
      <c r="H293" s="335">
        <f t="shared" ref="H293" si="198">H294</f>
        <v>0</v>
      </c>
      <c r="I293" s="335">
        <f t="shared" si="9"/>
        <v>23201640</v>
      </c>
      <c r="J293" s="335">
        <v>24764040</v>
      </c>
      <c r="K293" s="266">
        <f t="shared" ref="K293" si="199">K294</f>
        <v>0</v>
      </c>
      <c r="L293" s="266">
        <f t="shared" si="10"/>
        <v>24764040</v>
      </c>
    </row>
    <row r="294" spans="1:12" ht="47.25" x14ac:dyDescent="0.2">
      <c r="A294" s="107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IF(B294&gt;0,VLOOKUP(B294,КВСР!A101:B1266,2),IF(C294&gt;0,VLOOKUP(C294,КФСР!A101:B1613,2),IF(D294&gt;0,VLOOKUP(D294,Программа!A$1:B$5124,2),IF(F294&gt;0,VLOOKUP(F294,КВР!A$1:B$5001,2),IF(E294&gt;0,VLOOKUP(E294,Направление!A$1:B$4816,2))))))</f>
        <v>Предоставление субсидий бюджетным, автономным учреждениям и иным некоммерческим организациям</v>
      </c>
      <c r="B294" s="110"/>
      <c r="C294" s="111"/>
      <c r="D294" s="113"/>
      <c r="E294" s="111"/>
      <c r="F294" s="112">
        <v>600</v>
      </c>
      <c r="G294" s="335">
        <v>23201640</v>
      </c>
      <c r="H294" s="335"/>
      <c r="I294" s="335">
        <f t="shared" si="9"/>
        <v>23201640</v>
      </c>
      <c r="J294" s="335">
        <v>24764040</v>
      </c>
      <c r="K294" s="266"/>
      <c r="L294" s="266">
        <f t="shared" si="10"/>
        <v>24764040</v>
      </c>
    </row>
    <row r="295" spans="1:12" ht="47.25" x14ac:dyDescent="0.2">
      <c r="A295" s="107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95" s="110"/>
      <c r="C295" s="111"/>
      <c r="D295" s="113"/>
      <c r="E295" s="111">
        <v>70520</v>
      </c>
      <c r="F295" s="112"/>
      <c r="G295" s="335">
        <v>387258478</v>
      </c>
      <c r="H295" s="335">
        <f t="shared" ref="H295:I295" si="200">H296</f>
        <v>0</v>
      </c>
      <c r="I295" s="335">
        <f t="shared" si="200"/>
        <v>387258478</v>
      </c>
      <c r="J295" s="335">
        <v>387258478</v>
      </c>
      <c r="K295" s="266">
        <f t="shared" ref="K295:L295" si="201">K296</f>
        <v>0</v>
      </c>
      <c r="L295" s="266">
        <f t="shared" si="201"/>
        <v>387258478</v>
      </c>
    </row>
    <row r="296" spans="1:12" ht="47.25" x14ac:dyDescent="0.2">
      <c r="A296" s="107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IF(B296&gt;0,VLOOKUP(B296,КВСР!A103:B1268,2),IF(C296&gt;0,VLOOKUP(C296,КФСР!A103:B1615,2),IF(D296&gt;0,VLOOKUP(D296,Программа!A$1:B$5124,2),IF(F296&gt;0,VLOOKUP(F296,КВР!A$1:B$5001,2),IF(E296&gt;0,VLOOKUP(E296,Направление!A$1:B$4816,2))))))</f>
        <v>Предоставление субсидий бюджетным, автономным учреждениям и иным некоммерческим организациям</v>
      </c>
      <c r="B296" s="110"/>
      <c r="C296" s="111"/>
      <c r="D296" s="113"/>
      <c r="E296" s="111"/>
      <c r="F296" s="112">
        <v>600</v>
      </c>
      <c r="G296" s="335">
        <v>387258478</v>
      </c>
      <c r="H296" s="335"/>
      <c r="I296" s="335">
        <f t="shared" si="9"/>
        <v>387258478</v>
      </c>
      <c r="J296" s="335">
        <v>387258478</v>
      </c>
      <c r="K296" s="266"/>
      <c r="L296" s="266">
        <f t="shared" si="10"/>
        <v>387258478</v>
      </c>
    </row>
    <row r="297" spans="1:12" ht="63" x14ac:dyDescent="0.2">
      <c r="A297" s="107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10"/>
      <c r="C297" s="111"/>
      <c r="D297" s="113"/>
      <c r="E297" s="111">
        <v>70530</v>
      </c>
      <c r="F297" s="112"/>
      <c r="G297" s="335">
        <v>21231600</v>
      </c>
      <c r="H297" s="335">
        <f t="shared" ref="H297:I297" si="202">H298</f>
        <v>0</v>
      </c>
      <c r="I297" s="335">
        <f t="shared" si="202"/>
        <v>21231600</v>
      </c>
      <c r="J297" s="335">
        <v>21231600</v>
      </c>
      <c r="K297" s="266">
        <f t="shared" ref="K297:L297" si="203">K298</f>
        <v>0</v>
      </c>
      <c r="L297" s="266">
        <f t="shared" si="203"/>
        <v>21231600</v>
      </c>
    </row>
    <row r="298" spans="1:12" ht="47.25" x14ac:dyDescent="0.2">
      <c r="A298" s="107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IF(B298&gt;0,VLOOKUP(B298,КВСР!A110:B1275,2),IF(C298&gt;0,VLOOKUP(C298,КФСР!A110:B1622,2),IF(D298&gt;0,VLOOKUP(D298,Программа!A$1:B$5124,2),IF(F298&gt;0,VLOOKUP(F298,КВР!A$1:B$5001,2),IF(E298&gt;0,VLOOKUP(E298,Направление!A$1:B$4816,2))))))</f>
        <v>Предоставление субсидий бюджетным, автономным учреждениям и иным некоммерческим организациям</v>
      </c>
      <c r="B298" s="110"/>
      <c r="C298" s="111"/>
      <c r="D298" s="113"/>
      <c r="E298" s="111"/>
      <c r="F298" s="112">
        <v>600</v>
      </c>
      <c r="G298" s="335">
        <v>21231600</v>
      </c>
      <c r="H298" s="335"/>
      <c r="I298" s="335">
        <f t="shared" si="9"/>
        <v>21231600</v>
      </c>
      <c r="J298" s="335">
        <v>21231600</v>
      </c>
      <c r="K298" s="266"/>
      <c r="L298" s="266">
        <f t="shared" si="10"/>
        <v>21231600</v>
      </c>
    </row>
    <row r="299" spans="1:12" ht="78.75" x14ac:dyDescent="0.2">
      <c r="A299" s="107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10"/>
      <c r="C299" s="111"/>
      <c r="D299" s="113"/>
      <c r="E299" s="111" t="s">
        <v>1512</v>
      </c>
      <c r="F299" s="112"/>
      <c r="G299" s="335">
        <v>28934503</v>
      </c>
      <c r="H299" s="335">
        <f t="shared" ref="H299:L299" si="204">H300</f>
        <v>0</v>
      </c>
      <c r="I299" s="335">
        <f t="shared" si="204"/>
        <v>28934503</v>
      </c>
      <c r="J299" s="335">
        <v>29748117</v>
      </c>
      <c r="K299" s="335">
        <f t="shared" si="204"/>
        <v>0</v>
      </c>
      <c r="L299" s="335">
        <f t="shared" si="204"/>
        <v>29748117</v>
      </c>
    </row>
    <row r="300" spans="1:12" ht="47.25" x14ac:dyDescent="0.2">
      <c r="A300" s="107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IF(B300&gt;0,VLOOKUP(B300,КВСР!A112:B1277,2),IF(C300&gt;0,VLOOKUP(C300,КФСР!A112:B1624,2),IF(D300&gt;0,VLOOKUP(D300,Программа!A$1:B$5124,2),IF(F300&gt;0,VLOOKUP(F300,КВР!A$1:B$5001,2),IF(E300&gt;0,VLOOKUP(E300,Направление!A$1:B$4816,2))))))</f>
        <v>Предоставление субсидий бюджетным, автономным учреждениям и иным некоммерческим организациям</v>
      </c>
      <c r="B300" s="110"/>
      <c r="C300" s="111"/>
      <c r="D300" s="113"/>
      <c r="E300" s="111"/>
      <c r="F300" s="112">
        <v>600</v>
      </c>
      <c r="G300" s="335">
        <v>28934503</v>
      </c>
      <c r="H300" s="335"/>
      <c r="I300" s="335">
        <f t="shared" si="9"/>
        <v>28934503</v>
      </c>
      <c r="J300" s="335">
        <v>29748117</v>
      </c>
      <c r="K300" s="266"/>
      <c r="L300" s="266">
        <f t="shared" si="10"/>
        <v>29748117</v>
      </c>
    </row>
    <row r="301" spans="1:12" ht="31.5" x14ac:dyDescent="0.2">
      <c r="A301" s="107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IF(B301&gt;0,VLOOKUP(B301,КВСР!A113:B1278,2),IF(C301&gt;0,VLOOKUP(C301,КФСР!A113:B1625,2),IF(D301&gt;0,VLOOKUP(D301,Программа!A$1:B$5124,2),IF(F301&gt;0,VLOOKUP(F301,КВР!A$1:B$5001,2),IF(E301&gt;0,VLOOKUP(E301,Направление!A$1:B$4816,2))))))</f>
        <v>Региональный проект "Успех каждого ребенка"</v>
      </c>
      <c r="B301" s="110"/>
      <c r="C301" s="111"/>
      <c r="D301" s="113" t="s">
        <v>1427</v>
      </c>
      <c r="E301" s="111"/>
      <c r="F301" s="112"/>
      <c r="G301" s="335">
        <v>1844440</v>
      </c>
      <c r="H301" s="335">
        <f>H302</f>
        <v>0</v>
      </c>
      <c r="I301" s="335">
        <f t="shared" ref="I301:L302" si="205">I302</f>
        <v>1844440</v>
      </c>
      <c r="J301" s="335">
        <v>2083860</v>
      </c>
      <c r="K301" s="335">
        <f t="shared" si="205"/>
        <v>0</v>
      </c>
      <c r="L301" s="335">
        <f t="shared" si="205"/>
        <v>2083860</v>
      </c>
    </row>
    <row r="302" spans="1:12" ht="78.75" x14ac:dyDescent="0.2">
      <c r="A302" s="107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10"/>
      <c r="C302" s="111"/>
      <c r="D302" s="113"/>
      <c r="E302" s="111">
        <v>50970</v>
      </c>
      <c r="F302" s="112"/>
      <c r="G302" s="335">
        <v>1844440</v>
      </c>
      <c r="H302" s="335">
        <f>H303</f>
        <v>0</v>
      </c>
      <c r="I302" s="335">
        <f t="shared" si="205"/>
        <v>1844440</v>
      </c>
      <c r="J302" s="335">
        <v>2083860</v>
      </c>
      <c r="K302" s="335">
        <f t="shared" si="205"/>
        <v>0</v>
      </c>
      <c r="L302" s="335">
        <f t="shared" si="205"/>
        <v>2083860</v>
      </c>
    </row>
    <row r="303" spans="1:12" ht="47.25" x14ac:dyDescent="0.2">
      <c r="A303" s="107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IF(B303&gt;0,VLOOKUP(B303,КВСР!A115:B1280,2),IF(C303&gt;0,VLOOKUP(C303,КФСР!A115:B1627,2),IF(D303&gt;0,VLOOKUP(D303,Программа!A$1:B$5124,2),IF(F303&gt;0,VLOOKUP(F303,КВР!A$1:B$5001,2),IF(E303&gt;0,VLOOKUP(E303,Направление!A$1:B$4816,2))))))</f>
        <v>Предоставление субсидий бюджетным, автономным учреждениям и иным некоммерческим организациям</v>
      </c>
      <c r="B303" s="110"/>
      <c r="C303" s="111"/>
      <c r="D303" s="113"/>
      <c r="E303" s="111"/>
      <c r="F303" s="112">
        <v>600</v>
      </c>
      <c r="G303" s="335">
        <v>1844440</v>
      </c>
      <c r="H303" s="335"/>
      <c r="I303" s="335">
        <f>G303+H303</f>
        <v>1844440</v>
      </c>
      <c r="J303" s="335">
        <v>2083860</v>
      </c>
      <c r="K303" s="266"/>
      <c r="L303" s="266">
        <f>J303+K303</f>
        <v>2083860</v>
      </c>
    </row>
    <row r="304" spans="1:12" ht="15.75" x14ac:dyDescent="0.2">
      <c r="A304" s="107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IF(B304&gt;0,VLOOKUP(B304,КВСР!A111:B1276,2),IF(C304&gt;0,VLOOKUP(C304,КФСР!A111:B1623,2),IF(D304&gt;0,VLOOKUP(D304,Программа!A$1:B$5124,2),IF(F304&gt;0,VLOOKUP(F304,КВР!A$1:B$5001,2),IF(E304&gt;0,VLOOKUP(E304,Направление!A$1:B$4816,2))))))</f>
        <v>Дополнительное образование детей</v>
      </c>
      <c r="B304" s="110"/>
      <c r="C304" s="111">
        <v>703</v>
      </c>
      <c r="D304" s="112"/>
      <c r="E304" s="111"/>
      <c r="F304" s="112"/>
      <c r="G304" s="335">
        <v>46919472</v>
      </c>
      <c r="H304" s="335">
        <f t="shared" ref="H304:I306" si="206">H305</f>
        <v>0</v>
      </c>
      <c r="I304" s="335">
        <f t="shared" si="206"/>
        <v>46919472</v>
      </c>
      <c r="J304" s="335">
        <v>45219472</v>
      </c>
      <c r="K304" s="266">
        <f t="shared" ref="K304:L306" si="207">K305</f>
        <v>0</v>
      </c>
      <c r="L304" s="266">
        <f t="shared" si="207"/>
        <v>45219472</v>
      </c>
    </row>
    <row r="305" spans="1:12" ht="63" x14ac:dyDescent="0.2">
      <c r="A305" s="107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05" s="110"/>
      <c r="C305" s="111"/>
      <c r="D305" s="105" t="s">
        <v>367</v>
      </c>
      <c r="E305" s="111"/>
      <c r="F305" s="112"/>
      <c r="G305" s="335">
        <v>46919472</v>
      </c>
      <c r="H305" s="335">
        <f t="shared" si="206"/>
        <v>0</v>
      </c>
      <c r="I305" s="335">
        <f t="shared" si="206"/>
        <v>46919472</v>
      </c>
      <c r="J305" s="335">
        <v>45219472</v>
      </c>
      <c r="K305" s="266">
        <f t="shared" si="207"/>
        <v>0</v>
      </c>
      <c r="L305" s="266">
        <f t="shared" si="207"/>
        <v>45219472</v>
      </c>
    </row>
    <row r="306" spans="1:12" ht="63" x14ac:dyDescent="0.2">
      <c r="A306" s="107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10"/>
      <c r="C306" s="111"/>
      <c r="D306" s="105" t="s">
        <v>369</v>
      </c>
      <c r="E306" s="111"/>
      <c r="F306" s="112"/>
      <c r="G306" s="335">
        <v>46919472</v>
      </c>
      <c r="H306" s="335">
        <f t="shared" si="206"/>
        <v>0</v>
      </c>
      <c r="I306" s="335">
        <f t="shared" si="206"/>
        <v>46919472</v>
      </c>
      <c r="J306" s="335">
        <v>45219472</v>
      </c>
      <c r="K306" s="266">
        <f t="shared" si="207"/>
        <v>0</v>
      </c>
      <c r="L306" s="266">
        <f t="shared" si="207"/>
        <v>45219472</v>
      </c>
    </row>
    <row r="307" spans="1:12" ht="47.25" x14ac:dyDescent="0.2">
      <c r="A307" s="107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IF(B307&gt;0,VLOOKUP(B307,КВСР!A114:B1279,2),IF(C307&gt;0,VLOOKUP(C307,КФСР!A114:B1626,2),IF(D307&gt;0,VLOOKUP(D307,Программа!A$1:B$5124,2),IF(F307&gt;0,VLOOKUP(F307,КВР!A$1:B$5001,2),IF(E307&gt;0,VLOOKUP(E307,Направление!A$1:B$4816,2))))))</f>
        <v>Обеспечение качества и доступности образовательных услуг в сфере дополнительного образования</v>
      </c>
      <c r="B307" s="110"/>
      <c r="C307" s="111"/>
      <c r="D307" s="113" t="s">
        <v>431</v>
      </c>
      <c r="E307" s="111"/>
      <c r="F307" s="112"/>
      <c r="G307" s="335">
        <v>46919472</v>
      </c>
      <c r="H307" s="335">
        <f>H311+H308+H315+H317+H319</f>
        <v>0</v>
      </c>
      <c r="I307" s="335">
        <f t="shared" ref="I307:L307" si="208">I311+I308+I315+I317+I319</f>
        <v>46919472</v>
      </c>
      <c r="J307" s="335">
        <v>45219472</v>
      </c>
      <c r="K307" s="335">
        <f t="shared" si="208"/>
        <v>0</v>
      </c>
      <c r="L307" s="335">
        <f t="shared" si="208"/>
        <v>45219472</v>
      </c>
    </row>
    <row r="308" spans="1:12" ht="31.5" x14ac:dyDescent="0.2">
      <c r="A308" s="107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IF(B308&gt;0,VLOOKUP(B308,КВСР!A115:B1280,2),IF(C308&gt;0,VLOOKUP(C308,КФСР!A115:B1627,2),IF(D308&gt;0,VLOOKUP(D308,Программа!A$1:B$5124,2),IF(F308&gt;0,VLOOKUP(F308,КВР!A$1:B$5001,2),IF(E308&gt;0,VLOOKUP(E308,Направление!A$1:B$4816,2))))))</f>
        <v>Обеспечение деятельности дошкольных учреждений</v>
      </c>
      <c r="B308" s="110"/>
      <c r="C308" s="111"/>
      <c r="D308" s="113"/>
      <c r="E308" s="111">
        <v>13010</v>
      </c>
      <c r="F308" s="112"/>
      <c r="G308" s="335">
        <v>2450000</v>
      </c>
      <c r="H308" s="335">
        <f>H309+H310</f>
        <v>0</v>
      </c>
      <c r="I308" s="335">
        <f>I309+I310</f>
        <v>2450000</v>
      </c>
      <c r="J308" s="335">
        <v>2450000</v>
      </c>
      <c r="K308" s="335">
        <f t="shared" ref="K308" si="209">K309+K310</f>
        <v>0</v>
      </c>
      <c r="L308" s="335">
        <f t="shared" ref="L308" si="210">L309+L310</f>
        <v>2450000</v>
      </c>
    </row>
    <row r="309" spans="1:12" ht="110.25" x14ac:dyDescent="0.2">
      <c r="A309" s="107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10"/>
      <c r="C309" s="111"/>
      <c r="D309" s="113"/>
      <c r="E309" s="111"/>
      <c r="F309" s="112">
        <v>100</v>
      </c>
      <c r="G309" s="335">
        <v>94760</v>
      </c>
      <c r="H309" s="335"/>
      <c r="I309" s="335">
        <f>H309+G309</f>
        <v>94760</v>
      </c>
      <c r="J309" s="335">
        <v>94760</v>
      </c>
      <c r="K309" s="266"/>
      <c r="L309" s="335">
        <f>K309+J309</f>
        <v>94760</v>
      </c>
    </row>
    <row r="310" spans="1:12" ht="63" x14ac:dyDescent="0.2">
      <c r="A310" s="107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IF(B310&gt;0,VLOOKUP(B310,КВСР!A117:B1282,2),IF(C310&gt;0,VLOOKUP(C310,КФСР!A117:B1629,2),IF(D310&gt;0,VLOOKUP(D310,Программа!A$1:B$5124,2),IF(F310&gt;0,VLOOKUP(F310,КВР!A$1:B$5001,2),IF(E310&gt;0,VLOOKUP(E310,Направление!A$1:B$4816,2))))))</f>
        <v xml:space="preserve">Закупка товаров, работ и услуг для обеспечения государственных (муниципальных) нужд
</v>
      </c>
      <c r="B310" s="110"/>
      <c r="C310" s="111"/>
      <c r="D310" s="113"/>
      <c r="E310" s="111"/>
      <c r="F310" s="112">
        <v>200</v>
      </c>
      <c r="G310" s="335">
        <v>2355240</v>
      </c>
      <c r="H310" s="335"/>
      <c r="I310" s="335">
        <f>H310+G310</f>
        <v>2355240</v>
      </c>
      <c r="J310" s="335">
        <v>2355240</v>
      </c>
      <c r="K310" s="266"/>
      <c r="L310" s="335">
        <f>K310+J310</f>
        <v>2355240</v>
      </c>
    </row>
    <row r="311" spans="1:12" ht="31.5" x14ac:dyDescent="0.2">
      <c r="A311" s="107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IF(B311&gt;0,VLOOKUP(B311,КВСР!A115:B1280,2),IF(C311&gt;0,VLOOKUP(C311,КФСР!A115:B1627,2),IF(D311&gt;0,VLOOKUP(D311,Программа!A$1:B$5124,2),IF(F311&gt;0,VLOOKUP(F311,КВР!A$1:B$5001,2),IF(E311&gt;0,VLOOKUP(E311,Направление!A$1:B$4816,2))))))</f>
        <v>Обеспечение деятельности учреждений дополнительного образования</v>
      </c>
      <c r="B311" s="110"/>
      <c r="C311" s="111"/>
      <c r="D311" s="112"/>
      <c r="E311" s="111">
        <v>13210</v>
      </c>
      <c r="F311" s="112"/>
      <c r="G311" s="335">
        <v>17265714</v>
      </c>
      <c r="H311" s="335">
        <f>H314+H312+H313</f>
        <v>0</v>
      </c>
      <c r="I311" s="335">
        <f t="shared" ref="I311:L311" si="211">I314+I312+I313</f>
        <v>17265714</v>
      </c>
      <c r="J311" s="335">
        <v>15665714</v>
      </c>
      <c r="K311" s="335">
        <f t="shared" si="211"/>
        <v>0</v>
      </c>
      <c r="L311" s="335">
        <f t="shared" si="211"/>
        <v>15665714</v>
      </c>
    </row>
    <row r="312" spans="1:12" ht="110.25" x14ac:dyDescent="0.2">
      <c r="A312" s="107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10"/>
      <c r="C312" s="111"/>
      <c r="D312" s="112"/>
      <c r="E312" s="111"/>
      <c r="F312" s="112">
        <v>100</v>
      </c>
      <c r="G312" s="335">
        <v>0</v>
      </c>
      <c r="H312" s="335"/>
      <c r="I312" s="335">
        <f>G312+H312</f>
        <v>0</v>
      </c>
      <c r="J312" s="335">
        <v>0</v>
      </c>
      <c r="K312" s="266"/>
      <c r="L312" s="266">
        <f t="shared" ref="L312:L409" si="212">SUM(J312:K312)</f>
        <v>0</v>
      </c>
    </row>
    <row r="313" spans="1:12" ht="63" x14ac:dyDescent="0.2">
      <c r="A313" s="107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IF(B313&gt;0,VLOOKUP(B313,КВСР!A117:B1282,2),IF(C313&gt;0,VLOOKUP(C313,КФСР!A117:B1629,2),IF(D313&gt;0,VLOOKUP(D313,Программа!A$1:B$5124,2),IF(F313&gt;0,VLOOKUP(F313,КВР!A$1:B$5001,2),IF(E313&gt;0,VLOOKUP(E313,Направление!A$1:B$4816,2))))))</f>
        <v xml:space="preserve">Закупка товаров, работ и услуг для обеспечения государственных (муниципальных) нужд
</v>
      </c>
      <c r="B313" s="110"/>
      <c r="C313" s="111"/>
      <c r="D313" s="112"/>
      <c r="E313" s="111"/>
      <c r="F313" s="112">
        <v>200</v>
      </c>
      <c r="G313" s="335">
        <v>0</v>
      </c>
      <c r="H313" s="335"/>
      <c r="I313" s="335">
        <f>G313+H313</f>
        <v>0</v>
      </c>
      <c r="J313" s="335">
        <v>0</v>
      </c>
      <c r="K313" s="266"/>
      <c r="L313" s="266">
        <f t="shared" si="212"/>
        <v>0</v>
      </c>
    </row>
    <row r="314" spans="1:12" ht="47.25" x14ac:dyDescent="0.2">
      <c r="A314" s="107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IF(B314&gt;0,VLOOKUP(B314,КВСР!A116:B1281,2),IF(C314&gt;0,VLOOKUP(C314,КФСР!A116:B1628,2),IF(D314&gt;0,VLOOKUP(D314,Программа!A$1:B$5124,2),IF(F314&gt;0,VLOOKUP(F314,КВР!A$1:B$5001,2),IF(E314&gt;0,VLOOKUP(E314,Направление!A$1:B$4816,2))))))</f>
        <v>Предоставление субсидий бюджетным, автономным учреждениям и иным некоммерческим организациям</v>
      </c>
      <c r="B314" s="110"/>
      <c r="C314" s="111"/>
      <c r="D314" s="112"/>
      <c r="E314" s="111"/>
      <c r="F314" s="112">
        <v>600</v>
      </c>
      <c r="G314" s="335">
        <v>17265714</v>
      </c>
      <c r="H314" s="335"/>
      <c r="I314" s="335">
        <f t="shared" ref="I314:I409" si="213">SUM(G314:H314)</f>
        <v>17265714</v>
      </c>
      <c r="J314" s="335">
        <v>15665714</v>
      </c>
      <c r="K314" s="266"/>
      <c r="L314" s="266">
        <f t="shared" si="212"/>
        <v>15665714</v>
      </c>
    </row>
    <row r="315" spans="1:12" ht="31.5" x14ac:dyDescent="0.2">
      <c r="A315" s="107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IF(B315&gt;0,VLOOKUP(B315,КВСР!A117:B1282,2),IF(C315&gt;0,VLOOKUP(C315,КФСР!A117:B1629,2),IF(D315&gt;0,VLOOKUP(D315,Программа!A$1:B$5124,2),IF(F315&gt;0,VLOOKUP(F315,КВР!A$1:B$5001,2),IF(E315&gt;0,VLOOKUP(E315,Направление!A$1:B$4816,2))))))</f>
        <v>Обеспечение деятельности прочих учреждений в сфере образования</v>
      </c>
      <c r="B315" s="110"/>
      <c r="C315" s="111"/>
      <c r="D315" s="112"/>
      <c r="E315" s="111">
        <v>13310</v>
      </c>
      <c r="F315" s="112"/>
      <c r="G315" s="335">
        <v>600000</v>
      </c>
      <c r="H315" s="335">
        <f t="shared" ref="H315:L315" si="214">H316</f>
        <v>0</v>
      </c>
      <c r="I315" s="335">
        <f t="shared" si="214"/>
        <v>600000</v>
      </c>
      <c r="J315" s="335">
        <v>500000</v>
      </c>
      <c r="K315" s="335">
        <f t="shared" si="214"/>
        <v>0</v>
      </c>
      <c r="L315" s="335">
        <f t="shared" si="214"/>
        <v>500000</v>
      </c>
    </row>
    <row r="316" spans="1:12" ht="47.25" x14ac:dyDescent="0.2">
      <c r="A316" s="107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IF(B316&gt;0,VLOOKUP(B316,КВСР!A118:B1283,2),IF(C316&gt;0,VLOOKUP(C316,КФСР!A118:B1630,2),IF(D316&gt;0,VLOOKUP(D316,Программа!A$1:B$5124,2),IF(F316&gt;0,VLOOKUP(F316,КВР!A$1:B$5001,2),IF(E316&gt;0,VLOOKUP(E316,Направление!A$1:B$4816,2))))))</f>
        <v>Предоставление субсидий бюджетным, автономным учреждениям и иным некоммерческим организациям</v>
      </c>
      <c r="B316" s="110"/>
      <c r="C316" s="111"/>
      <c r="D316" s="112"/>
      <c r="E316" s="111"/>
      <c r="F316" s="712">
        <v>600</v>
      </c>
      <c r="G316" s="340">
        <v>600000</v>
      </c>
      <c r="H316" s="340"/>
      <c r="I316" s="340">
        <f>G316+H316</f>
        <v>600000</v>
      </c>
      <c r="J316" s="340">
        <v>500000</v>
      </c>
      <c r="K316" s="256"/>
      <c r="L316" s="256">
        <f>J316+K316</f>
        <v>500000</v>
      </c>
    </row>
    <row r="317" spans="1:12" ht="63" x14ac:dyDescent="0.2">
      <c r="A317" s="107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7" s="110"/>
      <c r="C317" s="111"/>
      <c r="D317" s="112"/>
      <c r="E317" s="111">
        <v>15890</v>
      </c>
      <c r="F317" s="712"/>
      <c r="G317" s="340">
        <v>18237286</v>
      </c>
      <c r="H317" s="340">
        <f>H318</f>
        <v>0</v>
      </c>
      <c r="I317" s="340">
        <f t="shared" ref="I317:L317" si="215">I318</f>
        <v>18237286</v>
      </c>
      <c r="J317" s="340">
        <v>18237286</v>
      </c>
      <c r="K317" s="340">
        <f t="shared" si="215"/>
        <v>0</v>
      </c>
      <c r="L317" s="340">
        <f t="shared" si="215"/>
        <v>18237286</v>
      </c>
    </row>
    <row r="318" spans="1:12" ht="47.25" x14ac:dyDescent="0.2">
      <c r="A318" s="107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IF(B318&gt;0,VLOOKUP(B318,КВСР!A120:B1285,2),IF(C318&gt;0,VLOOKUP(C318,КФСР!A120:B1632,2),IF(D318&gt;0,VLOOKUP(D318,Программа!A$1:B$5124,2),IF(F318&gt;0,VLOOKUP(F318,КВР!A$1:B$5001,2),IF(E318&gt;0,VLOOKUP(E318,Направление!A$1:B$4816,2))))))</f>
        <v>Предоставление субсидий бюджетным, автономным учреждениям и иным некоммерческим организациям</v>
      </c>
      <c r="B318" s="110"/>
      <c r="C318" s="111"/>
      <c r="D318" s="112"/>
      <c r="E318" s="111"/>
      <c r="F318" s="712">
        <v>600</v>
      </c>
      <c r="G318" s="340">
        <v>18237286</v>
      </c>
      <c r="H318" s="340"/>
      <c r="I318" s="340">
        <f t="shared" ref="I318:I320" si="216">G318+H318</f>
        <v>18237286</v>
      </c>
      <c r="J318" s="340">
        <v>18237286</v>
      </c>
      <c r="K318" s="256"/>
      <c r="L318" s="256">
        <f t="shared" ref="L318:L320" si="217">J318+K318</f>
        <v>18237286</v>
      </c>
    </row>
    <row r="319" spans="1:12" ht="63" x14ac:dyDescent="0.2">
      <c r="A319" s="107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9" s="110"/>
      <c r="C319" s="111"/>
      <c r="D319" s="112"/>
      <c r="E319" s="111">
        <v>75890</v>
      </c>
      <c r="F319" s="712"/>
      <c r="G319" s="340">
        <v>8366472</v>
      </c>
      <c r="H319" s="340">
        <f>H320</f>
        <v>0</v>
      </c>
      <c r="I319" s="340">
        <f t="shared" ref="I319:L319" si="218">I320</f>
        <v>8366472</v>
      </c>
      <c r="J319" s="340">
        <v>8366472</v>
      </c>
      <c r="K319" s="340">
        <f t="shared" si="218"/>
        <v>0</v>
      </c>
      <c r="L319" s="340">
        <f t="shared" si="218"/>
        <v>8366472</v>
      </c>
    </row>
    <row r="320" spans="1:12" ht="47.25" x14ac:dyDescent="0.2">
      <c r="A320" s="107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IF(B320&gt;0,VLOOKUP(B320,КВСР!A122:B1287,2),IF(C320&gt;0,VLOOKUP(C320,КФСР!A122:B1634,2),IF(D320&gt;0,VLOOKUP(D320,Программа!A$1:B$5124,2),IF(F320&gt;0,VLOOKUP(F320,КВР!A$1:B$5001,2),IF(E320&gt;0,VLOOKUP(E320,Направление!A$1:B$4816,2))))))</f>
        <v>Предоставление субсидий бюджетным, автономным учреждениям и иным некоммерческим организациям</v>
      </c>
      <c r="B320" s="110"/>
      <c r="C320" s="111"/>
      <c r="D320" s="112"/>
      <c r="E320" s="111"/>
      <c r="F320" s="712">
        <v>600</v>
      </c>
      <c r="G320" s="340">
        <v>8366472</v>
      </c>
      <c r="H320" s="340"/>
      <c r="I320" s="340">
        <f t="shared" si="216"/>
        <v>8366472</v>
      </c>
      <c r="J320" s="340">
        <v>8366472</v>
      </c>
      <c r="K320" s="256"/>
      <c r="L320" s="256">
        <f t="shared" si="217"/>
        <v>8366472</v>
      </c>
    </row>
    <row r="321" spans="1:12" ht="47.25" x14ac:dyDescent="0.2">
      <c r="A321" s="107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IF(B321&gt;0,VLOOKUP(B321,КВСР!A117:B1282,2),IF(C321&gt;0,VLOOKUP(C321,КФСР!A117:B1629,2),IF(D321&gt;0,VLOOKUP(D321,Программа!A$1:B$5124,2),IF(F321&gt;0,VLOOKUP(F321,КВР!A$1:B$5001,2),IF(E321&gt;0,VLOOKUP(E321,Направление!A$1:B$4816,2))))))</f>
        <v>Профессиональная подготовка, переподготовка и повышение квалификации</v>
      </c>
      <c r="B321" s="110"/>
      <c r="C321" s="111">
        <v>705</v>
      </c>
      <c r="D321" s="112"/>
      <c r="E321" s="111"/>
      <c r="F321" s="112"/>
      <c r="G321" s="335">
        <v>1000000</v>
      </c>
      <c r="H321" s="335">
        <f t="shared" ref="H321:L325" si="219">H322</f>
        <v>0</v>
      </c>
      <c r="I321" s="335">
        <f t="shared" si="219"/>
        <v>1000000</v>
      </c>
      <c r="J321" s="335">
        <v>500000</v>
      </c>
      <c r="K321" s="266">
        <f t="shared" si="219"/>
        <v>0</v>
      </c>
      <c r="L321" s="266">
        <f t="shared" si="219"/>
        <v>500000</v>
      </c>
    </row>
    <row r="322" spans="1:12" ht="63" x14ac:dyDescent="0.2">
      <c r="A322" s="107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2" s="110"/>
      <c r="C322" s="111"/>
      <c r="D322" s="113" t="s">
        <v>367</v>
      </c>
      <c r="E322" s="113"/>
      <c r="F322" s="113"/>
      <c r="G322" s="335">
        <v>1000000</v>
      </c>
      <c r="H322" s="335">
        <f t="shared" si="219"/>
        <v>0</v>
      </c>
      <c r="I322" s="335">
        <f t="shared" si="219"/>
        <v>1000000</v>
      </c>
      <c r="J322" s="335">
        <v>500000</v>
      </c>
      <c r="K322" s="266">
        <f t="shared" si="219"/>
        <v>0</v>
      </c>
      <c r="L322" s="266">
        <f t="shared" si="219"/>
        <v>500000</v>
      </c>
    </row>
    <row r="323" spans="1:12" ht="63" x14ac:dyDescent="0.2">
      <c r="A323" s="107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10"/>
      <c r="C323" s="111"/>
      <c r="D323" s="113" t="s">
        <v>369</v>
      </c>
      <c r="E323" s="113"/>
      <c r="F323" s="113"/>
      <c r="G323" s="335">
        <v>1000000</v>
      </c>
      <c r="H323" s="335">
        <f t="shared" si="219"/>
        <v>0</v>
      </c>
      <c r="I323" s="335">
        <f t="shared" si="219"/>
        <v>1000000</v>
      </c>
      <c r="J323" s="335">
        <v>500000</v>
      </c>
      <c r="K323" s="266">
        <f t="shared" si="219"/>
        <v>0</v>
      </c>
      <c r="L323" s="266">
        <f t="shared" si="219"/>
        <v>500000</v>
      </c>
    </row>
    <row r="324" spans="1:12" ht="78.75" x14ac:dyDescent="0.2">
      <c r="A324" s="107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10"/>
      <c r="C324" s="111"/>
      <c r="D324" s="113" t="s">
        <v>388</v>
      </c>
      <c r="E324" s="113"/>
      <c r="F324" s="113"/>
      <c r="G324" s="335">
        <v>1000000</v>
      </c>
      <c r="H324" s="335">
        <f t="shared" si="219"/>
        <v>0</v>
      </c>
      <c r="I324" s="335">
        <f t="shared" si="219"/>
        <v>1000000</v>
      </c>
      <c r="J324" s="335">
        <v>500000</v>
      </c>
      <c r="K324" s="266">
        <f t="shared" si="219"/>
        <v>0</v>
      </c>
      <c r="L324" s="266">
        <f t="shared" si="219"/>
        <v>500000</v>
      </c>
    </row>
    <row r="325" spans="1:12" ht="63" x14ac:dyDescent="0.2">
      <c r="A325" s="107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10"/>
      <c r="C325" s="111"/>
      <c r="D325" s="113"/>
      <c r="E325" s="113" t="s">
        <v>1169</v>
      </c>
      <c r="F325" s="113"/>
      <c r="G325" s="335">
        <v>1000000</v>
      </c>
      <c r="H325" s="335">
        <f t="shared" si="219"/>
        <v>0</v>
      </c>
      <c r="I325" s="335">
        <f t="shared" si="219"/>
        <v>1000000</v>
      </c>
      <c r="J325" s="335">
        <v>500000</v>
      </c>
      <c r="K325" s="266">
        <f t="shared" si="219"/>
        <v>0</v>
      </c>
      <c r="L325" s="266">
        <f t="shared" si="219"/>
        <v>500000</v>
      </c>
    </row>
    <row r="326" spans="1:12" ht="47.25" x14ac:dyDescent="0.2">
      <c r="A326" s="107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IF(B326&gt;0,VLOOKUP(B326,КВСР!A122:B1287,2),IF(C326&gt;0,VLOOKUP(C326,КФСР!A122:B1634,2),IF(D326&gt;0,VLOOKUP(D326,Программа!A$1:B$5124,2),IF(F326&gt;0,VLOOKUP(F326,КВР!A$1:B$5001,2),IF(E326&gt;0,VLOOKUP(E326,Направление!A$1:B$4816,2))))))</f>
        <v>Предоставление субсидий бюджетным, автономным учреждениям и иным некоммерческим организациям</v>
      </c>
      <c r="B326" s="110"/>
      <c r="C326" s="111"/>
      <c r="D326" s="113"/>
      <c r="E326" s="113"/>
      <c r="F326" s="112">
        <v>600</v>
      </c>
      <c r="G326" s="335">
        <v>1000000</v>
      </c>
      <c r="H326" s="335"/>
      <c r="I326" s="335">
        <f>G326+H326</f>
        <v>1000000</v>
      </c>
      <c r="J326" s="335">
        <v>500000</v>
      </c>
      <c r="K326" s="266"/>
      <c r="L326" s="266">
        <f>J326+K326</f>
        <v>500000</v>
      </c>
    </row>
    <row r="327" spans="1:12" ht="15.75" x14ac:dyDescent="0.2">
      <c r="A327" s="107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IF(B327&gt;0,VLOOKUP(B327,КВСР!A109:B1274,2),IF(C327&gt;0,VLOOKUP(C327,КФСР!A109:B1621,2),IF(D327&gt;0,VLOOKUP(D327,Программа!A$1:B$5124,2),IF(F327&gt;0,VLOOKUP(F327,КВР!A$1:B$5001,2),IF(E327&gt;0,VLOOKUP(E327,Направление!A$1:B$4816,2))))))</f>
        <v>Молодежная политика</v>
      </c>
      <c r="B327" s="110"/>
      <c r="C327" s="111">
        <v>707</v>
      </c>
      <c r="D327" s="113"/>
      <c r="E327" s="111"/>
      <c r="F327" s="112"/>
      <c r="G327" s="335">
        <v>6296198</v>
      </c>
      <c r="H327" s="335">
        <f t="shared" ref="H327:I328" si="220">H328</f>
        <v>0</v>
      </c>
      <c r="I327" s="335">
        <f t="shared" si="220"/>
        <v>6296198</v>
      </c>
      <c r="J327" s="335">
        <v>6296198</v>
      </c>
      <c r="K327" s="266">
        <f t="shared" ref="K327:L328" si="221">K328</f>
        <v>0</v>
      </c>
      <c r="L327" s="266">
        <f t="shared" si="221"/>
        <v>6296198</v>
      </c>
    </row>
    <row r="328" spans="1:12" ht="63" x14ac:dyDescent="0.2">
      <c r="A328" s="107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8" s="110"/>
      <c r="C328" s="111"/>
      <c r="D328" s="113" t="s">
        <v>367</v>
      </c>
      <c r="E328" s="111"/>
      <c r="F328" s="112"/>
      <c r="G328" s="335">
        <v>6296198</v>
      </c>
      <c r="H328" s="335">
        <f t="shared" si="220"/>
        <v>0</v>
      </c>
      <c r="I328" s="335">
        <f t="shared" si="220"/>
        <v>6296198</v>
      </c>
      <c r="J328" s="335">
        <v>6296198</v>
      </c>
      <c r="K328" s="266">
        <f t="shared" si="221"/>
        <v>0</v>
      </c>
      <c r="L328" s="266">
        <f t="shared" si="221"/>
        <v>6296198</v>
      </c>
    </row>
    <row r="329" spans="1:12" ht="63" x14ac:dyDescent="0.2">
      <c r="A329" s="107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10"/>
      <c r="C329" s="111"/>
      <c r="D329" s="113" t="s">
        <v>369</v>
      </c>
      <c r="E329" s="111"/>
      <c r="F329" s="112"/>
      <c r="G329" s="335">
        <v>6296198</v>
      </c>
      <c r="H329" s="335">
        <f t="shared" ref="H329:I329" si="222">H330+H343</f>
        <v>0</v>
      </c>
      <c r="I329" s="335">
        <f t="shared" si="222"/>
        <v>6296198</v>
      </c>
      <c r="J329" s="335">
        <v>6296198</v>
      </c>
      <c r="K329" s="266">
        <f t="shared" ref="K329:L329" si="223">K330+K343</f>
        <v>0</v>
      </c>
      <c r="L329" s="266">
        <f t="shared" si="223"/>
        <v>6296198</v>
      </c>
    </row>
    <row r="330" spans="1:12" ht="31.5" x14ac:dyDescent="0.2">
      <c r="A330" s="107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IF(B330&gt;0,VLOOKUP(B330,КВСР!A112:B1277,2),IF(C330&gt;0,VLOOKUP(C330,КФСР!A112:B1624,2),IF(D330&gt;0,VLOOKUP(D330,Программа!A$1:B$5124,2),IF(F330&gt;0,VLOOKUP(F330,КВР!A$1:B$5001,2),IF(E330&gt;0,VLOOKUP(E330,Направление!A$1:B$4816,2))))))</f>
        <v>Обеспечение детей организованными формами отдыха и оздоровления</v>
      </c>
      <c r="B330" s="110"/>
      <c r="C330" s="111"/>
      <c r="D330" s="113" t="s">
        <v>1055</v>
      </c>
      <c r="E330" s="111"/>
      <c r="F330" s="112"/>
      <c r="G330" s="335">
        <v>6296198</v>
      </c>
      <c r="H330" s="335">
        <f>H336+H338+H341+H331+H333</f>
        <v>0</v>
      </c>
      <c r="I330" s="335">
        <f t="shared" ref="I330:L330" si="224">I336+I338+I341+I331+I333</f>
        <v>6296198</v>
      </c>
      <c r="J330" s="335">
        <v>6296198</v>
      </c>
      <c r="K330" s="335">
        <f t="shared" si="224"/>
        <v>0</v>
      </c>
      <c r="L330" s="335">
        <f t="shared" si="224"/>
        <v>6296198</v>
      </c>
    </row>
    <row r="331" spans="1:12" ht="47.25" x14ac:dyDescent="0.2">
      <c r="A331" s="107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331" s="110"/>
      <c r="C331" s="111"/>
      <c r="D331" s="113"/>
      <c r="E331" s="111">
        <v>11000</v>
      </c>
      <c r="F331" s="112"/>
      <c r="G331" s="335">
        <v>82188</v>
      </c>
      <c r="H331" s="335">
        <f t="shared" ref="H331:L331" si="225">H332</f>
        <v>0</v>
      </c>
      <c r="I331" s="335">
        <f t="shared" si="225"/>
        <v>82188</v>
      </c>
      <c r="J331" s="335">
        <v>82188</v>
      </c>
      <c r="K331" s="335">
        <f t="shared" si="225"/>
        <v>0</v>
      </c>
      <c r="L331" s="335">
        <f t="shared" si="225"/>
        <v>82188</v>
      </c>
    </row>
    <row r="332" spans="1:12" ht="47.25" x14ac:dyDescent="0.2">
      <c r="A332" s="107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0"/>
      <c r="C332" s="111"/>
      <c r="D332" s="113"/>
      <c r="E332" s="111"/>
      <c r="F332" s="112">
        <v>600</v>
      </c>
      <c r="G332" s="335">
        <v>82188</v>
      </c>
      <c r="H332" s="335"/>
      <c r="I332" s="335">
        <f>G332+H332</f>
        <v>82188</v>
      </c>
      <c r="J332" s="335">
        <v>82188</v>
      </c>
      <c r="K332" s="266"/>
      <c r="L332" s="266">
        <f>J332+K332</f>
        <v>82188</v>
      </c>
    </row>
    <row r="333" spans="1:12" ht="31.5" x14ac:dyDescent="0.2">
      <c r="A333" s="107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IF(B333&gt;0,VLOOKUP(B333,КВСР!A115:B1280,2),IF(C333&gt;0,VLOOKUP(C333,КФСР!A115:B1627,2),IF(D333&gt;0,VLOOKUP(D333,Программа!A$1:B$5124,2),IF(F333&gt;0,VLOOKUP(F333,КВР!A$1:B$5001,2),IF(E333&gt;0,VLOOKUP(E333,Направление!A$1:B$4816,2))))))</f>
        <v>Расходы на обеспечение оздоровления и отдыха детей</v>
      </c>
      <c r="B333" s="110"/>
      <c r="C333" s="111"/>
      <c r="D333" s="113"/>
      <c r="E333" s="111">
        <v>13330</v>
      </c>
      <c r="F333" s="112"/>
      <c r="G333" s="335">
        <v>100250</v>
      </c>
      <c r="H333" s="335">
        <f>H334+H335</f>
        <v>0</v>
      </c>
      <c r="I333" s="335">
        <f t="shared" ref="I333:L333" si="226">I334+I335</f>
        <v>100250</v>
      </c>
      <c r="J333" s="335">
        <v>100250</v>
      </c>
      <c r="K333" s="335">
        <f t="shared" si="226"/>
        <v>0</v>
      </c>
      <c r="L333" s="335">
        <f t="shared" si="226"/>
        <v>100250</v>
      </c>
    </row>
    <row r="334" spans="1:12" ht="63" x14ac:dyDescent="0.2">
      <c r="A334" s="107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IF(B334&gt;0,VLOOKUP(B334,КВСР!A116:B1281,2),IF(C334&gt;0,VLOOKUP(C334,КФСР!A116:B1628,2),IF(D334&gt;0,VLOOKUP(D334,Программа!A$1:B$5124,2),IF(F334&gt;0,VLOOKUP(F334,КВР!A$1:B$5001,2),IF(E334&gt;0,VLOOKUP(E334,Направление!A$1:B$4816,2))))))</f>
        <v xml:space="preserve">Закупка товаров, работ и услуг для обеспечения государственных (муниципальных) нужд
</v>
      </c>
      <c r="B334" s="110"/>
      <c r="C334" s="111"/>
      <c r="D334" s="113"/>
      <c r="E334" s="111"/>
      <c r="F334" s="112">
        <v>200</v>
      </c>
      <c r="G334" s="335">
        <v>44000</v>
      </c>
      <c r="H334" s="335"/>
      <c r="I334" s="335">
        <f>G334+H334</f>
        <v>44000</v>
      </c>
      <c r="J334" s="335">
        <v>44000</v>
      </c>
      <c r="K334" s="266"/>
      <c r="L334" s="266">
        <f>J334+K334</f>
        <v>44000</v>
      </c>
    </row>
    <row r="335" spans="1:12" ht="47.25" x14ac:dyDescent="0.2">
      <c r="A335" s="107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IF(B335&gt;0,VLOOKUP(B335,КВСР!A117:B1282,2),IF(C335&gt;0,VLOOKUP(C335,КФСР!A117:B1629,2),IF(D335&gt;0,VLOOKUP(D335,Программа!A$1:B$5124,2),IF(F335&gt;0,VLOOKUP(F335,КВР!A$1:B$5001,2),IF(E335&gt;0,VLOOKUP(E335,Направление!A$1:B$4816,2))))))</f>
        <v>Предоставление субсидий бюджетным, автономным учреждениям и иным некоммерческим организациям</v>
      </c>
      <c r="B335" s="110"/>
      <c r="C335" s="111"/>
      <c r="D335" s="113"/>
      <c r="E335" s="111"/>
      <c r="F335" s="112">
        <v>600</v>
      </c>
      <c r="G335" s="335">
        <v>56250</v>
      </c>
      <c r="H335" s="335"/>
      <c r="I335" s="335">
        <f>G335+H335</f>
        <v>56250</v>
      </c>
      <c r="J335" s="335">
        <v>56250</v>
      </c>
      <c r="K335" s="266"/>
      <c r="L335" s="266">
        <f>J335+K335</f>
        <v>56250</v>
      </c>
    </row>
    <row r="336" spans="1:12" ht="94.5" x14ac:dyDescent="0.2">
      <c r="A336" s="107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10"/>
      <c r="C336" s="111"/>
      <c r="D336" s="113"/>
      <c r="E336" s="111">
        <v>71000</v>
      </c>
      <c r="F336" s="112"/>
      <c r="G336" s="335">
        <v>807497</v>
      </c>
      <c r="H336" s="335">
        <f t="shared" ref="H336:I336" si="227">H337</f>
        <v>0</v>
      </c>
      <c r="I336" s="335">
        <f t="shared" si="227"/>
        <v>807497</v>
      </c>
      <c r="J336" s="335">
        <v>807497</v>
      </c>
      <c r="K336" s="266">
        <f t="shared" ref="K336:L336" si="228">K337</f>
        <v>0</v>
      </c>
      <c r="L336" s="266">
        <f t="shared" si="228"/>
        <v>807497</v>
      </c>
    </row>
    <row r="337" spans="1:12" ht="47.25" x14ac:dyDescent="0.2">
      <c r="A337" s="107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IF(B337&gt;0,VLOOKUP(B337,КВСР!A114:B1279,2),IF(C337&gt;0,VLOOKUP(C337,КФСР!A114:B1626,2),IF(D337&gt;0,VLOOKUP(D337,Программа!A$1:B$5124,2),IF(F337&gt;0,VLOOKUP(F337,КВР!A$1:B$5001,2),IF(E337&gt;0,VLOOKUP(E337,Направление!A$1:B$4816,2))))))</f>
        <v>Предоставление субсидий бюджетным, автономным учреждениям и иным некоммерческим организациям</v>
      </c>
      <c r="B337" s="110"/>
      <c r="C337" s="111"/>
      <c r="D337" s="113"/>
      <c r="E337" s="111"/>
      <c r="F337" s="112">
        <v>600</v>
      </c>
      <c r="G337" s="335">
        <v>807497</v>
      </c>
      <c r="H337" s="335"/>
      <c r="I337" s="335">
        <f t="shared" si="213"/>
        <v>807497</v>
      </c>
      <c r="J337" s="335">
        <v>807497</v>
      </c>
      <c r="K337" s="266"/>
      <c r="L337" s="266">
        <f t="shared" si="212"/>
        <v>807497</v>
      </c>
    </row>
    <row r="338" spans="1:12" ht="110.25" x14ac:dyDescent="0.2">
      <c r="A338" s="107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10"/>
      <c r="C338" s="111"/>
      <c r="D338" s="113"/>
      <c r="E338" s="111">
        <v>71060</v>
      </c>
      <c r="F338" s="112"/>
      <c r="G338" s="335">
        <v>5281330</v>
      </c>
      <c r="H338" s="335">
        <f t="shared" ref="H338:I338" si="229">H340+H339</f>
        <v>0</v>
      </c>
      <c r="I338" s="335">
        <f t="shared" si="229"/>
        <v>5281330</v>
      </c>
      <c r="J338" s="335">
        <v>5281330</v>
      </c>
      <c r="K338" s="266">
        <f t="shared" ref="K338:L338" si="230">K340+K339</f>
        <v>0</v>
      </c>
      <c r="L338" s="266">
        <f t="shared" si="230"/>
        <v>5281330</v>
      </c>
    </row>
    <row r="339" spans="1:12" ht="31.5" x14ac:dyDescent="0.2">
      <c r="A339" s="107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IF(B339&gt;0,VLOOKUP(B339,КВСР!A116:B1281,2),IF(C339&gt;0,VLOOKUP(C339,КФСР!A116:B1628,2),IF(D339&gt;0,VLOOKUP(D339,Программа!A$1:B$5124,2),IF(F339&gt;0,VLOOKUP(F339,КВР!A$1:B$5001,2),IF(E339&gt;0,VLOOKUP(E339,Направление!A$1:B$4816,2))))))</f>
        <v>Социальное обеспечение и иные выплаты населению</v>
      </c>
      <c r="B339" s="110"/>
      <c r="C339" s="111"/>
      <c r="D339" s="113"/>
      <c r="E339" s="111"/>
      <c r="F339" s="112">
        <v>300</v>
      </c>
      <c r="G339" s="335">
        <v>3724994</v>
      </c>
      <c r="H339" s="335"/>
      <c r="I339" s="335">
        <f t="shared" si="213"/>
        <v>3724994</v>
      </c>
      <c r="J339" s="335">
        <v>3724994</v>
      </c>
      <c r="K339" s="266"/>
      <c r="L339" s="266">
        <f t="shared" si="212"/>
        <v>3724994</v>
      </c>
    </row>
    <row r="340" spans="1:12" ht="47.25" x14ac:dyDescent="0.2">
      <c r="A340" s="107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IF(B340&gt;0,VLOOKUP(B340,КВСР!A116:B1281,2),IF(C340&gt;0,VLOOKUP(C340,КФСР!A116:B1628,2),IF(D340&gt;0,VLOOKUP(D340,Программа!A$1:B$5124,2),IF(F340&gt;0,VLOOKUP(F340,КВР!A$1:B$5001,2),IF(E340&gt;0,VLOOKUP(E340,Направление!A$1:B$4816,2))))))</f>
        <v>Предоставление субсидий бюджетным, автономным учреждениям и иным некоммерческим организациям</v>
      </c>
      <c r="B340" s="110"/>
      <c r="C340" s="111"/>
      <c r="D340" s="113"/>
      <c r="E340" s="111"/>
      <c r="F340" s="112">
        <v>600</v>
      </c>
      <c r="G340" s="335">
        <v>1556336</v>
      </c>
      <c r="H340" s="335"/>
      <c r="I340" s="335">
        <f t="shared" si="213"/>
        <v>1556336</v>
      </c>
      <c r="J340" s="335">
        <v>1556336</v>
      </c>
      <c r="K340" s="266"/>
      <c r="L340" s="266">
        <f t="shared" si="212"/>
        <v>1556336</v>
      </c>
    </row>
    <row r="341" spans="1:12" ht="47.25" x14ac:dyDescent="0.2">
      <c r="A341" s="107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IF(B341&gt;0,VLOOKUP(B341,КВСР!A117:B1282,2),IF(C341&gt;0,VLOOKUP(C341,КФСР!A117:B1629,2),IF(D341&gt;0,VLOOKUP(D341,Программа!A$1:B$5124,2),IF(F341&gt;0,VLOOKUP(F341,КВР!A$1:B$5001,2),IF(E341&gt;0,VLOOKUP(E341,Направление!A$1:B$4816,2))))))</f>
        <v>Расходы на частичную оплату стоимости путевки в организации отдыха детей и их оздоровления</v>
      </c>
      <c r="B341" s="110"/>
      <c r="C341" s="111"/>
      <c r="D341" s="113"/>
      <c r="E341" s="111">
        <v>75160</v>
      </c>
      <c r="F341" s="112"/>
      <c r="G341" s="343">
        <v>24933</v>
      </c>
      <c r="H341" s="343">
        <f t="shared" ref="H341:I341" si="231">H342</f>
        <v>0</v>
      </c>
      <c r="I341" s="343">
        <f t="shared" si="231"/>
        <v>24933</v>
      </c>
      <c r="J341" s="343">
        <v>24933</v>
      </c>
      <c r="K341" s="336">
        <f t="shared" ref="K341:L341" si="232">K342</f>
        <v>0</v>
      </c>
      <c r="L341" s="336">
        <f t="shared" si="232"/>
        <v>24933</v>
      </c>
    </row>
    <row r="342" spans="1:12" ht="31.5" x14ac:dyDescent="0.2">
      <c r="A342" s="107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IF(B342&gt;0,VLOOKUP(B342,КВСР!A118:B1283,2),IF(C342&gt;0,VLOOKUP(C342,КФСР!A118:B1630,2),IF(D342&gt;0,VLOOKUP(D342,Программа!A$1:B$5124,2),IF(F342&gt;0,VLOOKUP(F342,КВР!A$1:B$5001,2),IF(E342&gt;0,VLOOKUP(E342,Направление!A$1:B$4816,2))))))</f>
        <v>Социальное обеспечение и иные выплаты населению</v>
      </c>
      <c r="B342" s="110"/>
      <c r="C342" s="111"/>
      <c r="D342" s="113"/>
      <c r="E342" s="111"/>
      <c r="F342" s="112">
        <v>300</v>
      </c>
      <c r="G342" s="335">
        <v>24933</v>
      </c>
      <c r="H342" s="335"/>
      <c r="I342" s="335">
        <f t="shared" si="213"/>
        <v>24933</v>
      </c>
      <c r="J342" s="335">
        <v>24933</v>
      </c>
      <c r="K342" s="266"/>
      <c r="L342" s="266">
        <f t="shared" si="212"/>
        <v>24933</v>
      </c>
    </row>
    <row r="343" spans="1:12" ht="15.75" x14ac:dyDescent="0.2">
      <c r="A343" s="107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IF(B343&gt;0,VLOOKUP(B343,КВСР!A117:B1282,2),IF(C343&gt;0,VLOOKUP(C343,КФСР!A117:B1629,2),IF(D343&gt;0,VLOOKUP(D343,Программа!A$1:B$5124,2),IF(F343&gt;0,VLOOKUP(F343,КВР!A$1:B$5001,2),IF(E343&gt;0,VLOOKUP(E343,Направление!A$1:B$4816,2))))))</f>
        <v>Обеспечение компенсационных выплат</v>
      </c>
      <c r="B343" s="110"/>
      <c r="C343" s="111"/>
      <c r="D343" s="113" t="s">
        <v>1060</v>
      </c>
      <c r="E343" s="111"/>
      <c r="F343" s="112"/>
      <c r="G343" s="335">
        <v>0</v>
      </c>
      <c r="H343" s="335">
        <f t="shared" ref="H343:H344" si="233">H344</f>
        <v>0</v>
      </c>
      <c r="I343" s="335">
        <f t="shared" si="213"/>
        <v>0</v>
      </c>
      <c r="J343" s="335">
        <v>0</v>
      </c>
      <c r="K343" s="266">
        <f t="shared" ref="K343:K344" si="234">K344</f>
        <v>0</v>
      </c>
      <c r="L343" s="266">
        <f t="shared" si="212"/>
        <v>0</v>
      </c>
    </row>
    <row r="344" spans="1:12" ht="47.25" x14ac:dyDescent="0.2">
      <c r="A344" s="107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IF(B344&gt;0,VLOOKUP(B344,КВСР!A114:B1279,2),IF(C344&gt;0,VLOOKUP(C344,КФСР!A114:B1626,2),IF(D344&gt;0,VLOOKUP(D344,Программа!A$1:B$5124,2),IF(F344&gt;0,VLOOKUP(F344,КВР!A$1:B$5001,2),IF(E344&gt;0,VLOOKUP(E344,Направление!A$1:B$4816,2))))))</f>
        <v>Компенсация части расходов на приобретение путевки в организации отдыха детей и их оздоровления</v>
      </c>
      <c r="B344" s="110"/>
      <c r="C344" s="111"/>
      <c r="D344" s="113"/>
      <c r="E344" s="111">
        <v>74390</v>
      </c>
      <c r="F344" s="112"/>
      <c r="G344" s="335">
        <v>0</v>
      </c>
      <c r="H344" s="335">
        <f t="shared" si="233"/>
        <v>0</v>
      </c>
      <c r="I344" s="335">
        <f t="shared" si="213"/>
        <v>0</v>
      </c>
      <c r="J344" s="335">
        <v>0</v>
      </c>
      <c r="K344" s="266">
        <f t="shared" si="234"/>
        <v>0</v>
      </c>
      <c r="L344" s="266">
        <f t="shared" si="212"/>
        <v>0</v>
      </c>
    </row>
    <row r="345" spans="1:12" ht="31.5" x14ac:dyDescent="0.2">
      <c r="A345" s="107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IF(B345&gt;0,VLOOKUP(B345,КВСР!A116:B1281,2),IF(C345&gt;0,VLOOKUP(C345,КФСР!A116:B1628,2),IF(D345&gt;0,VLOOKUP(D345,Программа!A$1:B$5124,2),IF(F345&gt;0,VLOOKUP(F345,КВР!A$1:B$5001,2),IF(E345&gt;0,VLOOKUP(E345,Направление!A$1:B$4816,2))))))</f>
        <v>Социальное обеспечение и иные выплаты населению</v>
      </c>
      <c r="B345" s="110"/>
      <c r="C345" s="111"/>
      <c r="D345" s="113"/>
      <c r="E345" s="111"/>
      <c r="F345" s="106">
        <v>300</v>
      </c>
      <c r="G345" s="335">
        <v>0</v>
      </c>
      <c r="H345" s="335"/>
      <c r="I345" s="335">
        <f t="shared" si="213"/>
        <v>0</v>
      </c>
      <c r="J345" s="335">
        <v>0</v>
      </c>
      <c r="K345" s="266"/>
      <c r="L345" s="266">
        <f t="shared" si="212"/>
        <v>0</v>
      </c>
    </row>
    <row r="346" spans="1:12" ht="15.75" x14ac:dyDescent="0.2">
      <c r="A346" s="107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IF(B346&gt;0,VLOOKUP(B346,КВСР!A122:B1287,2),IF(C346&gt;0,VLOOKUP(C346,КФСР!A122:B1634,2),IF(D346&gt;0,VLOOKUP(D346,Программа!A$1:B$5124,2),IF(F346&gt;0,VLOOKUP(F346,КВР!A$1:B$5001,2),IF(E346&gt;0,VLOOKUP(E346,Направление!A$1:B$4816,2))))))</f>
        <v>Другие вопросы в области образования</v>
      </c>
      <c r="B346" s="110"/>
      <c r="C346" s="111">
        <v>709</v>
      </c>
      <c r="D346" s="113"/>
      <c r="E346" s="111"/>
      <c r="F346" s="112"/>
      <c r="G346" s="335">
        <v>38857612</v>
      </c>
      <c r="H346" s="335">
        <f t="shared" ref="H346:I346" si="235">H352+H347</f>
        <v>0</v>
      </c>
      <c r="I346" s="335">
        <f t="shared" si="235"/>
        <v>38857612</v>
      </c>
      <c r="J346" s="335">
        <v>31934313</v>
      </c>
      <c r="K346" s="266">
        <f t="shared" ref="K346:L346" si="236">K352+K347</f>
        <v>0</v>
      </c>
      <c r="L346" s="266">
        <f t="shared" si="236"/>
        <v>31934313</v>
      </c>
    </row>
    <row r="347" spans="1:12" ht="63" x14ac:dyDescent="0.2">
      <c r="A347" s="107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47" s="110"/>
      <c r="C347" s="111"/>
      <c r="D347" s="113" t="s">
        <v>396</v>
      </c>
      <c r="E347" s="111"/>
      <c r="F347" s="112"/>
      <c r="G347" s="335">
        <v>0</v>
      </c>
      <c r="H347" s="335">
        <f t="shared" ref="H347:I350" si="237">H348</f>
        <v>0</v>
      </c>
      <c r="I347" s="335">
        <f t="shared" si="237"/>
        <v>0</v>
      </c>
      <c r="J347" s="335">
        <v>0</v>
      </c>
      <c r="K347" s="266">
        <f t="shared" ref="K347:L350" si="238">K348</f>
        <v>0</v>
      </c>
      <c r="L347" s="266">
        <f t="shared" si="238"/>
        <v>0</v>
      </c>
    </row>
    <row r="348" spans="1:12" ht="63" x14ac:dyDescent="0.2">
      <c r="A348" s="107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10"/>
      <c r="C348" s="111"/>
      <c r="D348" s="113" t="s">
        <v>403</v>
      </c>
      <c r="E348" s="111"/>
      <c r="F348" s="112"/>
      <c r="G348" s="335">
        <v>0</v>
      </c>
      <c r="H348" s="335">
        <f t="shared" si="237"/>
        <v>0</v>
      </c>
      <c r="I348" s="335">
        <f t="shared" si="237"/>
        <v>0</v>
      </c>
      <c r="J348" s="335">
        <v>0</v>
      </c>
      <c r="K348" s="266">
        <f t="shared" si="238"/>
        <v>0</v>
      </c>
      <c r="L348" s="266">
        <f t="shared" si="238"/>
        <v>0</v>
      </c>
    </row>
    <row r="349" spans="1:12" ht="31.5" x14ac:dyDescent="0.2">
      <c r="A349" s="107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IF(B349&gt;0,VLOOKUP(B349,КВСР!A125:B1290,2),IF(C349&gt;0,VLOOKUP(C349,КФСР!A125:B1637,2),IF(D349&gt;0,VLOOKUP(D349,Программа!A$1:B$5124,2),IF(F349&gt;0,VLOOKUP(F349,КВР!A$1:B$5001,2),IF(E349&gt;0,VLOOKUP(E349,Направление!A$1:B$4816,2))))))</f>
        <v>Развитие системы профилактики немедицинского потребления наркотиков</v>
      </c>
      <c r="B349" s="110"/>
      <c r="C349" s="111"/>
      <c r="D349" s="113" t="s">
        <v>405</v>
      </c>
      <c r="E349" s="111"/>
      <c r="F349" s="112"/>
      <c r="G349" s="335">
        <v>0</v>
      </c>
      <c r="H349" s="335">
        <f t="shared" si="237"/>
        <v>0</v>
      </c>
      <c r="I349" s="335">
        <f t="shared" si="237"/>
        <v>0</v>
      </c>
      <c r="J349" s="335">
        <v>0</v>
      </c>
      <c r="K349" s="266">
        <f t="shared" si="238"/>
        <v>0</v>
      </c>
      <c r="L349" s="266">
        <f t="shared" si="238"/>
        <v>0</v>
      </c>
    </row>
    <row r="350" spans="1:12" ht="63" x14ac:dyDescent="0.2">
      <c r="A350" s="107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10"/>
      <c r="C350" s="111"/>
      <c r="D350" s="113"/>
      <c r="E350" s="111" t="s">
        <v>407</v>
      </c>
      <c r="F350" s="112"/>
      <c r="G350" s="335">
        <v>0</v>
      </c>
      <c r="H350" s="335">
        <f t="shared" si="237"/>
        <v>0</v>
      </c>
      <c r="I350" s="335">
        <f t="shared" si="237"/>
        <v>0</v>
      </c>
      <c r="J350" s="335">
        <v>0</v>
      </c>
      <c r="K350" s="266">
        <f t="shared" si="238"/>
        <v>0</v>
      </c>
      <c r="L350" s="266">
        <f t="shared" si="238"/>
        <v>0</v>
      </c>
    </row>
    <row r="351" spans="1:12" ht="47.25" x14ac:dyDescent="0.2">
      <c r="A351" s="107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IF(B351&gt;0,VLOOKUP(B351,КВСР!A127:B1292,2),IF(C351&gt;0,VLOOKUP(C351,КФСР!A127:B1639,2),IF(D351&gt;0,VLOOKUP(D351,Программа!A$1:B$5124,2),IF(F351&gt;0,VLOOKUP(F351,КВР!A$1:B$5001,2),IF(E351&gt;0,VLOOKUP(E351,Направление!A$1:B$4816,2))))))</f>
        <v>Предоставление субсидий бюджетным, автономным учреждениям и иным некоммерческим организациям</v>
      </c>
      <c r="B351" s="110"/>
      <c r="C351" s="111"/>
      <c r="D351" s="113"/>
      <c r="E351" s="111"/>
      <c r="F351" s="112">
        <v>600</v>
      </c>
      <c r="G351" s="335">
        <v>0</v>
      </c>
      <c r="H351" s="335"/>
      <c r="I351" s="335">
        <f t="shared" si="213"/>
        <v>0</v>
      </c>
      <c r="J351" s="335">
        <v>0</v>
      </c>
      <c r="K351" s="266"/>
      <c r="L351" s="266">
        <f t="shared" si="212"/>
        <v>0</v>
      </c>
    </row>
    <row r="352" spans="1:12" ht="63" x14ac:dyDescent="0.2">
      <c r="A352" s="107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52" s="110"/>
      <c r="C352" s="111"/>
      <c r="D352" s="113" t="s">
        <v>367</v>
      </c>
      <c r="E352" s="111"/>
      <c r="F352" s="112"/>
      <c r="G352" s="335">
        <v>38857612</v>
      </c>
      <c r="H352" s="335">
        <f>H353+H378</f>
        <v>0</v>
      </c>
      <c r="I352" s="335">
        <f t="shared" ref="I352:L352" si="239">I353+I378</f>
        <v>38857612</v>
      </c>
      <c r="J352" s="335">
        <v>31934313</v>
      </c>
      <c r="K352" s="335">
        <f t="shared" si="239"/>
        <v>0</v>
      </c>
      <c r="L352" s="335">
        <f t="shared" si="239"/>
        <v>31934313</v>
      </c>
    </row>
    <row r="353" spans="1:12" ht="63" x14ac:dyDescent="0.2">
      <c r="A353" s="107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10"/>
      <c r="C353" s="111"/>
      <c r="D353" s="113" t="s">
        <v>369</v>
      </c>
      <c r="E353" s="111"/>
      <c r="F353" s="112"/>
      <c r="G353" s="335">
        <v>38852612</v>
      </c>
      <c r="H353" s="335">
        <f t="shared" ref="H353:K353" si="240">H365+H354+H358</f>
        <v>0</v>
      </c>
      <c r="I353" s="335">
        <f t="shared" ref="I353" si="241">I365+I354+I358</f>
        <v>38852612</v>
      </c>
      <c r="J353" s="335">
        <v>31929313</v>
      </c>
      <c r="K353" s="266">
        <f t="shared" si="240"/>
        <v>0</v>
      </c>
      <c r="L353" s="266">
        <f t="shared" ref="L353" si="242">L365+L354+L358</f>
        <v>31929313</v>
      </c>
    </row>
    <row r="354" spans="1:12" ht="47.25" x14ac:dyDescent="0.2">
      <c r="A354" s="107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IF(B354&gt;0,VLOOKUP(B354,КВСР!A125:B1290,2),IF(C354&gt;0,VLOOKUP(C354,КФСР!A125:B1637,2),IF(D354&gt;0,VLOOKUP(D354,Программа!A$1:B$5124,2),IF(F354&gt;0,VLOOKUP(F354,КВР!A$1:B$5001,2),IF(E354&gt;0,VLOOKUP(E354,Направление!A$1:B$4816,2))))))</f>
        <v>Обеспечение качества и доступности образовательных услуг в сфере дополнительного образования</v>
      </c>
      <c r="B354" s="110"/>
      <c r="C354" s="111"/>
      <c r="D354" s="113" t="s">
        <v>431</v>
      </c>
      <c r="E354" s="111"/>
      <c r="F354" s="112"/>
      <c r="G354" s="335">
        <v>0</v>
      </c>
      <c r="H354" s="335">
        <f t="shared" ref="H354:I354" si="243">H355</f>
        <v>0</v>
      </c>
      <c r="I354" s="335">
        <f t="shared" si="243"/>
        <v>0</v>
      </c>
      <c r="J354" s="335">
        <v>0</v>
      </c>
      <c r="K354" s="266">
        <f t="shared" ref="K354:L354" si="244">K355</f>
        <v>0</v>
      </c>
      <c r="L354" s="266">
        <f t="shared" si="244"/>
        <v>0</v>
      </c>
    </row>
    <row r="355" spans="1:12" ht="15.75" x14ac:dyDescent="0.2">
      <c r="A355" s="107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IF(B355&gt;0,VLOOKUP(B355,КВСР!A126:B1291,2),IF(C355&gt;0,VLOOKUP(C355,КФСР!A126:B1638,2),IF(D355&gt;0,VLOOKUP(D355,Программа!A$1:B$5124,2),IF(F355&gt;0,VLOOKUP(F355,КВР!A$1:B$5001,2),IF(E355&gt;0,VLOOKUP(E355,Направление!A$1:B$4816,2))))))</f>
        <v>Мероприятия в сфере образования</v>
      </c>
      <c r="B355" s="110"/>
      <c r="C355" s="111"/>
      <c r="D355" s="113"/>
      <c r="E355" s="111">
        <v>13320</v>
      </c>
      <c r="F355" s="112"/>
      <c r="G355" s="335">
        <v>0</v>
      </c>
      <c r="H355" s="335">
        <f t="shared" ref="H355:I355" si="245">H356+H357</f>
        <v>0</v>
      </c>
      <c r="I355" s="335">
        <f t="shared" si="245"/>
        <v>0</v>
      </c>
      <c r="J355" s="335">
        <v>0</v>
      </c>
      <c r="K355" s="266">
        <f t="shared" ref="K355:L355" si="246">K356+K357</f>
        <v>0</v>
      </c>
      <c r="L355" s="266">
        <f t="shared" si="246"/>
        <v>0</v>
      </c>
    </row>
    <row r="356" spans="1:12" ht="110.25" x14ac:dyDescent="0.2">
      <c r="A356" s="107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0"/>
      <c r="C356" s="111"/>
      <c r="D356" s="113"/>
      <c r="E356" s="111"/>
      <c r="F356" s="112">
        <v>100</v>
      </c>
      <c r="G356" s="335">
        <v>0</v>
      </c>
      <c r="H356" s="335"/>
      <c r="I356" s="335">
        <f t="shared" si="213"/>
        <v>0</v>
      </c>
      <c r="J356" s="335">
        <v>0</v>
      </c>
      <c r="K356" s="266"/>
      <c r="L356" s="266">
        <f t="shared" si="212"/>
        <v>0</v>
      </c>
    </row>
    <row r="357" spans="1:12" ht="47.25" x14ac:dyDescent="0.2">
      <c r="A357" s="107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IF(B357&gt;0,VLOOKUP(B357,КВСР!A128:B1293,2),IF(C357&gt;0,VLOOKUP(C357,КФСР!A128:B1640,2),IF(D357&gt;0,VLOOKUP(D357,Программа!A$1:B$5124,2),IF(F357&gt;0,VLOOKUP(F357,КВР!A$1:B$5001,2),IF(E357&gt;0,VLOOKUP(E357,Направление!A$1:B$4816,2))))))</f>
        <v>Предоставление субсидий бюджетным, автономным учреждениям и иным некоммерческим организациям</v>
      </c>
      <c r="B357" s="110"/>
      <c r="C357" s="111"/>
      <c r="D357" s="113"/>
      <c r="E357" s="111"/>
      <c r="F357" s="112">
        <v>600</v>
      </c>
      <c r="G357" s="335">
        <v>0</v>
      </c>
      <c r="H357" s="335"/>
      <c r="I357" s="335">
        <f t="shared" si="213"/>
        <v>0</v>
      </c>
      <c r="J357" s="335">
        <v>0</v>
      </c>
      <c r="K357" s="266"/>
      <c r="L357" s="266">
        <f t="shared" si="212"/>
        <v>0</v>
      </c>
    </row>
    <row r="358" spans="1:12" ht="78.75" x14ac:dyDescent="0.2">
      <c r="A358" s="107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10"/>
      <c r="C358" s="111"/>
      <c r="D358" s="113" t="s">
        <v>388</v>
      </c>
      <c r="E358" s="111"/>
      <c r="F358" s="112"/>
      <c r="G358" s="335">
        <v>7084600</v>
      </c>
      <c r="H358" s="335">
        <f>H359+H361+H363</f>
        <v>0</v>
      </c>
      <c r="I358" s="335">
        <f t="shared" ref="I358:L358" si="247">I359+I361+I363</f>
        <v>7084600</v>
      </c>
      <c r="J358" s="335">
        <v>3584600</v>
      </c>
      <c r="K358" s="335">
        <f t="shared" si="247"/>
        <v>0</v>
      </c>
      <c r="L358" s="335">
        <f t="shared" si="247"/>
        <v>3584600</v>
      </c>
    </row>
    <row r="359" spans="1:12" ht="31.5" x14ac:dyDescent="0.2">
      <c r="A359" s="107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IF(B359&gt;0,VLOOKUP(B359,КВСР!A130:B1295,2),IF(C359&gt;0,VLOOKUP(C359,КФСР!A130:B1642,2),IF(D359&gt;0,VLOOKUP(D359,Программа!A$1:B$5124,2),IF(F359&gt;0,VLOOKUP(F359,КВР!A$1:B$5001,2),IF(E359&gt;0,VLOOKUP(E359,Направление!A$1:B$4816,2))))))</f>
        <v>Обеспечение деятельности прочих учреждений в сфере образования</v>
      </c>
      <c r="B359" s="110"/>
      <c r="C359" s="111"/>
      <c r="D359" s="113"/>
      <c r="E359" s="111">
        <v>13310</v>
      </c>
      <c r="F359" s="112"/>
      <c r="G359" s="335">
        <v>6820225</v>
      </c>
      <c r="H359" s="335">
        <f t="shared" ref="H359:L359" si="248">H360</f>
        <v>0</v>
      </c>
      <c r="I359" s="335">
        <f t="shared" si="248"/>
        <v>6820225</v>
      </c>
      <c r="J359" s="335">
        <v>3320225</v>
      </c>
      <c r="K359" s="266">
        <f t="shared" si="248"/>
        <v>0</v>
      </c>
      <c r="L359" s="266">
        <f t="shared" si="248"/>
        <v>3320225</v>
      </c>
    </row>
    <row r="360" spans="1:12" ht="47.25" x14ac:dyDescent="0.2">
      <c r="A360" s="107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IF(B360&gt;0,VLOOKUP(B360,КВСР!A131:B1296,2),IF(C360&gt;0,VLOOKUP(C360,КФСР!A131:B1643,2),IF(D360&gt;0,VLOOKUP(D360,Программа!A$1:B$5124,2),IF(F360&gt;0,VLOOKUP(F360,КВР!A$1:B$5001,2),IF(E360&gt;0,VLOOKUP(E360,Направление!A$1:B$4816,2))))))</f>
        <v>Предоставление субсидий бюджетным, автономным учреждениям и иным некоммерческим организациям</v>
      </c>
      <c r="B360" s="110"/>
      <c r="C360" s="111"/>
      <c r="D360" s="113"/>
      <c r="E360" s="111"/>
      <c r="F360" s="112">
        <v>600</v>
      </c>
      <c r="G360" s="335">
        <v>6820225</v>
      </c>
      <c r="H360" s="335"/>
      <c r="I360" s="335">
        <f t="shared" si="213"/>
        <v>6820225</v>
      </c>
      <c r="J360" s="335">
        <v>3320225</v>
      </c>
      <c r="K360" s="266"/>
      <c r="L360" s="266">
        <f t="shared" si="212"/>
        <v>3320225</v>
      </c>
    </row>
    <row r="361" spans="1:12" ht="63" x14ac:dyDescent="0.2">
      <c r="A361" s="107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1" s="110"/>
      <c r="C361" s="111"/>
      <c r="D361" s="113"/>
      <c r="E361" s="111">
        <v>15890</v>
      </c>
      <c r="F361" s="112"/>
      <c r="G361" s="335">
        <v>179775</v>
      </c>
      <c r="H361" s="335">
        <f>H362</f>
        <v>0</v>
      </c>
      <c r="I361" s="335">
        <f t="shared" ref="I361:L361" si="249">I362</f>
        <v>179775</v>
      </c>
      <c r="J361" s="335">
        <v>179775</v>
      </c>
      <c r="K361" s="335">
        <f t="shared" si="249"/>
        <v>0</v>
      </c>
      <c r="L361" s="335">
        <f t="shared" si="249"/>
        <v>179775</v>
      </c>
    </row>
    <row r="362" spans="1:12" ht="47.25" x14ac:dyDescent="0.2">
      <c r="A362" s="107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IF(B362&gt;0,VLOOKUP(B362,КВСР!A133:B1298,2),IF(C362&gt;0,VLOOKUP(C362,КФСР!A133:B1645,2),IF(D362&gt;0,VLOOKUP(D362,Программа!A$1:B$5124,2),IF(F362&gt;0,VLOOKUP(F362,КВР!A$1:B$5001,2),IF(E362&gt;0,VLOOKUP(E362,Направление!A$1:B$4816,2))))))</f>
        <v>Предоставление субсидий бюджетным, автономным учреждениям и иным некоммерческим организациям</v>
      </c>
      <c r="B362" s="110"/>
      <c r="C362" s="111"/>
      <c r="D362" s="113"/>
      <c r="E362" s="111"/>
      <c r="F362" s="112">
        <v>600</v>
      </c>
      <c r="G362" s="335">
        <v>179775</v>
      </c>
      <c r="H362" s="335"/>
      <c r="I362" s="335">
        <f t="shared" si="213"/>
        <v>179775</v>
      </c>
      <c r="J362" s="335">
        <v>179775</v>
      </c>
      <c r="K362" s="266"/>
      <c r="L362" s="266">
        <f t="shared" si="212"/>
        <v>179775</v>
      </c>
    </row>
    <row r="363" spans="1:12" ht="63" x14ac:dyDescent="0.2">
      <c r="A363" s="107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3" s="110"/>
      <c r="C363" s="111"/>
      <c r="D363" s="113"/>
      <c r="E363" s="111">
        <v>75890</v>
      </c>
      <c r="F363" s="112"/>
      <c r="G363" s="335">
        <v>84600</v>
      </c>
      <c r="H363" s="335">
        <f>H364</f>
        <v>0</v>
      </c>
      <c r="I363" s="335">
        <f t="shared" ref="I363:L363" si="250">I364</f>
        <v>84600</v>
      </c>
      <c r="J363" s="335">
        <v>84600</v>
      </c>
      <c r="K363" s="335">
        <f t="shared" si="250"/>
        <v>0</v>
      </c>
      <c r="L363" s="335">
        <f t="shared" si="250"/>
        <v>84600</v>
      </c>
    </row>
    <row r="364" spans="1:12" ht="47.25" x14ac:dyDescent="0.2">
      <c r="A364" s="107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IF(B364&gt;0,VLOOKUP(B364,КВСР!A135:B1300,2),IF(C364&gt;0,VLOOKUP(C364,КФСР!A135:B1647,2),IF(D364&gt;0,VLOOKUP(D364,Программа!A$1:B$5124,2),IF(F364&gt;0,VLOOKUP(F364,КВР!A$1:B$5001,2),IF(E364&gt;0,VLOOKUP(E364,Направление!A$1:B$4816,2))))))</f>
        <v>Предоставление субсидий бюджетным, автономным учреждениям и иным некоммерческим организациям</v>
      </c>
      <c r="B364" s="110"/>
      <c r="C364" s="111"/>
      <c r="D364" s="113"/>
      <c r="E364" s="111"/>
      <c r="F364" s="112">
        <v>600</v>
      </c>
      <c r="G364" s="335">
        <v>84600</v>
      </c>
      <c r="H364" s="335"/>
      <c r="I364" s="335">
        <f t="shared" si="213"/>
        <v>84600</v>
      </c>
      <c r="J364" s="335">
        <v>84600</v>
      </c>
      <c r="K364" s="266"/>
      <c r="L364" s="266">
        <f t="shared" si="212"/>
        <v>84600</v>
      </c>
    </row>
    <row r="365" spans="1:12" ht="31.5" x14ac:dyDescent="0.2">
      <c r="A365" s="107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IF(B365&gt;0,VLOOKUP(B365,КВСР!A124:B1289,2),IF(C365&gt;0,VLOOKUP(C365,КФСР!A124:B1636,2),IF(D365&gt;0,VLOOKUP(D365,Программа!A$1:B$5124,2),IF(F365&gt;0,VLOOKUP(F365,КВР!A$1:B$5001,2),IF(E365&gt;0,VLOOKUP(E365,Направление!A$1:B$4816,2))))))</f>
        <v>Обеспечение эффективности управления системой образования</v>
      </c>
      <c r="B365" s="110"/>
      <c r="C365" s="111"/>
      <c r="D365" s="113" t="s">
        <v>1057</v>
      </c>
      <c r="E365" s="111"/>
      <c r="F365" s="112"/>
      <c r="G365" s="335">
        <v>31768012</v>
      </c>
      <c r="H365" s="335">
        <f t="shared" ref="H365:L365" si="251">H366+H370+H374</f>
        <v>0</v>
      </c>
      <c r="I365" s="335">
        <f t="shared" si="251"/>
        <v>31768012</v>
      </c>
      <c r="J365" s="335">
        <v>28344713</v>
      </c>
      <c r="K365" s="266">
        <f t="shared" si="251"/>
        <v>0</v>
      </c>
      <c r="L365" s="266">
        <f t="shared" si="251"/>
        <v>28344713</v>
      </c>
    </row>
    <row r="366" spans="1:12" ht="15.75" x14ac:dyDescent="0.2">
      <c r="A366" s="107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IF(B366&gt;0,VLOOKUP(B366,КВСР!A125:B1290,2),IF(C366&gt;0,VLOOKUP(C366,КФСР!A125:B1637,2),IF(D366&gt;0,VLOOKUP(D366,Программа!A$1:B$5124,2),IF(F366&gt;0,VLOOKUP(F366,КВР!A$1:B$5001,2),IF(E366&gt;0,VLOOKUP(E366,Направление!A$1:B$4816,2))))))</f>
        <v>Содержание центрального аппарата</v>
      </c>
      <c r="B366" s="110"/>
      <c r="C366" s="111"/>
      <c r="D366" s="113"/>
      <c r="E366" s="111">
        <v>12010</v>
      </c>
      <c r="F366" s="106"/>
      <c r="G366" s="335">
        <v>6366839</v>
      </c>
      <c r="H366" s="335">
        <f t="shared" ref="H366:L366" si="252">H367+H368+H369</f>
        <v>0</v>
      </c>
      <c r="I366" s="335">
        <f t="shared" si="252"/>
        <v>6366839</v>
      </c>
      <c r="J366" s="335">
        <v>6366839</v>
      </c>
      <c r="K366" s="266">
        <f t="shared" si="252"/>
        <v>0</v>
      </c>
      <c r="L366" s="266">
        <f t="shared" si="252"/>
        <v>6366839</v>
      </c>
    </row>
    <row r="367" spans="1:12" ht="110.25" x14ac:dyDescent="0.2">
      <c r="A367" s="107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0"/>
      <c r="C367" s="111"/>
      <c r="D367" s="113"/>
      <c r="E367" s="111"/>
      <c r="F367" s="106">
        <v>100</v>
      </c>
      <c r="G367" s="335">
        <v>5468615</v>
      </c>
      <c r="H367" s="335"/>
      <c r="I367" s="335">
        <f t="shared" si="213"/>
        <v>5468615</v>
      </c>
      <c r="J367" s="335">
        <v>5468615</v>
      </c>
      <c r="K367" s="266"/>
      <c r="L367" s="266">
        <f t="shared" si="212"/>
        <v>5468615</v>
      </c>
    </row>
    <row r="368" spans="1:12" ht="63" x14ac:dyDescent="0.2">
      <c r="A368" s="107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110"/>
      <c r="C368" s="111"/>
      <c r="D368" s="113"/>
      <c r="E368" s="111"/>
      <c r="F368" s="106">
        <v>200</v>
      </c>
      <c r="G368" s="335">
        <v>878224</v>
      </c>
      <c r="H368" s="335"/>
      <c r="I368" s="335">
        <f t="shared" si="213"/>
        <v>878224</v>
      </c>
      <c r="J368" s="335">
        <v>878224</v>
      </c>
      <c r="K368" s="266"/>
      <c r="L368" s="266">
        <f t="shared" si="212"/>
        <v>878224</v>
      </c>
    </row>
    <row r="369" spans="1:12" ht="15.75" x14ac:dyDescent="0.2">
      <c r="A369" s="107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IF(B369&gt;0,VLOOKUP(B369,КВСР!A128:B1293,2),IF(C369&gt;0,VLOOKUP(C369,КФСР!A128:B1640,2),IF(D369&gt;0,VLOOKUP(D369,Программа!A$1:B$5124,2),IF(F369&gt;0,VLOOKUP(F369,КВР!A$1:B$5001,2),IF(E369&gt;0,VLOOKUP(E369,Направление!A$1:B$4816,2))))))</f>
        <v>Иные бюджетные ассигнования</v>
      </c>
      <c r="B369" s="110"/>
      <c r="C369" s="111"/>
      <c r="D369" s="113"/>
      <c r="E369" s="111"/>
      <c r="F369" s="106">
        <v>800</v>
      </c>
      <c r="G369" s="335">
        <v>20000</v>
      </c>
      <c r="H369" s="335"/>
      <c r="I369" s="335">
        <f t="shared" si="213"/>
        <v>20000</v>
      </c>
      <c r="J369" s="335">
        <v>20000</v>
      </c>
      <c r="K369" s="266"/>
      <c r="L369" s="266">
        <f t="shared" si="212"/>
        <v>20000</v>
      </c>
    </row>
    <row r="370" spans="1:12" ht="31.5" x14ac:dyDescent="0.2">
      <c r="A370" s="107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IF(B370&gt;0,VLOOKUP(B370,КВСР!A135:B1300,2),IF(C370&gt;0,VLOOKUP(C370,КФСР!A135:B1647,2),IF(D370&gt;0,VLOOKUP(D370,Программа!A$1:B$5124,2),IF(F370&gt;0,VLOOKUP(F370,КВР!A$1:B$5001,2),IF(E370&gt;0,VLOOKUP(E370,Направление!A$1:B$4816,2))))))</f>
        <v>Обеспечение деятельности прочих учреждений в сфере образования</v>
      </c>
      <c r="B370" s="110"/>
      <c r="C370" s="111"/>
      <c r="D370" s="113"/>
      <c r="E370" s="111">
        <v>13310</v>
      </c>
      <c r="F370" s="106"/>
      <c r="G370" s="335">
        <v>21085515</v>
      </c>
      <c r="H370" s="335">
        <f t="shared" ref="H370:L370" si="253">H371+H372+H373</f>
        <v>0</v>
      </c>
      <c r="I370" s="335">
        <f t="shared" si="253"/>
        <v>21085515</v>
      </c>
      <c r="J370" s="335">
        <v>17662216</v>
      </c>
      <c r="K370" s="266">
        <f t="shared" si="253"/>
        <v>0</v>
      </c>
      <c r="L370" s="266">
        <f t="shared" si="253"/>
        <v>17662216</v>
      </c>
    </row>
    <row r="371" spans="1:12" ht="110.25" x14ac:dyDescent="0.2">
      <c r="A371" s="107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10"/>
      <c r="C371" s="111"/>
      <c r="D371" s="113"/>
      <c r="E371" s="111"/>
      <c r="F371" s="106">
        <v>100</v>
      </c>
      <c r="G371" s="335">
        <v>19581209</v>
      </c>
      <c r="H371" s="335"/>
      <c r="I371" s="335">
        <f t="shared" si="213"/>
        <v>19581209</v>
      </c>
      <c r="J371" s="335">
        <v>16157910</v>
      </c>
      <c r="K371" s="266"/>
      <c r="L371" s="266">
        <f t="shared" si="212"/>
        <v>16157910</v>
      </c>
    </row>
    <row r="372" spans="1:12" ht="63" x14ac:dyDescent="0.2">
      <c r="A372" s="107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IF(B372&gt;0,VLOOKUP(B372,КВСР!A137:B1302,2),IF(C372&gt;0,VLOOKUP(C372,КФСР!A137:B1649,2),IF(D372&gt;0,VLOOKUP(D372,Программа!A$1:B$5124,2),IF(F372&gt;0,VLOOKUP(F372,КВР!A$1:B$5001,2),IF(E372&gt;0,VLOOKUP(E372,Направление!A$1:B$4816,2))))))</f>
        <v xml:space="preserve">Закупка товаров, работ и услуг для обеспечения государственных (муниципальных) нужд
</v>
      </c>
      <c r="B372" s="110"/>
      <c r="C372" s="111"/>
      <c r="D372" s="113"/>
      <c r="E372" s="111"/>
      <c r="F372" s="106">
        <v>200</v>
      </c>
      <c r="G372" s="335">
        <v>1478242</v>
      </c>
      <c r="H372" s="335"/>
      <c r="I372" s="335">
        <f t="shared" si="213"/>
        <v>1478242</v>
      </c>
      <c r="J372" s="335">
        <v>1478242</v>
      </c>
      <c r="K372" s="266"/>
      <c r="L372" s="266">
        <f t="shared" si="212"/>
        <v>1478242</v>
      </c>
    </row>
    <row r="373" spans="1:12" ht="15.75" x14ac:dyDescent="0.2">
      <c r="A373" s="107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IF(B373&gt;0,VLOOKUP(B373,КВСР!A138:B1303,2),IF(C373&gt;0,VLOOKUP(C373,КФСР!A138:B1650,2),IF(D373&gt;0,VLOOKUP(D373,Программа!A$1:B$5124,2),IF(F373&gt;0,VLOOKUP(F373,КВР!A$1:B$5001,2),IF(E373&gt;0,VLOOKUP(E373,Направление!A$1:B$4816,2))))))</f>
        <v>Иные бюджетные ассигнования</v>
      </c>
      <c r="B373" s="110"/>
      <c r="C373" s="111"/>
      <c r="D373" s="113"/>
      <c r="E373" s="111"/>
      <c r="F373" s="106">
        <v>800</v>
      </c>
      <c r="G373" s="335">
        <v>26064</v>
      </c>
      <c r="H373" s="335"/>
      <c r="I373" s="335">
        <f t="shared" si="213"/>
        <v>26064</v>
      </c>
      <c r="J373" s="335">
        <v>26064</v>
      </c>
      <c r="K373" s="266"/>
      <c r="L373" s="266">
        <f t="shared" si="212"/>
        <v>26064</v>
      </c>
    </row>
    <row r="374" spans="1:12" ht="47.25" x14ac:dyDescent="0.2">
      <c r="A374" s="107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IF(B374&gt;0,VLOOKUP(B374,КВСР!A130:B1295,2),IF(C374&gt;0,VLOOKUP(C374,КФСР!A130:B1642,2),IF(D374&gt;0,VLOOKUP(D374,Программа!A$1:B$5124,2),IF(F374&gt;0,VLOOKUP(F374,КВР!A$1:B$5001,2),IF(E374&gt;0,VLOOKUP(E374,Направление!A$1:B$4816,2))))))</f>
        <v>Расходы на обеспечение деятельности органов опеки и попечительства за счет средств областного бюджета</v>
      </c>
      <c r="B374" s="110"/>
      <c r="C374" s="111"/>
      <c r="D374" s="113"/>
      <c r="E374" s="111">
        <v>70550</v>
      </c>
      <c r="F374" s="112"/>
      <c r="G374" s="335">
        <v>4315658</v>
      </c>
      <c r="H374" s="335">
        <f t="shared" ref="H374:I374" si="254">H375+H376+H377</f>
        <v>0</v>
      </c>
      <c r="I374" s="335">
        <f t="shared" si="254"/>
        <v>4315658</v>
      </c>
      <c r="J374" s="335">
        <v>4315658</v>
      </c>
      <c r="K374" s="266">
        <f t="shared" ref="K374:L374" si="255">K375+K376+K377</f>
        <v>0</v>
      </c>
      <c r="L374" s="266">
        <f t="shared" si="255"/>
        <v>4315658</v>
      </c>
    </row>
    <row r="375" spans="1:12" ht="110.25" x14ac:dyDescent="0.2">
      <c r="A375" s="107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10"/>
      <c r="C375" s="111"/>
      <c r="D375" s="113"/>
      <c r="E375" s="111"/>
      <c r="F375" s="112">
        <v>100</v>
      </c>
      <c r="G375" s="335">
        <v>3422851</v>
      </c>
      <c r="H375" s="335"/>
      <c r="I375" s="335">
        <f t="shared" si="213"/>
        <v>3422851</v>
      </c>
      <c r="J375" s="335">
        <v>3422851</v>
      </c>
      <c r="K375" s="266"/>
      <c r="L375" s="266">
        <f t="shared" si="212"/>
        <v>3422851</v>
      </c>
    </row>
    <row r="376" spans="1:12" ht="63" x14ac:dyDescent="0.2">
      <c r="A376" s="107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IF(B376&gt;0,VLOOKUP(B376,КВСР!A132:B1297,2),IF(C376&gt;0,VLOOKUP(C376,КФСР!A132:B1644,2),IF(D376&gt;0,VLOOKUP(D376,Программа!A$1:B$5124,2),IF(F376&gt;0,VLOOKUP(F376,КВР!A$1:B$5001,2),IF(E376&gt;0,VLOOKUP(E376,Направление!A$1:B$4816,2))))))</f>
        <v xml:space="preserve">Закупка товаров, работ и услуг для обеспечения государственных (муниципальных) нужд
</v>
      </c>
      <c r="B376" s="108"/>
      <c r="C376" s="111"/>
      <c r="D376" s="113"/>
      <c r="E376" s="111"/>
      <c r="F376" s="112">
        <v>200</v>
      </c>
      <c r="G376" s="335">
        <v>889507</v>
      </c>
      <c r="H376" s="335"/>
      <c r="I376" s="335">
        <f t="shared" si="213"/>
        <v>889507</v>
      </c>
      <c r="J376" s="335">
        <v>889507</v>
      </c>
      <c r="K376" s="266"/>
      <c r="L376" s="266">
        <f t="shared" si="212"/>
        <v>889507</v>
      </c>
    </row>
    <row r="377" spans="1:12" ht="15.75" x14ac:dyDescent="0.2">
      <c r="A377" s="107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IF(B377&gt;0,VLOOKUP(B377,КВСР!A133:B1298,2),IF(C377&gt;0,VLOOKUP(C377,КФСР!A133:B1645,2),IF(D377&gt;0,VLOOKUP(D377,Программа!A$1:B$5124,2),IF(F377&gt;0,VLOOKUP(F377,КВР!A$1:B$5001,2),IF(E377&gt;0,VLOOKUP(E377,Направление!A$1:B$4816,2))))))</f>
        <v>Иные бюджетные ассигнования</v>
      </c>
      <c r="B377" s="108"/>
      <c r="C377" s="111"/>
      <c r="D377" s="113"/>
      <c r="E377" s="111"/>
      <c r="F377" s="112">
        <v>800</v>
      </c>
      <c r="G377" s="335">
        <v>3300</v>
      </c>
      <c r="H377" s="335"/>
      <c r="I377" s="335">
        <f t="shared" si="213"/>
        <v>3300</v>
      </c>
      <c r="J377" s="335">
        <v>3300</v>
      </c>
      <c r="K377" s="266"/>
      <c r="L377" s="266">
        <f t="shared" si="212"/>
        <v>3300</v>
      </c>
    </row>
    <row r="378" spans="1:12" ht="63" x14ac:dyDescent="0.2">
      <c r="A378" s="107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08"/>
      <c r="C378" s="111"/>
      <c r="D378" s="113" t="s">
        <v>418</v>
      </c>
      <c r="E378" s="111"/>
      <c r="F378" s="112"/>
      <c r="G378" s="335">
        <v>5000</v>
      </c>
      <c r="H378" s="335">
        <f>H379</f>
        <v>0</v>
      </c>
      <c r="I378" s="335">
        <f t="shared" ref="I378:L380" si="256">I379</f>
        <v>5000</v>
      </c>
      <c r="J378" s="335">
        <v>5000</v>
      </c>
      <c r="K378" s="335">
        <f t="shared" si="256"/>
        <v>0</v>
      </c>
      <c r="L378" s="335">
        <f t="shared" si="256"/>
        <v>5000</v>
      </c>
    </row>
    <row r="379" spans="1:12" ht="47.25" x14ac:dyDescent="0.2">
      <c r="A379" s="107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IF(B379&gt;0,VLOOKUP(B379,КВСР!A135:B1300,2),IF(C379&gt;0,VLOOKUP(C379,КФСР!A135:B1647,2),IF(D379&gt;0,VLOOKUP(D379,Программа!A$1:B$5124,2),IF(F379&gt;0,VLOOKUP(F379,КВР!A$1:B$5001,2),IF(E379&gt;0,VLOOKUP(E379,Направление!A$1:B$4816,2))))))</f>
        <v>Реализация мер по созданию целостной системы духовно-нравственного воспитания и просвещения населения</v>
      </c>
      <c r="B379" s="108"/>
      <c r="C379" s="111"/>
      <c r="D379" s="113" t="s">
        <v>420</v>
      </c>
      <c r="E379" s="111"/>
      <c r="F379" s="112"/>
      <c r="G379" s="335">
        <v>5000</v>
      </c>
      <c r="H379" s="335">
        <f>H380</f>
        <v>0</v>
      </c>
      <c r="I379" s="335">
        <f t="shared" si="256"/>
        <v>5000</v>
      </c>
      <c r="J379" s="335">
        <v>5000</v>
      </c>
      <c r="K379" s="335">
        <f t="shared" si="256"/>
        <v>0</v>
      </c>
      <c r="L379" s="335">
        <f t="shared" si="256"/>
        <v>5000</v>
      </c>
    </row>
    <row r="380" spans="1:12" ht="47.25" x14ac:dyDescent="0.2">
      <c r="A380" s="107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IF(B380&gt;0,VLOOKUP(B380,КВСР!A136:B1301,2),IF(C380&gt;0,VLOOKUP(C380,КФСР!A136:B1648,2),IF(D380&gt;0,VLOOKUP(D380,Программа!A$1:B$5124,2),IF(F380&gt;0,VLOOKUP(F380,КВР!A$1:B$5001,2),IF(E380&gt;0,VLOOKUP(E380,Направление!A$1:B$4816,2))))))</f>
        <v>Расходы на реализацию МЦП "Духовно - нравственное воспитание и просвещение населения ТМР"</v>
      </c>
      <c r="B380" s="108"/>
      <c r="C380" s="111"/>
      <c r="D380" s="113"/>
      <c r="E380" s="111">
        <v>13810</v>
      </c>
      <c r="F380" s="112"/>
      <c r="G380" s="335">
        <v>5000</v>
      </c>
      <c r="H380" s="335">
        <f>H381</f>
        <v>0</v>
      </c>
      <c r="I380" s="335">
        <f t="shared" si="256"/>
        <v>5000</v>
      </c>
      <c r="J380" s="335">
        <v>5000</v>
      </c>
      <c r="K380" s="335">
        <f t="shared" si="256"/>
        <v>0</v>
      </c>
      <c r="L380" s="335">
        <f t="shared" si="256"/>
        <v>5000</v>
      </c>
    </row>
    <row r="381" spans="1:12" ht="47.25" x14ac:dyDescent="0.2">
      <c r="A381" s="107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IF(B381&gt;0,VLOOKUP(B381,КВСР!A137:B1302,2),IF(C381&gt;0,VLOOKUP(C381,КФСР!A137:B1649,2),IF(D381&gt;0,VLOOKUP(D381,Программа!A$1:B$5124,2),IF(F381&gt;0,VLOOKUP(F381,КВР!A$1:B$5001,2),IF(E381&gt;0,VLOOKUP(E381,Направление!A$1:B$4816,2))))))</f>
        <v>Предоставление субсидий бюджетным, автономным учреждениям и иным некоммерческим организациям</v>
      </c>
      <c r="B381" s="108"/>
      <c r="C381" s="111"/>
      <c r="D381" s="113"/>
      <c r="E381" s="111"/>
      <c r="F381" s="112">
        <v>600</v>
      </c>
      <c r="G381" s="335">
        <v>5000</v>
      </c>
      <c r="H381" s="335"/>
      <c r="I381" s="335">
        <f t="shared" si="213"/>
        <v>5000</v>
      </c>
      <c r="J381" s="335">
        <v>5000</v>
      </c>
      <c r="K381" s="266"/>
      <c r="L381" s="266">
        <f t="shared" si="212"/>
        <v>5000</v>
      </c>
    </row>
    <row r="382" spans="1:12" ht="15.75" x14ac:dyDescent="0.2">
      <c r="A382" s="107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IF(B382&gt;0,VLOOKUP(B382,КВСР!A134:B1299,2),IF(C382&gt;0,VLOOKUP(C382,КФСР!A134:B1646,2),IF(D382&gt;0,VLOOKUP(D382,Программа!A$1:B$5124,2),IF(F382&gt;0,VLOOKUP(F382,КВР!A$1:B$5001,2),IF(E382&gt;0,VLOOKUP(E382,Направление!A$1:B$4816,2))))))</f>
        <v>Социальное обеспечение населения</v>
      </c>
      <c r="B382" s="108"/>
      <c r="C382" s="111">
        <v>1003</v>
      </c>
      <c r="D382" s="113"/>
      <c r="E382" s="111"/>
      <c r="F382" s="112"/>
      <c r="G382" s="335">
        <v>149601</v>
      </c>
      <c r="H382" s="335">
        <f t="shared" ref="H382:L386" si="257">H383</f>
        <v>0</v>
      </c>
      <c r="I382" s="335">
        <f t="shared" si="257"/>
        <v>149601</v>
      </c>
      <c r="J382" s="335">
        <v>149601</v>
      </c>
      <c r="K382" s="266">
        <f t="shared" si="257"/>
        <v>0</v>
      </c>
      <c r="L382" s="266">
        <f t="shared" si="257"/>
        <v>149601</v>
      </c>
    </row>
    <row r="383" spans="1:12" ht="63" x14ac:dyDescent="0.2">
      <c r="A383" s="107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3" s="108"/>
      <c r="C383" s="111"/>
      <c r="D383" s="113" t="s">
        <v>367</v>
      </c>
      <c r="E383" s="111"/>
      <c r="F383" s="112"/>
      <c r="G383" s="335">
        <v>149601</v>
      </c>
      <c r="H383" s="335">
        <f t="shared" si="257"/>
        <v>0</v>
      </c>
      <c r="I383" s="335">
        <f t="shared" si="257"/>
        <v>149601</v>
      </c>
      <c r="J383" s="335">
        <v>149601</v>
      </c>
      <c r="K383" s="266">
        <f t="shared" si="257"/>
        <v>0</v>
      </c>
      <c r="L383" s="266">
        <f t="shared" si="257"/>
        <v>149601</v>
      </c>
    </row>
    <row r="384" spans="1:12" ht="63" x14ac:dyDescent="0.2">
      <c r="A384" s="107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08"/>
      <c r="C384" s="111"/>
      <c r="D384" s="113" t="s">
        <v>369</v>
      </c>
      <c r="E384" s="111"/>
      <c r="F384" s="112"/>
      <c r="G384" s="335">
        <v>149601</v>
      </c>
      <c r="H384" s="335">
        <f t="shared" si="257"/>
        <v>0</v>
      </c>
      <c r="I384" s="335">
        <f t="shared" si="257"/>
        <v>149601</v>
      </c>
      <c r="J384" s="335">
        <v>149601</v>
      </c>
      <c r="K384" s="266">
        <f t="shared" si="257"/>
        <v>0</v>
      </c>
      <c r="L384" s="266">
        <f t="shared" si="257"/>
        <v>149601</v>
      </c>
    </row>
    <row r="385" spans="1:12" ht="15.75" x14ac:dyDescent="0.2">
      <c r="A385" s="107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IF(B385&gt;0,VLOOKUP(B385,КВСР!A137:B1302,2),IF(C385&gt;0,VLOOKUP(C385,КФСР!A137:B1649,2),IF(D385&gt;0,VLOOKUP(D385,Программа!A$1:B$5124,2),IF(F385&gt;0,VLOOKUP(F385,КВР!A$1:B$5001,2),IF(E385&gt;0,VLOOKUP(E385,Направление!A$1:B$4816,2))))))</f>
        <v>Обеспечение компенсационных выплат</v>
      </c>
      <c r="B385" s="108"/>
      <c r="C385" s="111"/>
      <c r="D385" s="113" t="s">
        <v>1060</v>
      </c>
      <c r="E385" s="111"/>
      <c r="F385" s="112"/>
      <c r="G385" s="335">
        <v>149601</v>
      </c>
      <c r="H385" s="335">
        <f t="shared" si="257"/>
        <v>0</v>
      </c>
      <c r="I385" s="335">
        <f t="shared" si="257"/>
        <v>149601</v>
      </c>
      <c r="J385" s="335">
        <v>149601</v>
      </c>
      <c r="K385" s="266">
        <f t="shared" si="257"/>
        <v>0</v>
      </c>
      <c r="L385" s="266">
        <f t="shared" si="257"/>
        <v>149601</v>
      </c>
    </row>
    <row r="386" spans="1:12" ht="47.25" x14ac:dyDescent="0.2">
      <c r="A386" s="107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IF(B386&gt;0,VLOOKUP(B386,КВСР!A138:B1303,2),IF(C386&gt;0,VLOOKUP(C386,КФСР!A138:B1650,2),IF(D386&gt;0,VLOOKUP(D386,Программа!A$1:B$5124,2),IF(F386&gt;0,VLOOKUP(F386,КВР!A$1:B$5001,2),IF(E386&gt;0,VLOOKUP(E386,Направление!A$1:B$4816,2))))))</f>
        <v>Компенсация части расходов на приобретение путевки в организации отдыха детей и их оздоровления</v>
      </c>
      <c r="B386" s="108"/>
      <c r="C386" s="111"/>
      <c r="D386" s="113"/>
      <c r="E386" s="111">
        <v>74390</v>
      </c>
      <c r="F386" s="112"/>
      <c r="G386" s="335">
        <v>149601</v>
      </c>
      <c r="H386" s="335">
        <f t="shared" si="257"/>
        <v>0</v>
      </c>
      <c r="I386" s="335">
        <f t="shared" si="257"/>
        <v>149601</v>
      </c>
      <c r="J386" s="335">
        <v>149601</v>
      </c>
      <c r="K386" s="266">
        <f t="shared" si="257"/>
        <v>0</v>
      </c>
      <c r="L386" s="266">
        <f t="shared" si="257"/>
        <v>149601</v>
      </c>
    </row>
    <row r="387" spans="1:12" ht="31.5" x14ac:dyDescent="0.2">
      <c r="A387" s="107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IF(B387&gt;0,VLOOKUP(B387,КВСР!A139:B1304,2),IF(C387&gt;0,VLOOKUP(C387,КФСР!A139:B1651,2),IF(D387&gt;0,VLOOKUP(D387,Программа!A$1:B$5124,2),IF(F387&gt;0,VLOOKUP(F387,КВР!A$1:B$5001,2),IF(E387&gt;0,VLOOKUP(E387,Направление!A$1:B$4816,2))))))</f>
        <v>Социальное обеспечение и иные выплаты населению</v>
      </c>
      <c r="B387" s="108"/>
      <c r="C387" s="111"/>
      <c r="D387" s="113"/>
      <c r="E387" s="111"/>
      <c r="F387" s="112">
        <v>300</v>
      </c>
      <c r="G387" s="335">
        <v>149601</v>
      </c>
      <c r="H387" s="335"/>
      <c r="I387" s="335">
        <f>G387+H387</f>
        <v>149601</v>
      </c>
      <c r="J387" s="335">
        <v>149601</v>
      </c>
      <c r="K387" s="266"/>
      <c r="L387" s="266">
        <f>J387+K387</f>
        <v>149601</v>
      </c>
    </row>
    <row r="388" spans="1:12" ht="15.75" x14ac:dyDescent="0.2">
      <c r="A388" s="107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IF(B388&gt;0,VLOOKUP(B388,КВСР!A134:B1299,2),IF(C388&gt;0,VLOOKUP(C388,КФСР!A134:B1646,2),IF(D388&gt;0,VLOOKUP(D388,Программа!A$1:B$5124,2),IF(F388&gt;0,VLOOKUP(F388,КВР!A$1:B$5001,2),IF(E388&gt;0,VLOOKUP(E388,Направление!A$1:B$4816,2))))))</f>
        <v>Охрана семьи и детства</v>
      </c>
      <c r="B388" s="110"/>
      <c r="C388" s="104">
        <v>1004</v>
      </c>
      <c r="D388" s="114"/>
      <c r="E388" s="115"/>
      <c r="F388" s="112"/>
      <c r="G388" s="335">
        <v>40041461</v>
      </c>
      <c r="H388" s="335">
        <f t="shared" ref="H388:L389" si="258">H389</f>
        <v>0</v>
      </c>
      <c r="I388" s="335">
        <f t="shared" si="258"/>
        <v>40041461</v>
      </c>
      <c r="J388" s="335">
        <v>40041461</v>
      </c>
      <c r="K388" s="266">
        <f t="shared" ref="K388:L388" si="259">K389</f>
        <v>0</v>
      </c>
      <c r="L388" s="266">
        <f t="shared" si="259"/>
        <v>40041461</v>
      </c>
    </row>
    <row r="389" spans="1:12" ht="63" x14ac:dyDescent="0.2">
      <c r="A389" s="107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9" s="108"/>
      <c r="C389" s="104"/>
      <c r="D389" s="116" t="s">
        <v>367</v>
      </c>
      <c r="E389" s="117"/>
      <c r="F389" s="112"/>
      <c r="G389" s="335">
        <v>40041461</v>
      </c>
      <c r="H389" s="335">
        <f t="shared" si="258"/>
        <v>0</v>
      </c>
      <c r="I389" s="335">
        <f t="shared" si="258"/>
        <v>40041461</v>
      </c>
      <c r="J389" s="335">
        <v>40041461</v>
      </c>
      <c r="K389" s="335">
        <f t="shared" si="258"/>
        <v>0</v>
      </c>
      <c r="L389" s="335">
        <f t="shared" si="258"/>
        <v>40041461</v>
      </c>
    </row>
    <row r="390" spans="1:12" ht="63" x14ac:dyDescent="0.2">
      <c r="A390" s="107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08"/>
      <c r="C390" s="104"/>
      <c r="D390" s="116" t="s">
        <v>369</v>
      </c>
      <c r="E390" s="117"/>
      <c r="F390" s="112"/>
      <c r="G390" s="335">
        <v>40041461</v>
      </c>
      <c r="H390" s="335">
        <f t="shared" ref="H390:I390" si="260">H394+H407+H391</f>
        <v>0</v>
      </c>
      <c r="I390" s="335">
        <f t="shared" si="260"/>
        <v>40041461</v>
      </c>
      <c r="J390" s="335">
        <v>40041461</v>
      </c>
      <c r="K390" s="335">
        <f t="shared" ref="K390" si="261">K394+K407+K391</f>
        <v>0</v>
      </c>
      <c r="L390" s="335">
        <f t="shared" ref="L390" si="262">L394+L407+L391</f>
        <v>40041461</v>
      </c>
    </row>
    <row r="391" spans="1:12" ht="47.25" x14ac:dyDescent="0.2">
      <c r="A391" s="107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IF(B391&gt;0,VLOOKUP(B391,КВСР!A154:B1319,2),IF(C391&gt;0,VLOOKUP(C391,КФСР!A154:B1666,2),IF(D391&gt;0,VLOOKUP(D391,Программа!A$1:B$5124,2),IF(F391&gt;0,VLOOKUP(F391,КВР!A$1:B$5001,2),IF(E391&gt;0,VLOOKUP(E391,Направление!A$1:B$4816,2))))))</f>
        <v>Обеспечение качества и доступности образовательных услуг в сфере дошкольного образования</v>
      </c>
      <c r="B391" s="108"/>
      <c r="C391" s="104"/>
      <c r="D391" s="105" t="s">
        <v>370</v>
      </c>
      <c r="E391" s="117"/>
      <c r="F391" s="112"/>
      <c r="G391" s="335">
        <v>0</v>
      </c>
      <c r="H391" s="335">
        <f t="shared" ref="H391:L392" si="263">H392</f>
        <v>0</v>
      </c>
      <c r="I391" s="335">
        <f t="shared" si="263"/>
        <v>0</v>
      </c>
      <c r="J391" s="335">
        <v>0</v>
      </c>
      <c r="K391" s="335">
        <f t="shared" si="263"/>
        <v>0</v>
      </c>
      <c r="L391" s="335">
        <f t="shared" si="263"/>
        <v>0</v>
      </c>
    </row>
    <row r="392" spans="1:12" ht="63" x14ac:dyDescent="0.2">
      <c r="A392" s="107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08"/>
      <c r="C392" s="104"/>
      <c r="D392" s="116"/>
      <c r="E392" s="117">
        <v>73110</v>
      </c>
      <c r="F392" s="112"/>
      <c r="G392" s="335">
        <v>0</v>
      </c>
      <c r="H392" s="335">
        <f t="shared" si="263"/>
        <v>0</v>
      </c>
      <c r="I392" s="335">
        <f t="shared" si="263"/>
        <v>0</v>
      </c>
      <c r="J392" s="335">
        <v>0</v>
      </c>
      <c r="K392" s="335">
        <f t="shared" si="263"/>
        <v>0</v>
      </c>
      <c r="L392" s="335">
        <f t="shared" si="263"/>
        <v>0</v>
      </c>
    </row>
    <row r="393" spans="1:12" ht="110.25" x14ac:dyDescent="0.2">
      <c r="A393" s="107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08"/>
      <c r="C393" s="104"/>
      <c r="D393" s="116"/>
      <c r="E393" s="117"/>
      <c r="F393" s="112">
        <v>100</v>
      </c>
      <c r="G393" s="335">
        <v>0</v>
      </c>
      <c r="H393" s="335"/>
      <c r="I393" s="335">
        <f>G393+H393</f>
        <v>0</v>
      </c>
      <c r="J393" s="335">
        <v>0</v>
      </c>
      <c r="K393" s="266"/>
      <c r="L393" s="266">
        <f>J393+K393</f>
        <v>0</v>
      </c>
    </row>
    <row r="394" spans="1:12" ht="63" x14ac:dyDescent="0.2">
      <c r="A394" s="107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394" s="108"/>
      <c r="C394" s="104"/>
      <c r="D394" s="105" t="s">
        <v>416</v>
      </c>
      <c r="E394" s="117"/>
      <c r="F394" s="112"/>
      <c r="G394" s="335">
        <v>30835562</v>
      </c>
      <c r="H394" s="335">
        <f t="shared" ref="H394:K394" si="264">H395+H397+H399+H402</f>
        <v>0</v>
      </c>
      <c r="I394" s="335">
        <f t="shared" ref="I394" si="265">I395+I397+I399+I402</f>
        <v>30835562</v>
      </c>
      <c r="J394" s="335">
        <v>30835562</v>
      </c>
      <c r="K394" s="335">
        <f t="shared" si="264"/>
        <v>0</v>
      </c>
      <c r="L394" s="335">
        <f t="shared" ref="L394" si="266">L395+L397+L399+L402</f>
        <v>30835562</v>
      </c>
    </row>
    <row r="395" spans="1:12" ht="78.75" x14ac:dyDescent="0.2">
      <c r="A395" s="107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08"/>
      <c r="C395" s="104"/>
      <c r="D395" s="116"/>
      <c r="E395" s="117">
        <v>52600</v>
      </c>
      <c r="F395" s="112"/>
      <c r="G395" s="335">
        <v>0</v>
      </c>
      <c r="H395" s="335">
        <f t="shared" ref="H395:I395" si="267">H396</f>
        <v>0</v>
      </c>
      <c r="I395" s="335">
        <f t="shared" si="267"/>
        <v>0</v>
      </c>
      <c r="J395" s="335">
        <v>0</v>
      </c>
      <c r="K395" s="266">
        <f t="shared" ref="K395:L395" si="268">K396</f>
        <v>0</v>
      </c>
      <c r="L395" s="266">
        <f t="shared" si="268"/>
        <v>0</v>
      </c>
    </row>
    <row r="396" spans="1:12" ht="31.5" x14ac:dyDescent="0.2">
      <c r="A396" s="107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IF(B396&gt;0,VLOOKUP(B396,КВСР!A158:B1323,2),IF(C396&gt;0,VLOOKUP(C396,КФСР!A158:B1670,2),IF(D396&gt;0,VLOOKUP(D396,Программа!A$1:B$5124,2),IF(F396&gt;0,VLOOKUP(F396,КВР!A$1:B$5001,2),IF(E396&gt;0,VLOOKUP(E396,Направление!A$1:B$4816,2))))))</f>
        <v>Социальное обеспечение и иные выплаты населению</v>
      </c>
      <c r="B396" s="108"/>
      <c r="C396" s="104"/>
      <c r="D396" s="116"/>
      <c r="E396" s="117"/>
      <c r="F396" s="112">
        <v>300</v>
      </c>
      <c r="G396" s="335">
        <v>0</v>
      </c>
      <c r="H396" s="335"/>
      <c r="I396" s="335">
        <f t="shared" si="213"/>
        <v>0</v>
      </c>
      <c r="J396" s="335">
        <v>0</v>
      </c>
      <c r="K396" s="266"/>
      <c r="L396" s="266">
        <f t="shared" si="212"/>
        <v>0</v>
      </c>
    </row>
    <row r="397" spans="1:12" ht="94.5" x14ac:dyDescent="0.2">
      <c r="A397" s="107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08"/>
      <c r="C397" s="104"/>
      <c r="D397" s="116"/>
      <c r="E397" s="117">
        <v>70430</v>
      </c>
      <c r="F397" s="112"/>
      <c r="G397" s="335">
        <v>0</v>
      </c>
      <c r="H397" s="335">
        <f t="shared" ref="H397" si="269">H398</f>
        <v>0</v>
      </c>
      <c r="I397" s="335">
        <f t="shared" si="213"/>
        <v>0</v>
      </c>
      <c r="J397" s="335">
        <v>0</v>
      </c>
      <c r="K397" s="266">
        <f t="shared" ref="K397" si="270">K398</f>
        <v>0</v>
      </c>
      <c r="L397" s="266">
        <f t="shared" si="212"/>
        <v>0</v>
      </c>
    </row>
    <row r="398" spans="1:12" ht="31.5" x14ac:dyDescent="0.2">
      <c r="A398" s="107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IF(B398&gt;0,VLOOKUP(B398,КВСР!A160:B1325,2),IF(C398&gt;0,VLOOKUP(C398,КФСР!A160:B1672,2),IF(D398&gt;0,VLOOKUP(D398,Программа!A$1:B$5124,2),IF(F398&gt;0,VLOOKUP(F398,КВР!A$1:B$5001,2),IF(E398&gt;0,VLOOKUP(E398,Направление!A$1:B$4816,2))))))</f>
        <v>Социальное обеспечение и иные выплаты населению</v>
      </c>
      <c r="B398" s="108"/>
      <c r="C398" s="104"/>
      <c r="D398" s="116"/>
      <c r="E398" s="117"/>
      <c r="F398" s="112">
        <v>300</v>
      </c>
      <c r="G398" s="335">
        <v>0</v>
      </c>
      <c r="H398" s="335"/>
      <c r="I398" s="335">
        <f t="shared" si="213"/>
        <v>0</v>
      </c>
      <c r="J398" s="335">
        <v>0</v>
      </c>
      <c r="K398" s="266"/>
      <c r="L398" s="266">
        <f t="shared" si="212"/>
        <v>0</v>
      </c>
    </row>
    <row r="399" spans="1:12" ht="78.75" x14ac:dyDescent="0.2">
      <c r="A399" s="107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08"/>
      <c r="C399" s="104"/>
      <c r="D399" s="116"/>
      <c r="E399" s="117">
        <v>70460</v>
      </c>
      <c r="F399" s="112"/>
      <c r="G399" s="335">
        <v>27292878</v>
      </c>
      <c r="H399" s="335">
        <f t="shared" ref="H399:I399" si="271">H400+H401</f>
        <v>0</v>
      </c>
      <c r="I399" s="335">
        <f t="shared" si="271"/>
        <v>27292878</v>
      </c>
      <c r="J399" s="335">
        <v>27292878</v>
      </c>
      <c r="K399" s="266">
        <f t="shared" ref="K399:L399" si="272">K400+K401</f>
        <v>0</v>
      </c>
      <c r="L399" s="266">
        <f t="shared" si="272"/>
        <v>27292878</v>
      </c>
    </row>
    <row r="400" spans="1:12" ht="63" x14ac:dyDescent="0.25">
      <c r="A400" s="107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IF(B400&gt;0,VLOOKUP(B400,КВСР!A162:B1327,2),IF(C400&gt;0,VLOOKUP(C400,КФСР!A162:B1674,2),IF(D400&gt;0,VLOOKUP(D400,Программа!A$1:B$5124,2),IF(F400&gt;0,VLOOKUP(F400,КВР!A$1:B$5001,2),IF(E400&gt;0,VLOOKUP(E400,Направление!A$1:B$4816,2))))))</f>
        <v xml:space="preserve">Закупка товаров, работ и услуг для обеспечения государственных (муниципальных) нужд
</v>
      </c>
      <c r="B400" s="108"/>
      <c r="C400" s="104"/>
      <c r="D400" s="127"/>
      <c r="E400" s="128"/>
      <c r="F400" s="112">
        <v>200</v>
      </c>
      <c r="G400" s="335">
        <v>80815</v>
      </c>
      <c r="H400" s="335"/>
      <c r="I400" s="335">
        <f t="shared" si="213"/>
        <v>80815</v>
      </c>
      <c r="J400" s="335">
        <v>80815</v>
      </c>
      <c r="K400" s="266"/>
      <c r="L400" s="266">
        <f t="shared" si="212"/>
        <v>80815</v>
      </c>
    </row>
    <row r="401" spans="1:12" ht="31.5" x14ac:dyDescent="0.25">
      <c r="A401" s="107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IF(B401&gt;0,VLOOKUP(B401,КВСР!A163:B1328,2),IF(C401&gt;0,VLOOKUP(C401,КФСР!A163:B1675,2),IF(D401&gt;0,VLOOKUP(D401,Программа!A$1:B$5124,2),IF(F401&gt;0,VLOOKUP(F401,КВР!A$1:B$5001,2),IF(E401&gt;0,VLOOKUP(E401,Направление!A$1:B$4816,2))))))</f>
        <v>Социальное обеспечение и иные выплаты населению</v>
      </c>
      <c r="B401" s="108"/>
      <c r="C401" s="104"/>
      <c r="D401" s="127"/>
      <c r="E401" s="128"/>
      <c r="F401" s="112">
        <v>300</v>
      </c>
      <c r="G401" s="335">
        <v>27212063</v>
      </c>
      <c r="H401" s="335"/>
      <c r="I401" s="335">
        <f t="shared" si="213"/>
        <v>27212063</v>
      </c>
      <c r="J401" s="335">
        <v>27212063</v>
      </c>
      <c r="K401" s="266"/>
      <c r="L401" s="266">
        <f t="shared" si="212"/>
        <v>27212063</v>
      </c>
    </row>
    <row r="402" spans="1:12" ht="47.25" x14ac:dyDescent="0.25">
      <c r="A402" s="107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IF(B402&gt;0,VLOOKUP(B402,КВСР!A164:B1329,2),IF(C402&gt;0,VLOOKUP(C402,КФСР!A164:B1676,2),IF(D402&gt;0,VLOOKUP(D402,Программа!A$1:B$5124,2),IF(F402&gt;0,VLOOKUP(F402,КВР!A$1:B$5001,2),IF(E402&gt;0,VLOOKUP(E402,Направление!A$1:B$4816,2))))))</f>
        <v>Государственная поддержка опеки и попечительства за счет средств областного бюджета</v>
      </c>
      <c r="B402" s="110"/>
      <c r="C402" s="104"/>
      <c r="D402" s="127"/>
      <c r="E402" s="104">
        <v>70500</v>
      </c>
      <c r="F402" s="112"/>
      <c r="G402" s="335">
        <v>3542684</v>
      </c>
      <c r="H402" s="335">
        <f t="shared" ref="H402:I402" si="273">H403+H404+H405+H406</f>
        <v>0</v>
      </c>
      <c r="I402" s="335">
        <f t="shared" si="273"/>
        <v>3542684</v>
      </c>
      <c r="J402" s="335">
        <v>3542684</v>
      </c>
      <c r="K402" s="266">
        <f t="shared" ref="K402:L402" si="274">K403+K404+K405+K406</f>
        <v>0</v>
      </c>
      <c r="L402" s="266">
        <f t="shared" si="274"/>
        <v>3542684</v>
      </c>
    </row>
    <row r="403" spans="1:12" ht="110.25" x14ac:dyDescent="0.2">
      <c r="A403" s="107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0"/>
      <c r="C403" s="111"/>
      <c r="D403" s="113"/>
      <c r="E403" s="111"/>
      <c r="F403" s="112">
        <v>100</v>
      </c>
      <c r="G403" s="335">
        <v>633842</v>
      </c>
      <c r="H403" s="335"/>
      <c r="I403" s="335">
        <f t="shared" si="213"/>
        <v>633842</v>
      </c>
      <c r="J403" s="335">
        <v>633842</v>
      </c>
      <c r="K403" s="266"/>
      <c r="L403" s="266">
        <f t="shared" si="212"/>
        <v>633842</v>
      </c>
    </row>
    <row r="404" spans="1:12" ht="63" x14ac:dyDescent="0.2">
      <c r="A404" s="107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IF(B404&gt;0,VLOOKUP(B404,КВСР!A166:B1331,2),IF(C404&gt;0,VLOOKUP(C404,КФСР!A166:B1678,2),IF(D404&gt;0,VLOOKUP(D404,Программа!A$1:B$5124,2),IF(F404&gt;0,VLOOKUP(F404,КВР!A$1:B$5001,2),IF(E404&gt;0,VLOOKUP(E404,Направление!A$1:B$4816,2))))))</f>
        <v xml:space="preserve">Закупка товаров, работ и услуг для обеспечения государственных (муниципальных) нужд
</v>
      </c>
      <c r="B404" s="110"/>
      <c r="C404" s="111"/>
      <c r="D404" s="113"/>
      <c r="E404" s="111"/>
      <c r="F404" s="112">
        <v>200</v>
      </c>
      <c r="G404" s="335">
        <v>2352</v>
      </c>
      <c r="H404" s="335"/>
      <c r="I404" s="335">
        <f t="shared" si="213"/>
        <v>2352</v>
      </c>
      <c r="J404" s="335">
        <v>2352</v>
      </c>
      <c r="K404" s="266"/>
      <c r="L404" s="266">
        <f t="shared" si="212"/>
        <v>2352</v>
      </c>
    </row>
    <row r="405" spans="1:12" ht="31.5" x14ac:dyDescent="0.2">
      <c r="A405" s="107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IF(B405&gt;0,VLOOKUP(B405,КВСР!A167:B1332,2),IF(C405&gt;0,VLOOKUP(C405,КФСР!A167:B1679,2),IF(D405&gt;0,VLOOKUP(D405,Программа!A$1:B$5124,2),IF(F405&gt;0,VLOOKUP(F405,КВР!A$1:B$5001,2),IF(E405&gt;0,VLOOKUP(E405,Направление!A$1:B$4816,2))))))</f>
        <v>Социальное обеспечение и иные выплаты населению</v>
      </c>
      <c r="B405" s="110"/>
      <c r="C405" s="111"/>
      <c r="D405" s="113"/>
      <c r="E405" s="111"/>
      <c r="F405" s="112">
        <v>300</v>
      </c>
      <c r="G405" s="335">
        <v>1019963</v>
      </c>
      <c r="H405" s="335"/>
      <c r="I405" s="335">
        <f t="shared" si="213"/>
        <v>1019963</v>
      </c>
      <c r="J405" s="335">
        <v>1019963</v>
      </c>
      <c r="K405" s="266"/>
      <c r="L405" s="266">
        <f t="shared" si="212"/>
        <v>1019963</v>
      </c>
    </row>
    <row r="406" spans="1:12" ht="47.25" x14ac:dyDescent="0.2">
      <c r="A406" s="107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IF(B406&gt;0,VLOOKUP(B406,КВСР!A168:B1333,2),IF(C406&gt;0,VLOOKUP(C406,КФСР!A168:B1680,2),IF(D406&gt;0,VLOOKUP(D406,Программа!A$1:B$5124,2),IF(F406&gt;0,VLOOKUP(F406,КВР!A$1:B$5001,2),IF(E406&gt;0,VLOOKUP(E406,Направление!A$1:B$4816,2))))))</f>
        <v>Предоставление субсидий бюджетным, автономным учреждениям и иным некоммерческим организациям</v>
      </c>
      <c r="B406" s="110"/>
      <c r="C406" s="111"/>
      <c r="D406" s="113"/>
      <c r="E406" s="111"/>
      <c r="F406" s="112">
        <v>600</v>
      </c>
      <c r="G406" s="335">
        <v>1886527</v>
      </c>
      <c r="H406" s="335"/>
      <c r="I406" s="335">
        <f t="shared" si="213"/>
        <v>1886527</v>
      </c>
      <c r="J406" s="335">
        <v>1886527</v>
      </c>
      <c r="K406" s="266"/>
      <c r="L406" s="266">
        <f t="shared" si="212"/>
        <v>1886527</v>
      </c>
    </row>
    <row r="407" spans="1:12" ht="15.75" x14ac:dyDescent="0.2">
      <c r="A407" s="107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IF(B407&gt;0,VLOOKUP(B407,КВСР!A169:B1334,2),IF(C407&gt;0,VLOOKUP(C407,КФСР!A169:B1681,2),IF(D407&gt;0,VLOOKUP(D407,Программа!A$1:B$5124,2),IF(F407&gt;0,VLOOKUP(F407,КВР!A$1:B$5001,2),IF(E407&gt;0,VLOOKUP(E407,Направление!A$1:B$4816,2))))))</f>
        <v>Обеспечение компенсационных выплат</v>
      </c>
      <c r="B407" s="110"/>
      <c r="C407" s="111"/>
      <c r="D407" s="105" t="s">
        <v>1060</v>
      </c>
      <c r="E407" s="111"/>
      <c r="F407" s="112"/>
      <c r="G407" s="335">
        <v>9205899</v>
      </c>
      <c r="H407" s="335">
        <f t="shared" ref="H407:I407" si="275">H408</f>
        <v>0</v>
      </c>
      <c r="I407" s="335">
        <f t="shared" si="275"/>
        <v>9205899</v>
      </c>
      <c r="J407" s="335">
        <v>9205899</v>
      </c>
      <c r="K407" s="266">
        <f t="shared" ref="K407:L407" si="276">K408</f>
        <v>0</v>
      </c>
      <c r="L407" s="266">
        <f t="shared" si="276"/>
        <v>9205899</v>
      </c>
    </row>
    <row r="408" spans="1:12" ht="94.5" x14ac:dyDescent="0.2">
      <c r="A408" s="107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10"/>
      <c r="C408" s="111"/>
      <c r="D408" s="113"/>
      <c r="E408" s="111">
        <v>70430</v>
      </c>
      <c r="F408" s="112"/>
      <c r="G408" s="335">
        <v>9205899</v>
      </c>
      <c r="H408" s="335">
        <f t="shared" ref="H408:I408" si="277">H409+H410</f>
        <v>0</v>
      </c>
      <c r="I408" s="335">
        <f t="shared" si="277"/>
        <v>9205899</v>
      </c>
      <c r="J408" s="335">
        <v>9205899</v>
      </c>
      <c r="K408" s="266">
        <f t="shared" ref="K408:L408" si="278">K409+K410</f>
        <v>0</v>
      </c>
      <c r="L408" s="266">
        <f t="shared" si="278"/>
        <v>9205899</v>
      </c>
    </row>
    <row r="409" spans="1:12" ht="63" x14ac:dyDescent="0.2">
      <c r="A409" s="107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IF(B409&gt;0,VLOOKUP(B409,КВСР!A169:B1334,2),IF(C409&gt;0,VLOOKUP(C409,КФСР!A169:B1681,2),IF(D409&gt;0,VLOOKUP(D409,Программа!A$1:B$5124,2),IF(F409&gt;0,VLOOKUP(F409,КВР!A$1:B$5001,2),IF(E409&gt;0,VLOOKUP(E409,Направление!A$1:B$4816,2))))))</f>
        <v xml:space="preserve">Закупка товаров, работ и услуг для обеспечения государственных (муниципальных) нужд
</v>
      </c>
      <c r="B409" s="110"/>
      <c r="C409" s="111"/>
      <c r="D409" s="105"/>
      <c r="E409" s="104"/>
      <c r="F409" s="106">
        <v>200</v>
      </c>
      <c r="G409" s="335">
        <v>136048</v>
      </c>
      <c r="H409" s="335"/>
      <c r="I409" s="335">
        <f t="shared" si="213"/>
        <v>136048</v>
      </c>
      <c r="J409" s="335">
        <v>136048</v>
      </c>
      <c r="K409" s="266"/>
      <c r="L409" s="266">
        <f t="shared" si="212"/>
        <v>136048</v>
      </c>
    </row>
    <row r="410" spans="1:12" ht="31.5" x14ac:dyDescent="0.2">
      <c r="A410" s="107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IF(B410&gt;0,VLOOKUP(B410,КВСР!A170:B1335,2),IF(C410&gt;0,VLOOKUP(C410,КФСР!A170:B1682,2),IF(D410&gt;0,VLOOKUP(D410,Программа!A$1:B$5124,2),IF(F410&gt;0,VLOOKUP(F410,КВР!A$1:B$5001,2),IF(E410&gt;0,VLOOKUP(E410,Направление!A$1:B$4816,2))))))</f>
        <v>Социальное обеспечение и иные выплаты населению</v>
      </c>
      <c r="B410" s="110"/>
      <c r="C410" s="111"/>
      <c r="D410" s="105"/>
      <c r="E410" s="104"/>
      <c r="F410" s="106">
        <v>300</v>
      </c>
      <c r="G410" s="335">
        <v>9069851</v>
      </c>
      <c r="H410" s="335"/>
      <c r="I410" s="335">
        <f t="shared" ref="I410:I489" si="279">SUM(G410:H410)</f>
        <v>9069851</v>
      </c>
      <c r="J410" s="335">
        <v>9069851</v>
      </c>
      <c r="K410" s="266"/>
      <c r="L410" s="266">
        <f t="shared" ref="L410:L489" si="280">SUM(J410:K410)</f>
        <v>9069851</v>
      </c>
    </row>
    <row r="411" spans="1:12" ht="15.75" x14ac:dyDescent="0.2">
      <c r="A411" s="107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IF(B411&gt;0,VLOOKUP(B411,КВСР!A171:B1336,2),IF(C411&gt;0,VLOOKUP(C411,КФСР!A171:B1683,2),IF(D411&gt;0,VLOOKUP(D411,Программа!A$1:B$5124,2),IF(F411&gt;0,VLOOKUP(F411,КВР!A$1:B$5001,2),IF(E411&gt;0,VLOOKUP(E411,Направление!A$1:B$4816,2))))))</f>
        <v>Массовый спорт</v>
      </c>
      <c r="B411" s="110"/>
      <c r="C411" s="111">
        <v>1102</v>
      </c>
      <c r="D411" s="105"/>
      <c r="E411" s="104"/>
      <c r="F411" s="106"/>
      <c r="G411" s="335">
        <v>25138908</v>
      </c>
      <c r="H411" s="335">
        <f>H412</f>
        <v>0</v>
      </c>
      <c r="I411" s="335">
        <f t="shared" ref="I411:L411" si="281">I412</f>
        <v>25138908</v>
      </c>
      <c r="J411" s="335">
        <v>24376855</v>
      </c>
      <c r="K411" s="335">
        <f t="shared" si="281"/>
        <v>0</v>
      </c>
      <c r="L411" s="335">
        <f t="shared" si="281"/>
        <v>24376855</v>
      </c>
    </row>
    <row r="412" spans="1:12" ht="63" x14ac:dyDescent="0.2">
      <c r="A412" s="107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2" s="110"/>
      <c r="C412" s="111"/>
      <c r="D412" s="105" t="s">
        <v>367</v>
      </c>
      <c r="E412" s="104"/>
      <c r="F412" s="106"/>
      <c r="G412" s="335">
        <v>25138908</v>
      </c>
      <c r="H412" s="335">
        <f>H413+H419</f>
        <v>0</v>
      </c>
      <c r="I412" s="335">
        <f t="shared" ref="I412:L412" si="282">I413+I419</f>
        <v>25138908</v>
      </c>
      <c r="J412" s="335">
        <v>24376855</v>
      </c>
      <c r="K412" s="335">
        <f t="shared" si="282"/>
        <v>0</v>
      </c>
      <c r="L412" s="335">
        <f t="shared" si="282"/>
        <v>24376855</v>
      </c>
    </row>
    <row r="413" spans="1:12" ht="47.25" x14ac:dyDescent="0.2">
      <c r="A413" s="107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3" s="110"/>
      <c r="C413" s="111"/>
      <c r="D413" s="105" t="s">
        <v>386</v>
      </c>
      <c r="E413" s="104"/>
      <c r="F413" s="106"/>
      <c r="G413" s="335">
        <v>24488908</v>
      </c>
      <c r="H413" s="335">
        <f t="shared" ref="H413:I415" si="283">H414</f>
        <v>0</v>
      </c>
      <c r="I413" s="335">
        <f t="shared" si="283"/>
        <v>24488908</v>
      </c>
      <c r="J413" s="335">
        <v>23726855</v>
      </c>
      <c r="K413" s="266">
        <f t="shared" ref="K413:L415" si="284">K414</f>
        <v>0</v>
      </c>
      <c r="L413" s="266">
        <f t="shared" si="284"/>
        <v>23726855</v>
      </c>
    </row>
    <row r="414" spans="1:12" ht="78.75" x14ac:dyDescent="0.2">
      <c r="A414" s="107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10"/>
      <c r="C414" s="111"/>
      <c r="D414" s="105" t="s">
        <v>441</v>
      </c>
      <c r="E414" s="104"/>
      <c r="F414" s="106"/>
      <c r="G414" s="335">
        <v>24488908</v>
      </c>
      <c r="H414" s="335">
        <f t="shared" ref="H414:L414" si="285">H415+H417</f>
        <v>0</v>
      </c>
      <c r="I414" s="335">
        <f t="shared" si="285"/>
        <v>24488908</v>
      </c>
      <c r="J414" s="335">
        <v>23726855</v>
      </c>
      <c r="K414" s="335">
        <f t="shared" si="285"/>
        <v>0</v>
      </c>
      <c r="L414" s="335">
        <f t="shared" si="285"/>
        <v>23726855</v>
      </c>
    </row>
    <row r="415" spans="1:12" ht="31.5" x14ac:dyDescent="0.2">
      <c r="A415" s="107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IF(B415&gt;0,VLOOKUP(B415,КВСР!A175:B1340,2),IF(C415&gt;0,VLOOKUP(C415,КФСР!A175:B1687,2),IF(D415&gt;0,VLOOKUP(D415,Программа!A$1:B$5124,2),IF(F415&gt;0,VLOOKUP(F415,КВР!A$1:B$5001,2),IF(E415&gt;0,VLOOKUP(E415,Направление!A$1:B$4816,2))))))</f>
        <v>Обеспечение деятельности учреждений спорта</v>
      </c>
      <c r="B415" s="110"/>
      <c r="C415" s="111"/>
      <c r="D415" s="105"/>
      <c r="E415" s="104">
        <v>14020</v>
      </c>
      <c r="F415" s="106"/>
      <c r="G415" s="335">
        <v>24138908</v>
      </c>
      <c r="H415" s="335">
        <f t="shared" si="283"/>
        <v>0</v>
      </c>
      <c r="I415" s="335">
        <f t="shared" si="283"/>
        <v>24138908</v>
      </c>
      <c r="J415" s="335">
        <v>23376855</v>
      </c>
      <c r="K415" s="266">
        <f t="shared" si="284"/>
        <v>0</v>
      </c>
      <c r="L415" s="266">
        <f t="shared" si="284"/>
        <v>23376855</v>
      </c>
    </row>
    <row r="416" spans="1:12" ht="47.25" x14ac:dyDescent="0.2">
      <c r="A416" s="107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IF(B416&gt;0,VLOOKUP(B416,КВСР!A175:B1340,2),IF(C416&gt;0,VLOOKUP(C416,КФСР!A175:B1687,2),IF(D416&gt;0,VLOOKUP(D416,Программа!A$1:B$5124,2),IF(F416&gt;0,VLOOKUP(F416,КВР!A$1:B$5001,2),IF(E416&gt;0,VLOOKUP(E416,Направление!A$1:B$4816,2))))))</f>
        <v>Предоставление субсидий бюджетным, автономным учреждениям и иным некоммерческим организациям</v>
      </c>
      <c r="B416" s="110"/>
      <c r="C416" s="111"/>
      <c r="D416" s="105"/>
      <c r="E416" s="104"/>
      <c r="F416" s="106">
        <v>600</v>
      </c>
      <c r="G416" s="335">
        <v>24138908</v>
      </c>
      <c r="H416" s="335"/>
      <c r="I416" s="335">
        <f t="shared" si="279"/>
        <v>24138908</v>
      </c>
      <c r="J416" s="335">
        <v>23376855</v>
      </c>
      <c r="K416" s="266"/>
      <c r="L416" s="266">
        <f t="shared" si="280"/>
        <v>23376855</v>
      </c>
    </row>
    <row r="417" spans="1:12" ht="31.5" x14ac:dyDescent="0.2">
      <c r="A417" s="107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IF(B417&gt;0,VLOOKUP(B417,КВСР!A176:B1341,2),IF(C417&gt;0,VLOOKUP(C417,КФСР!A176:B1688,2),IF(D417&gt;0,VLOOKUP(D417,Программа!A$1:B$5124,2),IF(F417&gt;0,VLOOKUP(F417,КВР!A$1:B$5001,2),IF(E417&gt;0,VLOOKUP(E417,Направление!A$1:B$4816,2))))))</f>
        <v>Мероприятия в области спорта и физической культуры</v>
      </c>
      <c r="B417" s="110"/>
      <c r="C417" s="111"/>
      <c r="D417" s="105"/>
      <c r="E417" s="104">
        <v>29226</v>
      </c>
      <c r="F417" s="106"/>
      <c r="G417" s="335">
        <v>350000</v>
      </c>
      <c r="H417" s="340">
        <f t="shared" ref="H417:L417" si="286">H418</f>
        <v>0</v>
      </c>
      <c r="I417" s="340">
        <f t="shared" si="286"/>
        <v>350000</v>
      </c>
      <c r="J417" s="340">
        <v>350000</v>
      </c>
      <c r="K417" s="340">
        <f t="shared" si="286"/>
        <v>0</v>
      </c>
      <c r="L417" s="335">
        <f t="shared" si="286"/>
        <v>350000</v>
      </c>
    </row>
    <row r="418" spans="1:12" ht="47.25" x14ac:dyDescent="0.2">
      <c r="A418" s="107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IF(B418&gt;0,VLOOKUP(B418,КВСР!A177:B1342,2),IF(C418&gt;0,VLOOKUP(C418,КФСР!A177:B1689,2),IF(D418&gt;0,VLOOKUP(D418,Программа!A$1:B$5124,2),IF(F418&gt;0,VLOOKUP(F418,КВР!A$1:B$5001,2),IF(E418&gt;0,VLOOKUP(E418,Направление!A$1:B$4816,2))))))</f>
        <v>Предоставление субсидий бюджетным, автономным учреждениям и иным некоммерческим организациям</v>
      </c>
      <c r="B418" s="110"/>
      <c r="C418" s="111"/>
      <c r="D418" s="105"/>
      <c r="E418" s="104"/>
      <c r="F418" s="106">
        <v>600</v>
      </c>
      <c r="G418" s="335">
        <v>350000</v>
      </c>
      <c r="H418" s="340"/>
      <c r="I418" s="340">
        <f>G418+H418</f>
        <v>350000</v>
      </c>
      <c r="J418" s="340">
        <v>350000</v>
      </c>
      <c r="K418" s="256"/>
      <c r="L418" s="266">
        <f>J418+K418</f>
        <v>350000</v>
      </c>
    </row>
    <row r="419" spans="1:12" ht="63" x14ac:dyDescent="0.2">
      <c r="A419" s="107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10"/>
      <c r="C419" s="111"/>
      <c r="D419" s="105" t="s">
        <v>1761</v>
      </c>
      <c r="E419" s="104"/>
      <c r="F419" s="106"/>
      <c r="G419" s="335">
        <v>650000</v>
      </c>
      <c r="H419" s="335">
        <f t="shared" ref="H419:L421" si="287">H420</f>
        <v>0</v>
      </c>
      <c r="I419" s="335">
        <f t="shared" si="287"/>
        <v>650000</v>
      </c>
      <c r="J419" s="335">
        <v>650000</v>
      </c>
      <c r="K419" s="335">
        <f t="shared" si="287"/>
        <v>0</v>
      </c>
      <c r="L419" s="335">
        <f t="shared" si="287"/>
        <v>650000</v>
      </c>
    </row>
    <row r="420" spans="1:12" ht="63" x14ac:dyDescent="0.2">
      <c r="A420" s="107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10"/>
      <c r="C420" s="111"/>
      <c r="D420" s="105" t="s">
        <v>1760</v>
      </c>
      <c r="E420" s="104"/>
      <c r="F420" s="106"/>
      <c r="G420" s="335">
        <v>650000</v>
      </c>
      <c r="H420" s="335">
        <f t="shared" si="287"/>
        <v>0</v>
      </c>
      <c r="I420" s="335">
        <f t="shared" si="287"/>
        <v>650000</v>
      </c>
      <c r="J420" s="335">
        <v>650000</v>
      </c>
      <c r="K420" s="335">
        <f t="shared" si="287"/>
        <v>0</v>
      </c>
      <c r="L420" s="335">
        <f t="shared" si="287"/>
        <v>650000</v>
      </c>
    </row>
    <row r="421" spans="1:12" ht="31.5" x14ac:dyDescent="0.2">
      <c r="A421" s="107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IF(B421&gt;0,VLOOKUP(B421,КВСР!A180:B1345,2),IF(C421&gt;0,VLOOKUP(C421,КФСР!A180:B1692,2),IF(D421&gt;0,VLOOKUP(D421,Программа!A$1:B$5124,2),IF(F421&gt;0,VLOOKUP(F421,КВР!A$1:B$5001,2),IF(E421&gt;0,VLOOKUP(E421,Направление!A$1:B$4816,2))))))</f>
        <v>Мероприятия в области спорта и физической культуры</v>
      </c>
      <c r="B421" s="110"/>
      <c r="C421" s="111"/>
      <c r="D421" s="105"/>
      <c r="E421" s="104">
        <v>14010</v>
      </c>
      <c r="F421" s="106"/>
      <c r="G421" s="335">
        <v>650000</v>
      </c>
      <c r="H421" s="335">
        <f t="shared" si="287"/>
        <v>0</v>
      </c>
      <c r="I421" s="335">
        <f t="shared" si="287"/>
        <v>650000</v>
      </c>
      <c r="J421" s="335">
        <v>650000</v>
      </c>
      <c r="K421" s="335">
        <f t="shared" si="287"/>
        <v>0</v>
      </c>
      <c r="L421" s="335">
        <f t="shared" si="287"/>
        <v>650000</v>
      </c>
    </row>
    <row r="422" spans="1:12" ht="47.25" x14ac:dyDescent="0.2">
      <c r="A422" s="107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IF(B422&gt;0,VLOOKUP(B422,КВСР!A181:B1346,2),IF(C422&gt;0,VLOOKUP(C422,КФСР!A181:B1693,2),IF(D422&gt;0,VLOOKUP(D422,Программа!A$1:B$5124,2),IF(F422&gt;0,VLOOKUP(F422,КВР!A$1:B$5001,2),IF(E422&gt;0,VLOOKUP(E422,Направление!A$1:B$4816,2))))))</f>
        <v>Предоставление субсидий бюджетным, автономным учреждениям и иным некоммерческим организациям</v>
      </c>
      <c r="B422" s="110"/>
      <c r="C422" s="111"/>
      <c r="D422" s="105"/>
      <c r="E422" s="104"/>
      <c r="F422" s="106">
        <v>600</v>
      </c>
      <c r="G422" s="335">
        <v>650000</v>
      </c>
      <c r="H422" s="340"/>
      <c r="I422" s="340">
        <f t="shared" ref="I422" si="288">G422+H422</f>
        <v>650000</v>
      </c>
      <c r="J422" s="340">
        <v>650000</v>
      </c>
      <c r="K422" s="256"/>
      <c r="L422" s="266">
        <f t="shared" ref="L422" si="289">J422+K422</f>
        <v>650000</v>
      </c>
    </row>
    <row r="423" spans="1:12" ht="31.5" x14ac:dyDescent="0.2">
      <c r="A423" s="102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IF(B423&gt;0,VLOOKUP(B423,КВСР!A182:B1347,2),IF(C423&gt;0,VLOOKUP(C423,КФСР!A182:B1694,2),IF(D423&gt;0,VLOOKUP(D423,Программа!A$1:B$5124,2),IF(F423&gt;0,VLOOKUP(F423,КВР!A$1:B$5001,2),IF(E423&gt;0,VLOOKUP(E423,Направление!A$1:B$4816,2))))))</f>
        <v>Департамент труда и соц. развития Администрации ТМР</v>
      </c>
      <c r="B423" s="103">
        <v>954</v>
      </c>
      <c r="C423" s="104"/>
      <c r="D423" s="105"/>
      <c r="E423" s="104"/>
      <c r="F423" s="106"/>
      <c r="G423" s="338">
        <v>610851381</v>
      </c>
      <c r="H423" s="338">
        <f>H424+H434+H440+H494+H523</f>
        <v>0</v>
      </c>
      <c r="I423" s="338">
        <f>I424+I434+I440+I494+I523</f>
        <v>610851381</v>
      </c>
      <c r="J423" s="344">
        <v>634257739</v>
      </c>
      <c r="K423" s="337">
        <f>K424+K434+K440+K494+K523</f>
        <v>0</v>
      </c>
      <c r="L423" s="337">
        <f>L424+L434+L440+L494+L523</f>
        <v>634257739</v>
      </c>
    </row>
    <row r="424" spans="1:12" ht="15.75" x14ac:dyDescent="0.2">
      <c r="A424" s="107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IF(B424&gt;0,VLOOKUP(B424,КВСР!A187:B1352,2),IF(C424&gt;0,VLOOKUP(C424,КФСР!A187:B1699,2),IF(D424&gt;0,VLOOKUP(D424,Программа!A$1:B$5124,2),IF(F424&gt;0,VLOOKUP(F424,КВР!A$1:B$5001,2),IF(E424&gt;0,VLOOKUP(E424,Направление!A$1:B$4816,2))))))</f>
        <v>Пенсионное обеспечение</v>
      </c>
      <c r="B424" s="108"/>
      <c r="C424" s="104">
        <v>1001</v>
      </c>
      <c r="D424" s="105"/>
      <c r="E424" s="104"/>
      <c r="F424" s="106"/>
      <c r="G424" s="335">
        <v>6451000</v>
      </c>
      <c r="H424" s="335">
        <f t="shared" ref="H424:L424" si="290">H425</f>
        <v>0</v>
      </c>
      <c r="I424" s="335">
        <f t="shared" si="290"/>
        <v>6451000</v>
      </c>
      <c r="J424" s="335">
        <v>6451000</v>
      </c>
      <c r="K424" s="335">
        <f t="shared" si="290"/>
        <v>0</v>
      </c>
      <c r="L424" s="335">
        <f t="shared" si="290"/>
        <v>6451000</v>
      </c>
    </row>
    <row r="425" spans="1:12" ht="47.25" x14ac:dyDescent="0.2">
      <c r="A425" s="107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IF(B425&gt;0,VLOOKUP(B425,КВСР!A188:B1353,2),IF(C425&gt;0,VLOOKUP(C425,КФСР!A188:B1700,2),IF(D425&gt;0,VLOOKUP(D425,Программа!A$1:B$5124,2),IF(F425&gt;0,VLOOKUP(F425,КВР!A$1:B$5001,2),IF(E425&gt;0,VLOOKUP(E425,Направление!A$1:B$4816,2))))))</f>
        <v>Муниципальная программа "Социальная поддержка населения Тутаевского муниципального района"</v>
      </c>
      <c r="B425" s="108"/>
      <c r="C425" s="104"/>
      <c r="D425" s="113" t="s">
        <v>376</v>
      </c>
      <c r="E425" s="111"/>
      <c r="F425" s="106"/>
      <c r="G425" s="335">
        <v>6451000</v>
      </c>
      <c r="H425" s="335">
        <f t="shared" ref="H425:L425" si="291">H427</f>
        <v>0</v>
      </c>
      <c r="I425" s="335">
        <f t="shared" ref="I425" si="292">I427</f>
        <v>6451000</v>
      </c>
      <c r="J425" s="335">
        <v>6451000</v>
      </c>
      <c r="K425" s="335">
        <f t="shared" si="291"/>
        <v>0</v>
      </c>
      <c r="L425" s="335">
        <f t="shared" si="291"/>
        <v>6451000</v>
      </c>
    </row>
    <row r="426" spans="1:12" ht="47.25" x14ac:dyDescent="0.2">
      <c r="A426" s="107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26" s="108"/>
      <c r="C426" s="104"/>
      <c r="D426" s="113" t="s">
        <v>446</v>
      </c>
      <c r="E426" s="111"/>
      <c r="F426" s="106"/>
      <c r="G426" s="335">
        <v>6451000</v>
      </c>
      <c r="H426" s="335">
        <f t="shared" ref="H426:L426" si="293">H427</f>
        <v>0</v>
      </c>
      <c r="I426" s="335">
        <f t="shared" si="293"/>
        <v>6451000</v>
      </c>
      <c r="J426" s="335">
        <v>6451000</v>
      </c>
      <c r="K426" s="335">
        <f t="shared" si="293"/>
        <v>0</v>
      </c>
      <c r="L426" s="335">
        <f t="shared" si="293"/>
        <v>6451000</v>
      </c>
    </row>
    <row r="427" spans="1:12" ht="47.25" x14ac:dyDescent="0.2">
      <c r="A427" s="107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IF(B427&gt;0,VLOOKUP(B427,КВСР!A190:B1355,2),IF(C427&gt;0,VLOOKUP(C427,КФСР!A190:B1702,2),IF(D427&gt;0,VLOOKUP(D427,Программа!A$1:B$5124,2),IF(F427&gt;0,VLOOKUP(F427,КВР!A$1:B$5001,2),IF(E427&gt;0,VLOOKUP(E427,Направление!A$1:B$4816,2))))))</f>
        <v>Исполнение публичных обязательств по предоставлению выплат, пособий и компенсаций</v>
      </c>
      <c r="B427" s="108"/>
      <c r="C427" s="104"/>
      <c r="D427" s="105" t="s">
        <v>448</v>
      </c>
      <c r="E427" s="104"/>
      <c r="F427" s="106"/>
      <c r="G427" s="335">
        <v>6451000</v>
      </c>
      <c r="H427" s="335">
        <f t="shared" ref="H427:I427" si="294">H428+H431</f>
        <v>0</v>
      </c>
      <c r="I427" s="335">
        <f t="shared" si="294"/>
        <v>6451000</v>
      </c>
      <c r="J427" s="335">
        <v>6451000</v>
      </c>
      <c r="K427" s="335">
        <f t="shared" ref="K427:L427" si="295">K428+K431</f>
        <v>0</v>
      </c>
      <c r="L427" s="335">
        <f t="shared" si="295"/>
        <v>6451000</v>
      </c>
    </row>
    <row r="428" spans="1:12" ht="31.5" x14ac:dyDescent="0.2">
      <c r="A428" s="107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IF(B428&gt;0,VLOOKUP(B428,КВСР!A191:B1356,2),IF(C428&gt;0,VLOOKUP(C428,КФСР!A191:B1703,2),IF(D428&gt;0,VLOOKUP(D428,Программа!A$1:B$5124,2),IF(F428&gt;0,VLOOKUP(F428,КВР!A$1:B$5001,2),IF(E428&gt;0,VLOOKUP(E428,Направление!A$1:B$4816,2))))))</f>
        <v>Доплаты к пенсиям муниципальных служащих</v>
      </c>
      <c r="B428" s="108"/>
      <c r="C428" s="104"/>
      <c r="D428" s="105"/>
      <c r="E428" s="104">
        <v>16010</v>
      </c>
      <c r="F428" s="106"/>
      <c r="G428" s="335">
        <v>5800000</v>
      </c>
      <c r="H428" s="335">
        <f t="shared" ref="H428:I428" si="296">H430+H429</f>
        <v>0</v>
      </c>
      <c r="I428" s="335">
        <f t="shared" si="296"/>
        <v>5800000</v>
      </c>
      <c r="J428" s="335">
        <v>5800000</v>
      </c>
      <c r="K428" s="266">
        <f t="shared" ref="K428" si="297">K430+K429</f>
        <v>0</v>
      </c>
      <c r="L428" s="266">
        <f t="shared" si="280"/>
        <v>5800000</v>
      </c>
    </row>
    <row r="429" spans="1:12" ht="63" x14ac:dyDescent="0.2">
      <c r="A429" s="107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08"/>
      <c r="C429" s="104"/>
      <c r="D429" s="105"/>
      <c r="E429" s="104"/>
      <c r="F429" s="106">
        <v>200</v>
      </c>
      <c r="G429" s="335">
        <v>74560</v>
      </c>
      <c r="H429" s="335"/>
      <c r="I429" s="335">
        <f t="shared" si="279"/>
        <v>74560</v>
      </c>
      <c r="J429" s="335">
        <v>74560</v>
      </c>
      <c r="K429" s="266"/>
      <c r="L429" s="266">
        <f t="shared" si="280"/>
        <v>74560</v>
      </c>
    </row>
    <row r="430" spans="1:12" ht="31.5" x14ac:dyDescent="0.2">
      <c r="A430" s="107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IF(B430&gt;0,VLOOKUP(B430,КВСР!A190:B1355,2),IF(C430&gt;0,VLOOKUP(C430,КФСР!A190:B1702,2),IF(D430&gt;0,VLOOKUP(D430,Программа!A$1:B$5124,2),IF(F430&gt;0,VLOOKUP(F430,КВР!A$1:B$5001,2),IF(E430&gt;0,VLOOKUP(E430,Направление!A$1:B$4816,2))))))</f>
        <v>Социальное обеспечение и иные выплаты населению</v>
      </c>
      <c r="B430" s="108"/>
      <c r="C430" s="104"/>
      <c r="D430" s="105"/>
      <c r="E430" s="104"/>
      <c r="F430" s="106">
        <v>300</v>
      </c>
      <c r="G430" s="335">
        <v>5725440</v>
      </c>
      <c r="H430" s="335"/>
      <c r="I430" s="335">
        <f t="shared" si="279"/>
        <v>5725440</v>
      </c>
      <c r="J430" s="335">
        <v>5725440</v>
      </c>
      <c r="K430" s="266"/>
      <c r="L430" s="266">
        <f t="shared" si="280"/>
        <v>5725440</v>
      </c>
    </row>
    <row r="431" spans="1:12" ht="31.5" x14ac:dyDescent="0.2">
      <c r="A431" s="107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IF(B431&gt;0,VLOOKUP(B431,КВСР!A191:B1356,2),IF(C431&gt;0,VLOOKUP(C431,КФСР!A191:B1703,2),IF(D431&gt;0,VLOOKUP(D431,Программа!A$1:B$5124,2),IF(F431&gt;0,VLOOKUP(F431,КВР!A$1:B$5001,2),IF(E431&gt;0,VLOOKUP(E431,Направление!A$1:B$4816,2))))))</f>
        <v>Доплаты к пенсиям муниципальным служащим поселений</v>
      </c>
      <c r="B431" s="108"/>
      <c r="C431" s="104"/>
      <c r="D431" s="105"/>
      <c r="E431" s="104">
        <v>29756</v>
      </c>
      <c r="F431" s="106"/>
      <c r="G431" s="335">
        <v>651000</v>
      </c>
      <c r="H431" s="335">
        <f t="shared" ref="H431:L431" si="298">H432+H433</f>
        <v>0</v>
      </c>
      <c r="I431" s="335">
        <f t="shared" si="298"/>
        <v>651000</v>
      </c>
      <c r="J431" s="335">
        <v>651000</v>
      </c>
      <c r="K431" s="335">
        <f t="shared" si="298"/>
        <v>0</v>
      </c>
      <c r="L431" s="335">
        <f t="shared" si="298"/>
        <v>651000</v>
      </c>
    </row>
    <row r="432" spans="1:12" ht="63" x14ac:dyDescent="0.2">
      <c r="A432" s="107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IF(B432&gt;0,VLOOKUP(B432,КВСР!A192:B1357,2),IF(C432&gt;0,VLOOKUP(C432,КФСР!A192:B1704,2),IF(D432&gt;0,VLOOKUP(D432,Программа!A$1:B$5124,2),IF(F432&gt;0,VLOOKUP(F432,КВР!A$1:B$5001,2),IF(E432&gt;0,VLOOKUP(E432,Направление!A$1:B$4816,2))))))</f>
        <v xml:space="preserve">Закупка товаров, работ и услуг для обеспечения государственных (муниципальных) нужд
</v>
      </c>
      <c r="B432" s="108"/>
      <c r="C432" s="104"/>
      <c r="D432" s="105"/>
      <c r="E432" s="104"/>
      <c r="F432" s="106">
        <v>200</v>
      </c>
      <c r="G432" s="335">
        <v>9000</v>
      </c>
      <c r="H432" s="335"/>
      <c r="I432" s="335">
        <f>G432+H432</f>
        <v>9000</v>
      </c>
      <c r="J432" s="335">
        <v>9000</v>
      </c>
      <c r="K432" s="266"/>
      <c r="L432" s="266">
        <f>J432+K432</f>
        <v>9000</v>
      </c>
    </row>
    <row r="433" spans="1:12" ht="31.5" x14ac:dyDescent="0.2">
      <c r="A433" s="107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IF(B433&gt;0,VLOOKUP(B433,КВСР!A193:B1358,2),IF(C433&gt;0,VLOOKUP(C433,КФСР!A193:B1705,2),IF(D433&gt;0,VLOOKUP(D433,Программа!A$1:B$5124,2),IF(F433&gt;0,VLOOKUP(F433,КВР!A$1:B$5001,2),IF(E433&gt;0,VLOOKUP(E433,Направление!A$1:B$4816,2))))))</f>
        <v>Социальное обеспечение и иные выплаты населению</v>
      </c>
      <c r="B433" s="108"/>
      <c r="C433" s="104"/>
      <c r="D433" s="105"/>
      <c r="E433" s="104"/>
      <c r="F433" s="106">
        <v>300</v>
      </c>
      <c r="G433" s="335">
        <v>642000</v>
      </c>
      <c r="H433" s="335"/>
      <c r="I433" s="335">
        <f>G433+H433</f>
        <v>642000</v>
      </c>
      <c r="J433" s="335">
        <v>642000</v>
      </c>
      <c r="K433" s="266"/>
      <c r="L433" s="266">
        <f>J433+K433</f>
        <v>642000</v>
      </c>
    </row>
    <row r="434" spans="1:12" ht="15.75" x14ac:dyDescent="0.2">
      <c r="A434" s="107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IF(B434&gt;0,VLOOKUP(B434,КВСР!A191:B1356,2),IF(C434&gt;0,VLOOKUP(C434,КФСР!A191:B1703,2),IF(D434&gt;0,VLOOKUP(D434,Программа!A$1:B$5124,2),IF(F434&gt;0,VLOOKUP(F434,КВР!A$1:B$5001,2),IF(E434&gt;0,VLOOKUP(E434,Направление!A$1:B$4816,2))))))</f>
        <v>Социальное обслуживание населения</v>
      </c>
      <c r="B434" s="108"/>
      <c r="C434" s="104">
        <v>1002</v>
      </c>
      <c r="D434" s="105"/>
      <c r="E434" s="104"/>
      <c r="F434" s="106"/>
      <c r="G434" s="335">
        <v>84274175</v>
      </c>
      <c r="H434" s="335">
        <f t="shared" ref="H434:I434" si="299">H435</f>
        <v>0</v>
      </c>
      <c r="I434" s="335">
        <f t="shared" si="299"/>
        <v>84274175</v>
      </c>
      <c r="J434" s="335">
        <v>84274175</v>
      </c>
      <c r="K434" s="266">
        <f t="shared" ref="K434:L434" si="300">K435</f>
        <v>0</v>
      </c>
      <c r="L434" s="266">
        <f t="shared" si="300"/>
        <v>84274175</v>
      </c>
    </row>
    <row r="435" spans="1:12" ht="47.25" x14ac:dyDescent="0.2">
      <c r="A435" s="107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IF(B435&gt;0,VLOOKUP(B435,КВСР!A192:B1357,2),IF(C435&gt;0,VLOOKUP(C435,КФСР!A192:B1704,2),IF(D435&gt;0,VLOOKUP(D435,Программа!A$1:B$5124,2),IF(F435&gt;0,VLOOKUP(F435,КВР!A$1:B$5001,2),IF(E435&gt;0,VLOOKUP(E435,Направление!A$1:B$4816,2))))))</f>
        <v>Муниципальная программа "Социальная поддержка населения Тутаевского муниципального района"</v>
      </c>
      <c r="B435" s="108"/>
      <c r="C435" s="104"/>
      <c r="D435" s="105" t="s">
        <v>376</v>
      </c>
      <c r="E435" s="104"/>
      <c r="F435" s="106"/>
      <c r="G435" s="335">
        <v>84274175</v>
      </c>
      <c r="H435" s="335">
        <f t="shared" ref="H435:I435" si="301">H437</f>
        <v>0</v>
      </c>
      <c r="I435" s="335">
        <f t="shared" si="301"/>
        <v>84274175</v>
      </c>
      <c r="J435" s="335">
        <v>84274175</v>
      </c>
      <c r="K435" s="266">
        <f t="shared" ref="K435:L435" si="302">K437</f>
        <v>0</v>
      </c>
      <c r="L435" s="266">
        <f t="shared" si="302"/>
        <v>84274175</v>
      </c>
    </row>
    <row r="436" spans="1:12" ht="47.25" x14ac:dyDescent="0.2">
      <c r="A436" s="107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36" s="108"/>
      <c r="C436" s="104"/>
      <c r="D436" s="105" t="s">
        <v>446</v>
      </c>
      <c r="E436" s="104"/>
      <c r="F436" s="106"/>
      <c r="G436" s="335">
        <v>84274175</v>
      </c>
      <c r="H436" s="335">
        <f t="shared" ref="H436:I438" si="303">H437</f>
        <v>0</v>
      </c>
      <c r="I436" s="335">
        <f t="shared" si="303"/>
        <v>84274175</v>
      </c>
      <c r="J436" s="335">
        <v>84274175</v>
      </c>
      <c r="K436" s="266">
        <f t="shared" ref="K436:L438" si="304">K437</f>
        <v>0</v>
      </c>
      <c r="L436" s="266">
        <f t="shared" si="304"/>
        <v>84274175</v>
      </c>
    </row>
    <row r="437" spans="1:12" ht="63" x14ac:dyDescent="0.2">
      <c r="A437" s="107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08"/>
      <c r="C437" s="104"/>
      <c r="D437" s="105" t="s">
        <v>451</v>
      </c>
      <c r="E437" s="104"/>
      <c r="F437" s="106"/>
      <c r="G437" s="335">
        <v>84274175</v>
      </c>
      <c r="H437" s="335">
        <f t="shared" si="303"/>
        <v>0</v>
      </c>
      <c r="I437" s="335">
        <f t="shared" si="303"/>
        <v>84274175</v>
      </c>
      <c r="J437" s="335">
        <v>84274175</v>
      </c>
      <c r="K437" s="266">
        <f t="shared" si="304"/>
        <v>0</v>
      </c>
      <c r="L437" s="266">
        <f t="shared" si="304"/>
        <v>84274175</v>
      </c>
    </row>
    <row r="438" spans="1:12" ht="126" x14ac:dyDescent="0.2">
      <c r="A438" s="107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08"/>
      <c r="C438" s="104"/>
      <c r="D438" s="105"/>
      <c r="E438" s="104">
        <v>70850</v>
      </c>
      <c r="F438" s="106"/>
      <c r="G438" s="335">
        <v>84274175</v>
      </c>
      <c r="H438" s="335">
        <f t="shared" si="303"/>
        <v>0</v>
      </c>
      <c r="I438" s="335">
        <f t="shared" si="303"/>
        <v>84274175</v>
      </c>
      <c r="J438" s="335">
        <v>84274175</v>
      </c>
      <c r="K438" s="266">
        <f t="shared" si="304"/>
        <v>0</v>
      </c>
      <c r="L438" s="266">
        <f t="shared" si="304"/>
        <v>84274175</v>
      </c>
    </row>
    <row r="439" spans="1:12" ht="47.25" x14ac:dyDescent="0.2">
      <c r="A439" s="107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IF(B439&gt;0,VLOOKUP(B439,КВСР!A195:B1360,2),IF(C439&gt;0,VLOOKUP(C439,КФСР!A195:B1707,2),IF(D439&gt;0,VLOOKUP(D439,Программа!A$1:B$5124,2),IF(F439&gt;0,VLOOKUP(F439,КВР!A$1:B$5001,2),IF(E439&gt;0,VLOOKUP(E439,Направление!A$1:B$4816,2))))))</f>
        <v>Предоставление субсидий бюджетным, автономным учреждениям и иным некоммерческим организациям</v>
      </c>
      <c r="B439" s="108"/>
      <c r="C439" s="104"/>
      <c r="D439" s="105"/>
      <c r="E439" s="104"/>
      <c r="F439" s="106">
        <v>600</v>
      </c>
      <c r="G439" s="335">
        <v>84274175</v>
      </c>
      <c r="H439" s="335"/>
      <c r="I439" s="335">
        <f t="shared" si="279"/>
        <v>84274175</v>
      </c>
      <c r="J439" s="335">
        <v>84274175</v>
      </c>
      <c r="K439" s="266"/>
      <c r="L439" s="266">
        <f t="shared" si="280"/>
        <v>84274175</v>
      </c>
    </row>
    <row r="440" spans="1:12" ht="15.75" x14ac:dyDescent="0.2">
      <c r="A440" s="107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IF(B440&gt;0,VLOOKUP(B440,КВСР!A196:B1361,2),IF(C440&gt;0,VLOOKUP(C440,КФСР!A196:B1708,2),IF(D440&gt;0,VLOOKUP(D440,Программа!A$1:B$5124,2),IF(F440&gt;0,VLOOKUP(F440,КВР!A$1:B$5001,2),IF(E440&gt;0,VLOOKUP(E440,Направление!A$1:B$4816,2))))))</f>
        <v>Социальное обеспечение населения</v>
      </c>
      <c r="B440" s="108"/>
      <c r="C440" s="104">
        <v>1003</v>
      </c>
      <c r="D440" s="105"/>
      <c r="E440" s="104"/>
      <c r="F440" s="106"/>
      <c r="G440" s="335">
        <v>228043845</v>
      </c>
      <c r="H440" s="335">
        <f t="shared" ref="H440:L440" si="305">H441</f>
        <v>0</v>
      </c>
      <c r="I440" s="335">
        <f t="shared" si="305"/>
        <v>228043845</v>
      </c>
      <c r="J440" s="335">
        <v>228393932</v>
      </c>
      <c r="K440" s="335">
        <f t="shared" si="305"/>
        <v>0</v>
      </c>
      <c r="L440" s="335">
        <f t="shared" si="305"/>
        <v>228393932</v>
      </c>
    </row>
    <row r="441" spans="1:12" ht="47.25" x14ac:dyDescent="0.2">
      <c r="A441" s="107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IF(B441&gt;0,VLOOKUP(B441,КВСР!A197:B1362,2),IF(C441&gt;0,VLOOKUP(C441,КФСР!A197:B1709,2),IF(D441&gt;0,VLOOKUP(D441,Программа!A$1:B$5124,2),IF(F441&gt;0,VLOOKUP(F441,КВР!A$1:B$5001,2),IF(E441&gt;0,VLOOKUP(E441,Направление!A$1:B$4816,2))))))</f>
        <v>Муниципальная программа "Социальная поддержка населения Тутаевского муниципального района"</v>
      </c>
      <c r="B441" s="108"/>
      <c r="C441" s="104"/>
      <c r="D441" s="105" t="s">
        <v>376</v>
      </c>
      <c r="E441" s="104"/>
      <c r="F441" s="106"/>
      <c r="G441" s="335">
        <v>228043845</v>
      </c>
      <c r="H441" s="335">
        <f t="shared" ref="H441:L441" si="306">H442</f>
        <v>0</v>
      </c>
      <c r="I441" s="335">
        <f t="shared" si="306"/>
        <v>228043845</v>
      </c>
      <c r="J441" s="335">
        <v>228393932</v>
      </c>
      <c r="K441" s="335">
        <f t="shared" si="306"/>
        <v>0</v>
      </c>
      <c r="L441" s="335">
        <f t="shared" si="306"/>
        <v>228393932</v>
      </c>
    </row>
    <row r="442" spans="1:12" ht="47.25" x14ac:dyDescent="0.2">
      <c r="A442" s="107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42" s="108"/>
      <c r="C442" s="104"/>
      <c r="D442" s="105" t="s">
        <v>446</v>
      </c>
      <c r="E442" s="104"/>
      <c r="F442" s="106"/>
      <c r="G442" s="335">
        <v>228043845</v>
      </c>
      <c r="H442" s="335">
        <f>H443+H483</f>
        <v>0</v>
      </c>
      <c r="I442" s="335">
        <f>I443+I483</f>
        <v>228043845</v>
      </c>
      <c r="J442" s="335">
        <v>228393932</v>
      </c>
      <c r="K442" s="335">
        <f t="shared" ref="K442" si="307">K443+K483</f>
        <v>0</v>
      </c>
      <c r="L442" s="335">
        <f t="shared" ref="L442" si="308">L443+L483</f>
        <v>228393932</v>
      </c>
    </row>
    <row r="443" spans="1:12" ht="47.25" x14ac:dyDescent="0.2">
      <c r="A443" s="107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IF(B443&gt;0,VLOOKUP(B443,КВСР!A199:B1364,2),IF(C443&gt;0,VLOOKUP(C443,КФСР!A199:B1711,2),IF(D443&gt;0,VLOOKUP(D443,Программа!A$1:B$5124,2),IF(F443&gt;0,VLOOKUP(F443,КВР!A$1:B$5001,2),IF(E443&gt;0,VLOOKUP(E443,Направление!A$1:B$4816,2))))))</f>
        <v>Исполнение публичных обязательств по предоставлению выплат, пособий и компенсаций</v>
      </c>
      <c r="B443" s="108"/>
      <c r="C443" s="104"/>
      <c r="D443" s="105" t="s">
        <v>448</v>
      </c>
      <c r="E443" s="104"/>
      <c r="F443" s="106"/>
      <c r="G443" s="335">
        <v>207915939</v>
      </c>
      <c r="H443" s="335">
        <f>H444+H447+H452+H455+H457+H460+H463+H466+H469+H476+H479+H481+H472+H474+H450</f>
        <v>0</v>
      </c>
      <c r="I443" s="335">
        <f>I444+I447+I452+I455+I457+I460+I463+I466+I469+I476+I479+I481+I472+I474+I450</f>
        <v>207915939</v>
      </c>
      <c r="J443" s="335">
        <v>208266026</v>
      </c>
      <c r="K443" s="335">
        <f t="shared" ref="K443" si="309">K444+K447+K452+K455+K457+K460+K463+K466+K469+K476+K479+K481+K472+K474+K450</f>
        <v>0</v>
      </c>
      <c r="L443" s="335">
        <f t="shared" ref="L443" si="310">L444+L447+L452+L455+L457+L460+L463+L466+L469+L476+L479+L481+L472+L474+L450</f>
        <v>208266026</v>
      </c>
    </row>
    <row r="444" spans="1:12" ht="47.25" x14ac:dyDescent="0.2">
      <c r="A444" s="107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IF(B444&gt;0,VLOOKUP(B444,КВСР!A200:B1365,2),IF(C444&gt;0,VLOOKUP(C444,КФСР!A200:B1712,2),IF(D444&gt;0,VLOOKUP(D444,Программа!A$1:B$5124,2),IF(F444&gt;0,VLOOKUP(F444,КВР!A$1:B$5001,2),IF(E444&gt;0,VLOOKUP(E444,Направление!A$1:B$4816,2))))))</f>
        <v>Субвенция на социальную поддержку граждан, подвергшихся воздействию радиации</v>
      </c>
      <c r="B444" s="108"/>
      <c r="C444" s="104"/>
      <c r="D444" s="105"/>
      <c r="E444" s="104">
        <v>51370</v>
      </c>
      <c r="F444" s="106"/>
      <c r="G444" s="335">
        <v>0</v>
      </c>
      <c r="H444" s="335">
        <f t="shared" ref="H444:I444" si="311">H445+H446</f>
        <v>0</v>
      </c>
      <c r="I444" s="335">
        <f t="shared" si="311"/>
        <v>0</v>
      </c>
      <c r="J444" s="335">
        <v>0</v>
      </c>
      <c r="K444" s="266">
        <f t="shared" ref="K444:L444" si="312">K445+K446</f>
        <v>0</v>
      </c>
      <c r="L444" s="266">
        <f t="shared" si="312"/>
        <v>0</v>
      </c>
    </row>
    <row r="445" spans="1:12" ht="63" x14ac:dyDescent="0.2">
      <c r="A445" s="107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IF(B445&gt;0,VLOOKUP(B445,КВСР!A201:B1366,2),IF(C445&gt;0,VLOOKUP(C445,КФСР!A201:B1713,2),IF(D445&gt;0,VLOOKUP(D445,Программа!A$1:B$5124,2),IF(F445&gt;0,VLOOKUP(F445,КВР!A$1:B$5001,2),IF(E445&gt;0,VLOOKUP(E445,Направление!A$1:B$4816,2))))))</f>
        <v xml:space="preserve">Закупка товаров, работ и услуг для обеспечения государственных (муниципальных) нужд
</v>
      </c>
      <c r="B445" s="108"/>
      <c r="C445" s="104"/>
      <c r="D445" s="105"/>
      <c r="E445" s="104"/>
      <c r="F445" s="106">
        <v>200</v>
      </c>
      <c r="G445" s="335">
        <v>0</v>
      </c>
      <c r="H445" s="335"/>
      <c r="I445" s="335">
        <f t="shared" si="279"/>
        <v>0</v>
      </c>
      <c r="J445" s="335">
        <v>0</v>
      </c>
      <c r="K445" s="266"/>
      <c r="L445" s="266">
        <f t="shared" si="280"/>
        <v>0</v>
      </c>
    </row>
    <row r="446" spans="1:12" ht="31.5" x14ac:dyDescent="0.2">
      <c r="A446" s="107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IF(B446&gt;0,VLOOKUP(B446,КВСР!A202:B1367,2),IF(C446&gt;0,VLOOKUP(C446,КФСР!A202:B1714,2),IF(D446&gt;0,VLOOKUP(D446,Программа!A$1:B$5124,2),IF(F446&gt;0,VLOOKUP(F446,КВР!A$1:B$5001,2),IF(E446&gt;0,VLOOKUP(E446,Направление!A$1:B$4816,2))))))</f>
        <v>Социальное обеспечение и иные выплаты населению</v>
      </c>
      <c r="B446" s="108"/>
      <c r="C446" s="104"/>
      <c r="D446" s="105"/>
      <c r="E446" s="104"/>
      <c r="F446" s="106">
        <v>300</v>
      </c>
      <c r="G446" s="335">
        <v>0</v>
      </c>
      <c r="H446" s="335"/>
      <c r="I446" s="335">
        <f t="shared" si="279"/>
        <v>0</v>
      </c>
      <c r="J446" s="335">
        <v>0</v>
      </c>
      <c r="K446" s="266"/>
      <c r="L446" s="266">
        <f t="shared" si="280"/>
        <v>0</v>
      </c>
    </row>
    <row r="447" spans="1:12" ht="110.25" x14ac:dyDescent="0.2">
      <c r="A447" s="107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08"/>
      <c r="C447" s="104"/>
      <c r="D447" s="105"/>
      <c r="E447" s="104">
        <v>52200</v>
      </c>
      <c r="F447" s="106"/>
      <c r="G447" s="335">
        <v>6552020</v>
      </c>
      <c r="H447" s="335">
        <f t="shared" ref="H447:I447" si="313">SUM(H448:H449)</f>
        <v>0</v>
      </c>
      <c r="I447" s="335">
        <f t="shared" si="313"/>
        <v>6552020</v>
      </c>
      <c r="J447" s="335">
        <v>6814181</v>
      </c>
      <c r="K447" s="266">
        <f t="shared" ref="K447:L447" si="314">SUM(K448:K449)</f>
        <v>0</v>
      </c>
      <c r="L447" s="266">
        <f t="shared" si="314"/>
        <v>6814181</v>
      </c>
    </row>
    <row r="448" spans="1:12" ht="63" x14ac:dyDescent="0.2">
      <c r="A448" s="107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IF(B448&gt;0,VLOOKUP(B448,КВСР!A204:B1369,2),IF(C448&gt;0,VLOOKUP(C448,КФСР!A204:B1716,2),IF(D448&gt;0,VLOOKUP(D448,Программа!A$1:B$5124,2),IF(F448&gt;0,VLOOKUP(F448,КВР!A$1:B$5001,2),IF(E448&gt;0,VLOOKUP(E448,Направление!A$1:B$4816,2))))))</f>
        <v xml:space="preserve">Закупка товаров, работ и услуг для обеспечения государственных (муниципальных) нужд
</v>
      </c>
      <c r="B448" s="108"/>
      <c r="C448" s="104"/>
      <c r="D448" s="105"/>
      <c r="E448" s="104"/>
      <c r="F448" s="106">
        <v>200</v>
      </c>
      <c r="G448" s="335">
        <v>84083</v>
      </c>
      <c r="H448" s="335"/>
      <c r="I448" s="335">
        <f t="shared" si="279"/>
        <v>84083</v>
      </c>
      <c r="J448" s="335">
        <v>87448</v>
      </c>
      <c r="K448" s="266"/>
      <c r="L448" s="266">
        <f t="shared" si="280"/>
        <v>87448</v>
      </c>
    </row>
    <row r="449" spans="1:12" ht="31.5" x14ac:dyDescent="0.2">
      <c r="A449" s="107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IF(B449&gt;0,VLOOKUP(B449,КВСР!A205:B1370,2),IF(C449&gt;0,VLOOKUP(C449,КФСР!A205:B1717,2),IF(D449&gt;0,VLOOKUP(D449,Программа!A$1:B$5124,2),IF(F449&gt;0,VLOOKUP(F449,КВР!A$1:B$5001,2),IF(E449&gt;0,VLOOKUP(E449,Направление!A$1:B$4816,2))))))</f>
        <v>Социальное обеспечение и иные выплаты населению</v>
      </c>
      <c r="B449" s="108"/>
      <c r="C449" s="104"/>
      <c r="D449" s="105"/>
      <c r="E449" s="104"/>
      <c r="F449" s="106">
        <v>300</v>
      </c>
      <c r="G449" s="335">
        <v>6467937</v>
      </c>
      <c r="H449" s="335"/>
      <c r="I449" s="335">
        <f t="shared" si="279"/>
        <v>6467937</v>
      </c>
      <c r="J449" s="335">
        <v>6726733</v>
      </c>
      <c r="K449" s="266"/>
      <c r="L449" s="266">
        <f t="shared" si="280"/>
        <v>6726733</v>
      </c>
    </row>
    <row r="450" spans="1:12" ht="78.75" x14ac:dyDescent="0.2">
      <c r="A450" s="107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08"/>
      <c r="C450" s="104"/>
      <c r="D450" s="105"/>
      <c r="E450" s="104">
        <v>52400</v>
      </c>
      <c r="F450" s="106"/>
      <c r="G450" s="335">
        <v>0</v>
      </c>
      <c r="H450" s="335">
        <f t="shared" ref="H450:L450" si="315">H451</f>
        <v>0</v>
      </c>
      <c r="I450" s="335">
        <f t="shared" si="315"/>
        <v>0</v>
      </c>
      <c r="J450" s="335">
        <v>0</v>
      </c>
      <c r="K450" s="335">
        <f t="shared" si="315"/>
        <v>0</v>
      </c>
      <c r="L450" s="335">
        <f t="shared" si="315"/>
        <v>0</v>
      </c>
    </row>
    <row r="451" spans="1:12" ht="31.5" x14ac:dyDescent="0.2">
      <c r="A451" s="107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IF(B451&gt;0,VLOOKUP(B451,КВСР!A207:B1372,2),IF(C451&gt;0,VLOOKUP(C451,КФСР!A207:B1719,2),IF(D451&gt;0,VLOOKUP(D451,Программа!A$1:B$5124,2),IF(F451&gt;0,VLOOKUP(F451,КВР!A$1:B$5001,2),IF(E451&gt;0,VLOOKUP(E451,Направление!A$1:B$4816,2))))))</f>
        <v>Социальное обеспечение и иные выплаты населению</v>
      </c>
      <c r="B451" s="108"/>
      <c r="C451" s="104"/>
      <c r="D451" s="105"/>
      <c r="E451" s="104"/>
      <c r="F451" s="106">
        <v>300</v>
      </c>
      <c r="G451" s="335">
        <v>0</v>
      </c>
      <c r="H451" s="335"/>
      <c r="I451" s="335">
        <f>G451+H451</f>
        <v>0</v>
      </c>
      <c r="J451" s="335">
        <v>0</v>
      </c>
      <c r="K451" s="266"/>
      <c r="L451" s="266">
        <f>J451+K451</f>
        <v>0</v>
      </c>
    </row>
    <row r="452" spans="1:12" ht="47.25" x14ac:dyDescent="0.2">
      <c r="A452" s="107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IF(B452&gt;0,VLOOKUP(B452,КВСР!A206:B1371,2),IF(C452&gt;0,VLOOKUP(C452,КФСР!A206:B1718,2),IF(D452&gt;0,VLOOKUP(D452,Программа!A$1:B$5124,2),IF(F452&gt;0,VLOOKUP(F452,КВР!A$1:B$5001,2),IF(E452&gt;0,VLOOKUP(E452,Направление!A$1:B$4816,2))))))</f>
        <v>Оплата жилищно-коммунальных услуг отдельным категориям граждан за счет средств федерального бюджета</v>
      </c>
      <c r="B452" s="108"/>
      <c r="C452" s="104"/>
      <c r="D452" s="105"/>
      <c r="E452" s="104">
        <v>52500</v>
      </c>
      <c r="F452" s="106"/>
      <c r="G452" s="335">
        <v>40985534</v>
      </c>
      <c r="H452" s="335">
        <f t="shared" ref="H452:I452" si="316">SUM(H453:H454)</f>
        <v>0</v>
      </c>
      <c r="I452" s="335">
        <f t="shared" si="316"/>
        <v>40985534</v>
      </c>
      <c r="J452" s="335">
        <v>40985534</v>
      </c>
      <c r="K452" s="266">
        <f t="shared" ref="K452:L452" si="317">SUM(K453:K454)</f>
        <v>0</v>
      </c>
      <c r="L452" s="266">
        <f t="shared" si="317"/>
        <v>40985534</v>
      </c>
    </row>
    <row r="453" spans="1:12" ht="63" x14ac:dyDescent="0.2">
      <c r="A453" s="107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108"/>
      <c r="C453" s="104"/>
      <c r="D453" s="105"/>
      <c r="E453" s="104"/>
      <c r="F453" s="106">
        <v>200</v>
      </c>
      <c r="G453" s="335">
        <v>549200</v>
      </c>
      <c r="H453" s="335"/>
      <c r="I453" s="335">
        <f t="shared" si="279"/>
        <v>549200</v>
      </c>
      <c r="J453" s="335">
        <v>549200</v>
      </c>
      <c r="K453" s="266"/>
      <c r="L453" s="266">
        <f t="shared" si="280"/>
        <v>549200</v>
      </c>
    </row>
    <row r="454" spans="1:12" ht="31.5" x14ac:dyDescent="0.2">
      <c r="A454" s="107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IF(B454&gt;0,VLOOKUP(B454,КВСР!A208:B1373,2),IF(C454&gt;0,VLOOKUP(C454,КФСР!A208:B1720,2),IF(D454&gt;0,VLOOKUP(D454,Программа!A$1:B$5124,2),IF(F454&gt;0,VLOOKUP(F454,КВР!A$1:B$5001,2),IF(E454&gt;0,VLOOKUP(E454,Направление!A$1:B$4816,2))))))</f>
        <v>Социальное обеспечение и иные выплаты населению</v>
      </c>
      <c r="B454" s="108"/>
      <c r="C454" s="104"/>
      <c r="D454" s="105"/>
      <c r="E454" s="104"/>
      <c r="F454" s="106">
        <v>300</v>
      </c>
      <c r="G454" s="335">
        <v>40436334</v>
      </c>
      <c r="H454" s="335"/>
      <c r="I454" s="335">
        <f t="shared" si="279"/>
        <v>40436334</v>
      </c>
      <c r="J454" s="335">
        <v>40436334</v>
      </c>
      <c r="K454" s="266"/>
      <c r="L454" s="266">
        <f t="shared" si="280"/>
        <v>40436334</v>
      </c>
    </row>
    <row r="455" spans="1:12" ht="63" x14ac:dyDescent="0.2">
      <c r="A455" s="107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08"/>
      <c r="C455" s="104"/>
      <c r="D455" s="105"/>
      <c r="E455" s="104">
        <v>54620</v>
      </c>
      <c r="F455" s="106"/>
      <c r="G455" s="335">
        <v>0</v>
      </c>
      <c r="H455" s="335">
        <f t="shared" ref="H455" si="318">H456</f>
        <v>0</v>
      </c>
      <c r="I455" s="335">
        <f t="shared" si="279"/>
        <v>0</v>
      </c>
      <c r="J455" s="335">
        <v>0</v>
      </c>
      <c r="K455" s="266">
        <f t="shared" ref="K455" si="319">K456</f>
        <v>0</v>
      </c>
      <c r="L455" s="266">
        <f t="shared" si="280"/>
        <v>0</v>
      </c>
    </row>
    <row r="456" spans="1:12" ht="31.5" x14ac:dyDescent="0.2">
      <c r="A456" s="107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IF(B456&gt;0,VLOOKUP(B456,КВСР!A211:B1376,2),IF(C456&gt;0,VLOOKUP(C456,КФСР!A211:B1723,2),IF(D456&gt;0,VLOOKUP(D456,Программа!A$1:B$5124,2),IF(F456&gt;0,VLOOKUP(F456,КВР!A$1:B$5001,2),IF(E456&gt;0,VLOOKUP(E456,Направление!A$1:B$4816,2))))))</f>
        <v>Социальное обеспечение и иные выплаты населению</v>
      </c>
      <c r="B456" s="108"/>
      <c r="C456" s="104"/>
      <c r="D456" s="105"/>
      <c r="E456" s="104"/>
      <c r="F456" s="106">
        <v>300</v>
      </c>
      <c r="G456" s="335">
        <v>0</v>
      </c>
      <c r="H456" s="335"/>
      <c r="I456" s="335">
        <f t="shared" si="279"/>
        <v>0</v>
      </c>
      <c r="J456" s="335">
        <v>0</v>
      </c>
      <c r="K456" s="266"/>
      <c r="L456" s="266">
        <f t="shared" si="280"/>
        <v>0</v>
      </c>
    </row>
    <row r="457" spans="1:12" ht="63" x14ac:dyDescent="0.2">
      <c r="A457" s="107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08"/>
      <c r="C457" s="104"/>
      <c r="D457" s="105"/>
      <c r="E457" s="104">
        <v>70740</v>
      </c>
      <c r="F457" s="106"/>
      <c r="G457" s="335">
        <v>28658000</v>
      </c>
      <c r="H457" s="335">
        <f t="shared" ref="H457:I457" si="320">H458+H459</f>
        <v>0</v>
      </c>
      <c r="I457" s="335">
        <f t="shared" si="320"/>
        <v>28658000</v>
      </c>
      <c r="J457" s="335">
        <v>28658000</v>
      </c>
      <c r="K457" s="266">
        <f t="shared" ref="K457:L457" si="321">K458+K459</f>
        <v>0</v>
      </c>
      <c r="L457" s="266">
        <f t="shared" si="321"/>
        <v>28658000</v>
      </c>
    </row>
    <row r="458" spans="1:12" ht="63" x14ac:dyDescent="0.2">
      <c r="A458" s="107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IF(B458&gt;0,VLOOKUP(B458,КВСР!A200:B1365,2),IF(C458&gt;0,VLOOKUP(C458,КФСР!A200:B1712,2),IF(D458&gt;0,VLOOKUP(D458,Программа!A$1:B$5124,2),IF(F458&gt;0,VLOOKUP(F458,КВР!A$1:B$5001,2),IF(E458&gt;0,VLOOKUP(E458,Направление!A$1:B$4816,2))))))</f>
        <v xml:space="preserve">Закупка товаров, работ и услуг для обеспечения государственных (муниципальных) нужд
</v>
      </c>
      <c r="B458" s="108"/>
      <c r="C458" s="104"/>
      <c r="D458" s="105"/>
      <c r="E458" s="104"/>
      <c r="F458" s="106">
        <v>200</v>
      </c>
      <c r="G458" s="335">
        <v>365600</v>
      </c>
      <c r="H458" s="335"/>
      <c r="I458" s="335">
        <f t="shared" si="279"/>
        <v>365600</v>
      </c>
      <c r="J458" s="335">
        <v>365600</v>
      </c>
      <c r="K458" s="252"/>
      <c r="L458" s="266">
        <f t="shared" si="280"/>
        <v>365600</v>
      </c>
    </row>
    <row r="459" spans="1:12" ht="31.5" x14ac:dyDescent="0.2">
      <c r="A459" s="107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IF(B459&gt;0,VLOOKUP(B459,КВСР!A201:B1366,2),IF(C459&gt;0,VLOOKUP(C459,КФСР!A201:B1713,2),IF(D459&gt;0,VLOOKUP(D459,Программа!A$1:B$5124,2),IF(F459&gt;0,VLOOKUP(F459,КВР!A$1:B$5001,2),IF(E459&gt;0,VLOOKUP(E459,Направление!A$1:B$4816,2))))))</f>
        <v>Социальное обеспечение и иные выплаты населению</v>
      </c>
      <c r="B459" s="108"/>
      <c r="C459" s="104"/>
      <c r="D459" s="105"/>
      <c r="E459" s="104"/>
      <c r="F459" s="106">
        <v>300</v>
      </c>
      <c r="G459" s="335">
        <v>28292400</v>
      </c>
      <c r="H459" s="335"/>
      <c r="I459" s="335">
        <f t="shared" si="279"/>
        <v>28292400</v>
      </c>
      <c r="J459" s="335">
        <v>28292400</v>
      </c>
      <c r="K459" s="266"/>
      <c r="L459" s="266">
        <f t="shared" si="280"/>
        <v>28292400</v>
      </c>
    </row>
    <row r="460" spans="1:12" ht="78.75" x14ac:dyDescent="0.2">
      <c r="A460" s="107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08"/>
      <c r="C460" s="104"/>
      <c r="D460" s="105"/>
      <c r="E460" s="104">
        <v>70750</v>
      </c>
      <c r="F460" s="106"/>
      <c r="G460" s="335">
        <v>38653000</v>
      </c>
      <c r="H460" s="335">
        <f t="shared" ref="H460:I460" si="322">H462+H461</f>
        <v>0</v>
      </c>
      <c r="I460" s="335">
        <f t="shared" si="322"/>
        <v>38653000</v>
      </c>
      <c r="J460" s="335">
        <v>38653000</v>
      </c>
      <c r="K460" s="266">
        <f t="shared" ref="K460:L460" si="323">K462+K461</f>
        <v>0</v>
      </c>
      <c r="L460" s="266">
        <f t="shared" si="323"/>
        <v>38653000</v>
      </c>
    </row>
    <row r="461" spans="1:12" ht="63" x14ac:dyDescent="0.2">
      <c r="A461" s="107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IF(B461&gt;0,VLOOKUP(B461,КВСР!A200:B1365,2),IF(C461&gt;0,VLOOKUP(C461,КФСР!A200:B1712,2),IF(D461&gt;0,VLOOKUP(D461,Программа!A$1:B$5124,2),IF(F461&gt;0,VLOOKUP(F461,КВР!A$1:B$5001,2),IF(E461&gt;0,VLOOKUP(E461,Направление!A$1:B$4816,2))))))</f>
        <v xml:space="preserve">Закупка товаров, работ и услуг для обеспечения государственных (муниципальных) нужд
</v>
      </c>
      <c r="B461" s="108"/>
      <c r="C461" s="104"/>
      <c r="D461" s="105"/>
      <c r="E461" s="104"/>
      <c r="F461" s="106">
        <v>200</v>
      </c>
      <c r="G461" s="335">
        <v>587800</v>
      </c>
      <c r="H461" s="335"/>
      <c r="I461" s="335">
        <f t="shared" si="279"/>
        <v>587800</v>
      </c>
      <c r="J461" s="335">
        <v>587800</v>
      </c>
      <c r="K461" s="266"/>
      <c r="L461" s="266">
        <f t="shared" si="280"/>
        <v>587800</v>
      </c>
    </row>
    <row r="462" spans="1:12" ht="31.5" x14ac:dyDescent="0.2">
      <c r="A462" s="107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IF(B462&gt;0,VLOOKUP(B462,КВСР!A200:B1365,2),IF(C462&gt;0,VLOOKUP(C462,КФСР!A200:B1712,2),IF(D462&gt;0,VLOOKUP(D462,Программа!A$1:B$5124,2),IF(F462&gt;0,VLOOKUP(F462,КВР!A$1:B$5001,2),IF(E462&gt;0,VLOOKUP(E462,Направление!A$1:B$4816,2))))))</f>
        <v>Социальное обеспечение и иные выплаты населению</v>
      </c>
      <c r="B462" s="108"/>
      <c r="C462" s="104"/>
      <c r="D462" s="105"/>
      <c r="E462" s="104"/>
      <c r="F462" s="106">
        <v>300</v>
      </c>
      <c r="G462" s="335">
        <v>38065200</v>
      </c>
      <c r="H462" s="335"/>
      <c r="I462" s="335">
        <f t="shared" si="279"/>
        <v>38065200</v>
      </c>
      <c r="J462" s="335">
        <v>38065200</v>
      </c>
      <c r="K462" s="266"/>
      <c r="L462" s="266">
        <f t="shared" si="280"/>
        <v>38065200</v>
      </c>
    </row>
    <row r="463" spans="1:12" ht="110.25" x14ac:dyDescent="0.2">
      <c r="A463" s="107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08"/>
      <c r="C463" s="104"/>
      <c r="D463" s="105"/>
      <c r="E463" s="104">
        <v>70840</v>
      </c>
      <c r="F463" s="106"/>
      <c r="G463" s="335">
        <v>68101000</v>
      </c>
      <c r="H463" s="335">
        <f t="shared" ref="H463:I463" si="324">H464+H465</f>
        <v>0</v>
      </c>
      <c r="I463" s="335">
        <f t="shared" si="324"/>
        <v>68101000</v>
      </c>
      <c r="J463" s="335">
        <v>68101000</v>
      </c>
      <c r="K463" s="266">
        <f t="shared" ref="K463:L463" si="325">K464+K465</f>
        <v>0</v>
      </c>
      <c r="L463" s="266">
        <f t="shared" si="325"/>
        <v>68101000</v>
      </c>
    </row>
    <row r="464" spans="1:12" ht="63" x14ac:dyDescent="0.2">
      <c r="A464" s="107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IF(B464&gt;0,VLOOKUP(B464,КВСР!A202:B1367,2),IF(C464&gt;0,VLOOKUP(C464,КФСР!A202:B1714,2),IF(D464&gt;0,VLOOKUP(D464,Программа!A$1:B$5124,2),IF(F464&gt;0,VLOOKUP(F464,КВР!A$1:B$5001,2),IF(E464&gt;0,VLOOKUP(E464,Направление!A$1:B$4816,2))))))</f>
        <v xml:space="preserve">Закупка товаров, работ и услуг для обеспечения государственных (муниципальных) нужд
</v>
      </c>
      <c r="B464" s="108"/>
      <c r="C464" s="104"/>
      <c r="D464" s="105"/>
      <c r="E464" s="104"/>
      <c r="F464" s="106">
        <v>200</v>
      </c>
      <c r="G464" s="335">
        <v>1028000</v>
      </c>
      <c r="H464" s="335"/>
      <c r="I464" s="335">
        <f t="shared" si="279"/>
        <v>1028000</v>
      </c>
      <c r="J464" s="335">
        <v>1028000</v>
      </c>
      <c r="K464" s="266"/>
      <c r="L464" s="266">
        <f t="shared" si="280"/>
        <v>1028000</v>
      </c>
    </row>
    <row r="465" spans="1:12" ht="31.5" x14ac:dyDescent="0.2">
      <c r="A465" s="107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IF(B465&gt;0,VLOOKUP(B465,КВСР!A203:B1368,2),IF(C465&gt;0,VLOOKUP(C465,КФСР!A203:B1715,2),IF(D465&gt;0,VLOOKUP(D465,Программа!A$1:B$5124,2),IF(F465&gt;0,VLOOKUP(F465,КВР!A$1:B$5001,2),IF(E465&gt;0,VLOOKUP(E465,Направление!A$1:B$4816,2))))))</f>
        <v>Социальное обеспечение и иные выплаты населению</v>
      </c>
      <c r="B465" s="108"/>
      <c r="C465" s="104"/>
      <c r="D465" s="105"/>
      <c r="E465" s="104"/>
      <c r="F465" s="106">
        <v>300</v>
      </c>
      <c r="G465" s="335">
        <v>67073000</v>
      </c>
      <c r="H465" s="335"/>
      <c r="I465" s="335">
        <f t="shared" si="279"/>
        <v>67073000</v>
      </c>
      <c r="J465" s="335">
        <v>67073000</v>
      </c>
      <c r="K465" s="266"/>
      <c r="L465" s="266">
        <f t="shared" si="280"/>
        <v>67073000</v>
      </c>
    </row>
    <row r="466" spans="1:12" ht="31.5" x14ac:dyDescent="0.2">
      <c r="A466" s="107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IF(B466&gt;0,VLOOKUP(B466,КВСР!A204:B1369,2),IF(C466&gt;0,VLOOKUP(C466,КФСР!A204:B1716,2),IF(D466&gt;0,VLOOKUP(D466,Программа!A$1:B$5124,2),IF(F466&gt;0,VLOOKUP(F466,КВР!A$1:B$5001,2),IF(E466&gt;0,VLOOKUP(E466,Направление!A$1:B$4816,2))))))</f>
        <v>Денежные выплаты за счет средств областного бюджета</v>
      </c>
      <c r="B466" s="108"/>
      <c r="C466" s="104"/>
      <c r="D466" s="105"/>
      <c r="E466" s="104">
        <v>70860</v>
      </c>
      <c r="F466" s="106"/>
      <c r="G466" s="335">
        <v>20517823</v>
      </c>
      <c r="H466" s="335">
        <f t="shared" ref="H466:I466" si="326">H467+H468</f>
        <v>0</v>
      </c>
      <c r="I466" s="335">
        <f t="shared" si="326"/>
        <v>20517823</v>
      </c>
      <c r="J466" s="335">
        <v>20517823</v>
      </c>
      <c r="K466" s="266">
        <f t="shared" ref="K466:L466" si="327">K467+K468</f>
        <v>0</v>
      </c>
      <c r="L466" s="266">
        <f t="shared" si="327"/>
        <v>20517823</v>
      </c>
    </row>
    <row r="467" spans="1:12" ht="63" x14ac:dyDescent="0.2">
      <c r="A467" s="107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IF(B467&gt;0,VLOOKUP(B467,КВСР!A205:B1370,2),IF(C467&gt;0,VLOOKUP(C467,КФСР!A205:B1717,2),IF(D467&gt;0,VLOOKUP(D467,Программа!A$1:B$5124,2),IF(F467&gt;0,VLOOKUP(F467,КВР!A$1:B$5001,2),IF(E467&gt;0,VLOOKUP(E467,Направление!A$1:B$4816,2))))))</f>
        <v xml:space="preserve">Закупка товаров, работ и услуг для обеспечения государственных (муниципальных) нужд
</v>
      </c>
      <c r="B467" s="108"/>
      <c r="C467" s="104"/>
      <c r="D467" s="105"/>
      <c r="E467" s="104"/>
      <c r="F467" s="106">
        <v>200</v>
      </c>
      <c r="G467" s="335">
        <v>264400</v>
      </c>
      <c r="H467" s="335"/>
      <c r="I467" s="335">
        <f t="shared" si="279"/>
        <v>264400</v>
      </c>
      <c r="J467" s="335">
        <v>264400</v>
      </c>
      <c r="K467" s="266"/>
      <c r="L467" s="266">
        <f t="shared" si="280"/>
        <v>264400</v>
      </c>
    </row>
    <row r="468" spans="1:12" ht="31.5" x14ac:dyDescent="0.2">
      <c r="A468" s="107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IF(B468&gt;0,VLOOKUP(B468,КВСР!A206:B1371,2),IF(C468&gt;0,VLOOKUP(C468,КФСР!A206:B1718,2),IF(D468&gt;0,VLOOKUP(D468,Программа!A$1:B$5124,2),IF(F468&gt;0,VLOOKUP(F468,КВР!A$1:B$5001,2),IF(E468&gt;0,VLOOKUP(E468,Направление!A$1:B$4816,2))))))</f>
        <v>Социальное обеспечение и иные выплаты населению</v>
      </c>
      <c r="B468" s="108"/>
      <c r="C468" s="104"/>
      <c r="D468" s="105"/>
      <c r="E468" s="104"/>
      <c r="F468" s="106">
        <v>300</v>
      </c>
      <c r="G468" s="335">
        <v>20253423</v>
      </c>
      <c r="H468" s="335"/>
      <c r="I468" s="335">
        <f t="shared" si="279"/>
        <v>20253423</v>
      </c>
      <c r="J468" s="335">
        <v>20253423</v>
      </c>
      <c r="K468" s="266"/>
      <c r="L468" s="266">
        <f t="shared" si="280"/>
        <v>20253423</v>
      </c>
    </row>
    <row r="469" spans="1:12" ht="47.25" x14ac:dyDescent="0.2">
      <c r="A469" s="107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IF(B469&gt;0,VLOOKUP(B469,КВСР!A207:B1372,2),IF(C469&gt;0,VLOOKUP(C469,КФСР!A207:B1719,2),IF(D469&gt;0,VLOOKUP(D469,Программа!A$1:B$5124,2),IF(F469&gt;0,VLOOKUP(F469,КВР!A$1:B$5001,2),IF(E469&gt;0,VLOOKUP(E469,Направление!A$1:B$4816,2))))))</f>
        <v>Оказание социальной помощи отдельным категориям граждан за счет средств областного бюджета</v>
      </c>
      <c r="B469" s="108"/>
      <c r="C469" s="104"/>
      <c r="D469" s="105"/>
      <c r="E469" s="104">
        <v>70890</v>
      </c>
      <c r="F469" s="106"/>
      <c r="G469" s="335">
        <v>0</v>
      </c>
      <c r="H469" s="335">
        <f t="shared" ref="H469" si="328">H470+H471</f>
        <v>0</v>
      </c>
      <c r="I469" s="335">
        <f t="shared" si="279"/>
        <v>0</v>
      </c>
      <c r="J469" s="335">
        <v>0</v>
      </c>
      <c r="K469" s="266">
        <f t="shared" ref="K469" si="329">K470+K471</f>
        <v>0</v>
      </c>
      <c r="L469" s="266">
        <f t="shared" si="280"/>
        <v>0</v>
      </c>
    </row>
    <row r="470" spans="1:12" ht="63" x14ac:dyDescent="0.2">
      <c r="A470" s="107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IF(B470&gt;0,VLOOKUP(B470,КВСР!A208:B1373,2),IF(C470&gt;0,VLOOKUP(C470,КФСР!A208:B1720,2),IF(D470&gt;0,VLOOKUP(D470,Программа!A$1:B$5124,2),IF(F470&gt;0,VLOOKUP(F470,КВР!A$1:B$5001,2),IF(E470&gt;0,VLOOKUP(E470,Направление!A$1:B$4816,2))))))</f>
        <v xml:space="preserve">Закупка товаров, работ и услуг для обеспечения государственных (муниципальных) нужд
</v>
      </c>
      <c r="B470" s="108"/>
      <c r="C470" s="104"/>
      <c r="D470" s="105"/>
      <c r="E470" s="104"/>
      <c r="F470" s="106">
        <v>200</v>
      </c>
      <c r="G470" s="335">
        <v>0</v>
      </c>
      <c r="H470" s="335"/>
      <c r="I470" s="335">
        <f t="shared" si="279"/>
        <v>0</v>
      </c>
      <c r="J470" s="335">
        <v>0</v>
      </c>
      <c r="K470" s="266"/>
      <c r="L470" s="266">
        <f t="shared" si="280"/>
        <v>0</v>
      </c>
    </row>
    <row r="471" spans="1:12" ht="31.5" x14ac:dyDescent="0.2">
      <c r="A471" s="107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IF(B471&gt;0,VLOOKUP(B471,КВСР!A209:B1374,2),IF(C471&gt;0,VLOOKUP(C471,КФСР!A209:B1721,2),IF(D471&gt;0,VLOOKUP(D471,Программа!A$1:B$5124,2),IF(F471&gt;0,VLOOKUP(F471,КВР!A$1:B$5001,2),IF(E471&gt;0,VLOOKUP(E471,Направление!A$1:B$4816,2))))))</f>
        <v>Социальное обеспечение и иные выплаты населению</v>
      </c>
      <c r="B471" s="108"/>
      <c r="C471" s="104"/>
      <c r="D471" s="105"/>
      <c r="E471" s="104"/>
      <c r="F471" s="106">
        <v>300</v>
      </c>
      <c r="G471" s="335">
        <v>0</v>
      </c>
      <c r="H471" s="335"/>
      <c r="I471" s="335">
        <f t="shared" si="279"/>
        <v>0</v>
      </c>
      <c r="J471" s="335">
        <v>0</v>
      </c>
      <c r="K471" s="266"/>
      <c r="L471" s="266">
        <f t="shared" si="280"/>
        <v>0</v>
      </c>
    </row>
    <row r="472" spans="1:12" ht="78.75" x14ac:dyDescent="0.2">
      <c r="A472" s="107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08"/>
      <c r="C472" s="104"/>
      <c r="D472" s="105"/>
      <c r="E472" s="104">
        <v>72550</v>
      </c>
      <c r="F472" s="106"/>
      <c r="G472" s="335">
        <v>81572</v>
      </c>
      <c r="H472" s="335">
        <f t="shared" ref="H472:L472" si="330">H473</f>
        <v>0</v>
      </c>
      <c r="I472" s="335">
        <f t="shared" si="330"/>
        <v>81572</v>
      </c>
      <c r="J472" s="335">
        <v>84833</v>
      </c>
      <c r="K472" s="266">
        <f t="shared" si="330"/>
        <v>0</v>
      </c>
      <c r="L472" s="266">
        <f t="shared" si="330"/>
        <v>84833</v>
      </c>
    </row>
    <row r="473" spans="1:12" ht="31.5" x14ac:dyDescent="0.2">
      <c r="A473" s="107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IF(B473&gt;0,VLOOKUP(B473,КВСР!A211:B1376,2),IF(C473&gt;0,VLOOKUP(C473,КФСР!A211:B1723,2),IF(D473&gt;0,VLOOKUP(D473,Программа!A$1:B$5124,2),IF(F473&gt;0,VLOOKUP(F473,КВР!A$1:B$5001,2),IF(E473&gt;0,VLOOKUP(E473,Направление!A$1:B$4816,2))))))</f>
        <v>Социальное обеспечение и иные выплаты населению</v>
      </c>
      <c r="B473" s="108"/>
      <c r="C473" s="104"/>
      <c r="D473" s="105"/>
      <c r="E473" s="104"/>
      <c r="F473" s="572">
        <v>300</v>
      </c>
      <c r="G473" s="335">
        <v>81572</v>
      </c>
      <c r="H473" s="335"/>
      <c r="I473" s="335">
        <f>G473+H473</f>
        <v>81572</v>
      </c>
      <c r="J473" s="335">
        <v>84833</v>
      </c>
      <c r="K473" s="266"/>
      <c r="L473" s="266">
        <f>J473+K473</f>
        <v>84833</v>
      </c>
    </row>
    <row r="474" spans="1:12" ht="78.75" x14ac:dyDescent="0.2">
      <c r="A474" s="107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08"/>
      <c r="C474" s="104"/>
      <c r="D474" s="105"/>
      <c r="E474" s="104">
        <v>72560</v>
      </c>
      <c r="F474" s="106"/>
      <c r="G474" s="335">
        <v>2577467</v>
      </c>
      <c r="H474" s="335">
        <f t="shared" ref="H474:L474" si="331">H475</f>
        <v>0</v>
      </c>
      <c r="I474" s="335">
        <f t="shared" si="331"/>
        <v>2577467</v>
      </c>
      <c r="J474" s="335">
        <v>2680620</v>
      </c>
      <c r="K474" s="335">
        <f t="shared" si="331"/>
        <v>0</v>
      </c>
      <c r="L474" s="335">
        <f t="shared" si="331"/>
        <v>2680620</v>
      </c>
    </row>
    <row r="475" spans="1:12" ht="15.75" x14ac:dyDescent="0.2">
      <c r="A475" s="107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108"/>
      <c r="C475" s="104"/>
      <c r="D475" s="105"/>
      <c r="E475" s="104"/>
      <c r="F475" s="106">
        <v>800</v>
      </c>
      <c r="G475" s="335">
        <v>2577467</v>
      </c>
      <c r="H475" s="335"/>
      <c r="I475" s="335">
        <f t="shared" ref="I475" si="332">G475+H475</f>
        <v>2577467</v>
      </c>
      <c r="J475" s="335">
        <v>2680620</v>
      </c>
      <c r="K475" s="266"/>
      <c r="L475" s="266">
        <f t="shared" ref="L475" si="333">J475+K475</f>
        <v>2680620</v>
      </c>
    </row>
    <row r="476" spans="1:12" ht="47.25" x14ac:dyDescent="0.2">
      <c r="A476" s="107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IF(B476&gt;0,VLOOKUP(B476,КВСР!A210:B1375,2),IF(C476&gt;0,VLOOKUP(C476,КФСР!A210:B1722,2),IF(D476&gt;0,VLOOKUP(D476,Программа!A$1:B$5124,2),IF(F476&gt;0,VLOOKUP(F476,КВР!A$1:B$5001,2),IF(E476&gt;0,VLOOKUP(E476,Направление!A$1:B$4816,2))))))</f>
        <v>Расходы на социальную поддержку отдельных категорий граждан в части ежемесячного пособия на ребенка</v>
      </c>
      <c r="B476" s="108"/>
      <c r="C476" s="104"/>
      <c r="D476" s="105"/>
      <c r="E476" s="104">
        <v>73040</v>
      </c>
      <c r="F476" s="106"/>
      <c r="G476" s="335">
        <v>0</v>
      </c>
      <c r="H476" s="335">
        <f>H477+H478</f>
        <v>0</v>
      </c>
      <c r="I476" s="335">
        <f t="shared" si="279"/>
        <v>0</v>
      </c>
      <c r="J476" s="335">
        <v>0</v>
      </c>
      <c r="K476" s="266">
        <f>K477+K478</f>
        <v>0</v>
      </c>
      <c r="L476" s="266">
        <f t="shared" si="280"/>
        <v>0</v>
      </c>
    </row>
    <row r="477" spans="1:12" ht="63" x14ac:dyDescent="0.2">
      <c r="A477" s="107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08"/>
      <c r="C477" s="104"/>
      <c r="D477" s="105"/>
      <c r="E477" s="104"/>
      <c r="F477" s="106">
        <v>200</v>
      </c>
      <c r="G477" s="335">
        <v>0</v>
      </c>
      <c r="H477" s="335"/>
      <c r="I477" s="335">
        <f t="shared" si="279"/>
        <v>0</v>
      </c>
      <c r="J477" s="335">
        <v>0</v>
      </c>
      <c r="K477" s="266"/>
      <c r="L477" s="266">
        <f t="shared" si="280"/>
        <v>0</v>
      </c>
    </row>
    <row r="478" spans="1:12" ht="31.5" x14ac:dyDescent="0.2">
      <c r="A478" s="107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IF(B478&gt;0,VLOOKUP(B478,КВСР!A204:B1369,2),IF(C478&gt;0,VLOOKUP(C478,КФСР!A204:B1716,2),IF(D478&gt;0,VLOOKUP(D478,Программа!A$1:B$5124,2),IF(F478&gt;0,VLOOKUP(F478,КВР!A$1:B$5001,2),IF(E478&gt;0,VLOOKUP(E478,Направление!A$1:B$4816,2))))))</f>
        <v>Социальное обеспечение и иные выплаты населению</v>
      </c>
      <c r="B478" s="108"/>
      <c r="C478" s="104"/>
      <c r="D478" s="105"/>
      <c r="E478" s="104"/>
      <c r="F478" s="106">
        <v>300</v>
      </c>
      <c r="G478" s="335">
        <v>0</v>
      </c>
      <c r="H478" s="335"/>
      <c r="I478" s="335">
        <f t="shared" si="279"/>
        <v>0</v>
      </c>
      <c r="J478" s="335">
        <v>0</v>
      </c>
      <c r="K478" s="266"/>
      <c r="L478" s="266">
        <f t="shared" si="280"/>
        <v>0</v>
      </c>
    </row>
    <row r="479" spans="1:12" ht="78.75" x14ac:dyDescent="0.2">
      <c r="A479" s="107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08"/>
      <c r="C479" s="104"/>
      <c r="D479" s="105"/>
      <c r="E479" s="104">
        <v>75490</v>
      </c>
      <c r="F479" s="106"/>
      <c r="G479" s="335">
        <v>30317</v>
      </c>
      <c r="H479" s="335">
        <f t="shared" ref="H479:K479" si="334">H480</f>
        <v>0</v>
      </c>
      <c r="I479" s="335">
        <f t="shared" si="334"/>
        <v>30317</v>
      </c>
      <c r="J479" s="335">
        <v>30317</v>
      </c>
      <c r="K479" s="335">
        <f t="shared" si="334"/>
        <v>0</v>
      </c>
      <c r="L479" s="335">
        <f>L480</f>
        <v>30317</v>
      </c>
    </row>
    <row r="480" spans="1:12" ht="63" x14ac:dyDescent="0.2">
      <c r="A480" s="107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08"/>
      <c r="C480" s="104"/>
      <c r="D480" s="105"/>
      <c r="E480" s="104"/>
      <c r="F480" s="106">
        <v>200</v>
      </c>
      <c r="G480" s="335">
        <v>30317</v>
      </c>
      <c r="H480" s="335"/>
      <c r="I480" s="335">
        <f>SUM(G480:H480)</f>
        <v>30317</v>
      </c>
      <c r="J480" s="335">
        <v>30317</v>
      </c>
      <c r="K480" s="252"/>
      <c r="L480" s="266">
        <f>SUM(J480:K480)</f>
        <v>30317</v>
      </c>
    </row>
    <row r="481" spans="1:12" ht="63" x14ac:dyDescent="0.2">
      <c r="A481" s="107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08"/>
      <c r="C481" s="104"/>
      <c r="D481" s="105"/>
      <c r="E481" s="104" t="s">
        <v>1146</v>
      </c>
      <c r="F481" s="106"/>
      <c r="G481" s="335">
        <v>1759206</v>
      </c>
      <c r="H481" s="335">
        <f t="shared" ref="H481:L481" si="335">H482</f>
        <v>0</v>
      </c>
      <c r="I481" s="335">
        <f t="shared" si="335"/>
        <v>1759206</v>
      </c>
      <c r="J481" s="335">
        <v>1740718</v>
      </c>
      <c r="K481" s="335">
        <f t="shared" si="335"/>
        <v>0</v>
      </c>
      <c r="L481" s="335">
        <f t="shared" si="335"/>
        <v>1740718</v>
      </c>
    </row>
    <row r="482" spans="1:12" ht="31.5" x14ac:dyDescent="0.2">
      <c r="A482" s="107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IF(B482&gt;0,VLOOKUP(B482,КВСР!A210:B1375,2),IF(C482&gt;0,VLOOKUP(C482,КФСР!A210:B1722,2),IF(D482&gt;0,VLOOKUP(D482,Программа!A$1:B$5124,2),IF(F482&gt;0,VLOOKUP(F482,КВР!A$1:B$5001,2),IF(E482&gt;0,VLOOKUP(E482,Направление!A$1:B$4816,2))))))</f>
        <v>Социальное обеспечение и иные выплаты населению</v>
      </c>
      <c r="B482" s="108"/>
      <c r="C482" s="104"/>
      <c r="D482" s="105"/>
      <c r="E482" s="104"/>
      <c r="F482" s="106">
        <v>300</v>
      </c>
      <c r="G482" s="335">
        <v>1759206</v>
      </c>
      <c r="H482" s="335"/>
      <c r="I482" s="335">
        <f>SUM(G482:H482)</f>
        <v>1759206</v>
      </c>
      <c r="J482" s="335">
        <v>1740718</v>
      </c>
      <c r="K482" s="266"/>
      <c r="L482" s="266">
        <f>SUM(J482:K482)</f>
        <v>1740718</v>
      </c>
    </row>
    <row r="483" spans="1:12" ht="63" x14ac:dyDescent="0.2">
      <c r="A483" s="107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483" s="108"/>
      <c r="C483" s="104"/>
      <c r="D483" s="105" t="s">
        <v>466</v>
      </c>
      <c r="E483" s="104"/>
      <c r="F483" s="106"/>
      <c r="G483" s="335">
        <v>20127906</v>
      </c>
      <c r="H483" s="335">
        <f>H484+H487+H490+H492</f>
        <v>0</v>
      </c>
      <c r="I483" s="335">
        <f t="shared" ref="I483:L483" si="336">I484+I487+I490+I492</f>
        <v>20127906</v>
      </c>
      <c r="J483" s="335">
        <v>20127906</v>
      </c>
      <c r="K483" s="335">
        <f t="shared" si="336"/>
        <v>0</v>
      </c>
      <c r="L483" s="335">
        <f t="shared" si="336"/>
        <v>20127906</v>
      </c>
    </row>
    <row r="484" spans="1:12" ht="47.25" x14ac:dyDescent="0.2">
      <c r="A484" s="107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IF(B484&gt;0,VLOOKUP(B484,КВСР!A206:B1371,2),IF(C484&gt;0,VLOOKUP(C484,КФСР!A206:B1718,2),IF(D484&gt;0,VLOOKUP(D484,Программа!A$1:B$5124,2),IF(F484&gt;0,VLOOKUP(F484,КВР!A$1:B$5001,2),IF(E484&gt;0,VLOOKUP(E484,Направление!A$1:B$4816,2))))))</f>
        <v>Организация перевозок больных, нуждающихся в амбулаторном гемодиализе</v>
      </c>
      <c r="B484" s="108"/>
      <c r="C484" s="104"/>
      <c r="D484" s="105"/>
      <c r="E484" s="104">
        <v>16210</v>
      </c>
      <c r="F484" s="106"/>
      <c r="G484" s="335">
        <v>241000</v>
      </c>
      <c r="H484" s="335">
        <f t="shared" ref="H484" si="337">H485+H486</f>
        <v>0</v>
      </c>
      <c r="I484" s="335">
        <f t="shared" si="279"/>
        <v>241000</v>
      </c>
      <c r="J484" s="335">
        <v>241000</v>
      </c>
      <c r="K484" s="266">
        <f t="shared" ref="K484" si="338">K485+K486</f>
        <v>0</v>
      </c>
      <c r="L484" s="266">
        <f t="shared" si="280"/>
        <v>241000</v>
      </c>
    </row>
    <row r="485" spans="1:12" ht="31.5" x14ac:dyDescent="0.2">
      <c r="A485" s="107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IF(B485&gt;0,VLOOKUP(B485,КВСР!A207:B1372,2),IF(C485&gt;0,VLOOKUP(C485,КФСР!A207:B1719,2),IF(D485&gt;0,VLOOKUP(D485,Программа!A$1:B$5124,2),IF(F485&gt;0,VLOOKUP(F485,КВР!A$1:B$5001,2),IF(E485&gt;0,VLOOKUP(E485,Направление!A$1:B$4816,2))))))</f>
        <v>Социальное обеспечение и иные выплаты населению</v>
      </c>
      <c r="B485" s="108"/>
      <c r="C485" s="104"/>
      <c r="D485" s="105"/>
      <c r="E485" s="104"/>
      <c r="F485" s="106">
        <v>300</v>
      </c>
      <c r="G485" s="335">
        <v>0</v>
      </c>
      <c r="H485" s="335"/>
      <c r="I485" s="335">
        <f t="shared" si="279"/>
        <v>0</v>
      </c>
      <c r="J485" s="335">
        <v>0</v>
      </c>
      <c r="K485" s="266"/>
      <c r="L485" s="266">
        <f t="shared" si="280"/>
        <v>0</v>
      </c>
    </row>
    <row r="486" spans="1:12" ht="31.5" x14ac:dyDescent="0.2">
      <c r="A486" s="107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IF(B486&gt;0,VLOOKUP(B486,КВСР!A208:B1373,2),IF(C486&gt;0,VLOOKUP(C486,КФСР!A208:B1720,2),IF(D486&gt;0,VLOOKUP(D486,Программа!A$1:B$5124,2),IF(F486&gt;0,VLOOKUP(F486,КВР!A$1:B$5001,2),IF(E486&gt;0,VLOOKUP(E486,Направление!A$1:B$4816,2))))))</f>
        <v>Социальное обеспечение и иные выплаты населению</v>
      </c>
      <c r="B486" s="108"/>
      <c r="C486" s="104"/>
      <c r="D486" s="105"/>
      <c r="E486" s="104"/>
      <c r="F486" s="106">
        <v>300</v>
      </c>
      <c r="G486" s="335">
        <v>241000</v>
      </c>
      <c r="H486" s="335"/>
      <c r="I486" s="335">
        <f t="shared" si="279"/>
        <v>241000</v>
      </c>
      <c r="J486" s="335">
        <v>241000</v>
      </c>
      <c r="K486" s="266"/>
      <c r="L486" s="266">
        <f t="shared" si="280"/>
        <v>241000</v>
      </c>
    </row>
    <row r="487" spans="1:12" ht="47.25" x14ac:dyDescent="0.2">
      <c r="A487" s="107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IF(B487&gt;0,VLOOKUP(B487,КВСР!A209:B1374,2),IF(C487&gt;0,VLOOKUP(C487,КФСР!A209:B1721,2),IF(D487&gt;0,VLOOKUP(D487,Программа!A$1:B$5124,2),IF(F487&gt;0,VLOOKUP(F487,КВР!A$1:B$5001,2),IF(E487&gt;0,VLOOKUP(E487,Направление!A$1:B$4816,2))))))</f>
        <v>Оказание социальной помощи отдельным категориям граждан за счет средств областного бюджета</v>
      </c>
      <c r="B487" s="108"/>
      <c r="C487" s="104"/>
      <c r="D487" s="105"/>
      <c r="E487" s="104">
        <v>70890</v>
      </c>
      <c r="F487" s="106"/>
      <c r="G487" s="335">
        <v>2494000</v>
      </c>
      <c r="H487" s="335">
        <f t="shared" ref="H487:I487" si="339">H488+H489</f>
        <v>0</v>
      </c>
      <c r="I487" s="335">
        <f t="shared" si="339"/>
        <v>2494000</v>
      </c>
      <c r="J487" s="335">
        <v>2494000</v>
      </c>
      <c r="K487" s="266">
        <f t="shared" ref="K487:L487" si="340">K488+K489</f>
        <v>0</v>
      </c>
      <c r="L487" s="266">
        <f t="shared" si="340"/>
        <v>2494000</v>
      </c>
    </row>
    <row r="488" spans="1:12" ht="63" x14ac:dyDescent="0.2">
      <c r="A488" s="107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108"/>
      <c r="C488" s="104"/>
      <c r="D488" s="105"/>
      <c r="E488" s="104"/>
      <c r="F488" s="106">
        <v>200</v>
      </c>
      <c r="G488" s="335">
        <v>9200</v>
      </c>
      <c r="H488" s="335"/>
      <c r="I488" s="335">
        <f t="shared" si="279"/>
        <v>9200</v>
      </c>
      <c r="J488" s="335">
        <v>9200</v>
      </c>
      <c r="K488" s="335"/>
      <c r="L488" s="266">
        <f t="shared" si="280"/>
        <v>9200</v>
      </c>
    </row>
    <row r="489" spans="1:12" ht="31.5" x14ac:dyDescent="0.2">
      <c r="A489" s="107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IF(B489&gt;0,VLOOKUP(B489,КВСР!A211:B1376,2),IF(C489&gt;0,VLOOKUP(C489,КФСР!A211:B1723,2),IF(D489&gt;0,VLOOKUP(D489,Программа!A$1:B$5124,2),IF(F489&gt;0,VLOOKUP(F489,КВР!A$1:B$5001,2),IF(E489&gt;0,VLOOKUP(E489,Направление!A$1:B$4816,2))))))</f>
        <v>Социальное обеспечение и иные выплаты населению</v>
      </c>
      <c r="B489" s="108"/>
      <c r="C489" s="104"/>
      <c r="D489" s="105"/>
      <c r="E489" s="104"/>
      <c r="F489" s="106">
        <v>300</v>
      </c>
      <c r="G489" s="335">
        <v>2484800</v>
      </c>
      <c r="H489" s="335"/>
      <c r="I489" s="335">
        <f t="shared" si="279"/>
        <v>2484800</v>
      </c>
      <c r="J489" s="335">
        <v>2484800</v>
      </c>
      <c r="K489" s="266"/>
      <c r="L489" s="266">
        <f t="shared" si="280"/>
        <v>2484800</v>
      </c>
    </row>
    <row r="490" spans="1:12" ht="63" x14ac:dyDescent="0.2">
      <c r="A490" s="107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08"/>
      <c r="C490" s="104"/>
      <c r="D490" s="105"/>
      <c r="E490" s="104">
        <v>75520</v>
      </c>
      <c r="F490" s="106"/>
      <c r="G490" s="335">
        <v>257038</v>
      </c>
      <c r="H490" s="335">
        <f t="shared" ref="H490:L490" si="341">H491</f>
        <v>0</v>
      </c>
      <c r="I490" s="335">
        <f t="shared" si="341"/>
        <v>257038</v>
      </c>
      <c r="J490" s="335">
        <v>257038</v>
      </c>
      <c r="K490" s="335">
        <f t="shared" si="341"/>
        <v>0</v>
      </c>
      <c r="L490" s="335">
        <f t="shared" si="341"/>
        <v>257038</v>
      </c>
    </row>
    <row r="491" spans="1:12" ht="63" x14ac:dyDescent="0.2">
      <c r="A491" s="107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08"/>
      <c r="C491" s="104"/>
      <c r="D491" s="105"/>
      <c r="E491" s="104"/>
      <c r="F491" s="106">
        <v>200</v>
      </c>
      <c r="G491" s="335">
        <v>257038</v>
      </c>
      <c r="H491" s="335"/>
      <c r="I491" s="335">
        <f>G491+H491</f>
        <v>257038</v>
      </c>
      <c r="J491" s="335">
        <v>257038</v>
      </c>
      <c r="K491" s="266"/>
      <c r="L491" s="266">
        <f>J491+K491</f>
        <v>257038</v>
      </c>
    </row>
    <row r="492" spans="1:12" ht="47.25" x14ac:dyDescent="0.2">
      <c r="A492" s="107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492" s="108"/>
      <c r="C492" s="104"/>
      <c r="D492" s="105"/>
      <c r="E492" s="104" t="s">
        <v>1532</v>
      </c>
      <c r="F492" s="106"/>
      <c r="G492" s="335">
        <v>17135868</v>
      </c>
      <c r="H492" s="335">
        <f t="shared" ref="H492:L492" si="342">H493</f>
        <v>0</v>
      </c>
      <c r="I492" s="335">
        <f t="shared" si="342"/>
        <v>17135868</v>
      </c>
      <c r="J492" s="335">
        <v>17135868</v>
      </c>
      <c r="K492" s="335">
        <f t="shared" si="342"/>
        <v>0</v>
      </c>
      <c r="L492" s="335">
        <f t="shared" si="342"/>
        <v>17135868</v>
      </c>
    </row>
    <row r="493" spans="1:12" ht="31.5" x14ac:dyDescent="0.2">
      <c r="A493" s="107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IF(B493&gt;0,VLOOKUP(B493,КВСР!A215:B1380,2),IF(C493&gt;0,VLOOKUP(C493,КФСР!A215:B1727,2),IF(D493&gt;0,VLOOKUP(D493,Программа!A$1:B$5124,2),IF(F493&gt;0,VLOOKUP(F493,КВР!A$1:B$5001,2),IF(E493&gt;0,VLOOKUP(E493,Направление!A$1:B$4816,2))))))</f>
        <v>Социальное обеспечение и иные выплаты населению</v>
      </c>
      <c r="B493" s="108"/>
      <c r="C493" s="104"/>
      <c r="D493" s="105"/>
      <c r="E493" s="104"/>
      <c r="F493" s="106">
        <v>300</v>
      </c>
      <c r="G493" s="335">
        <v>17135868</v>
      </c>
      <c r="H493" s="335"/>
      <c r="I493" s="335">
        <f t="shared" ref="I493" si="343">G493+H493</f>
        <v>17135868</v>
      </c>
      <c r="J493" s="335">
        <v>17135868</v>
      </c>
      <c r="K493" s="266"/>
      <c r="L493" s="266">
        <f t="shared" ref="L493" si="344">J493+K493</f>
        <v>17135868</v>
      </c>
    </row>
    <row r="494" spans="1:12" ht="15.75" x14ac:dyDescent="0.2">
      <c r="A494" s="107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IF(B494&gt;0,VLOOKUP(B494,КВСР!A209:B1374,2),IF(C494&gt;0,VLOOKUP(C494,КФСР!A209:B1721,2),IF(D494&gt;0,VLOOKUP(D494,Программа!A$1:B$5124,2),IF(F494&gt;0,VLOOKUP(F494,КВР!A$1:B$5001,2),IF(E494&gt;0,VLOOKUP(E494,Направление!A$1:B$4816,2))))))</f>
        <v>Охрана семьи и детства</v>
      </c>
      <c r="B494" s="108"/>
      <c r="C494" s="104">
        <v>1004</v>
      </c>
      <c r="D494" s="105"/>
      <c r="E494" s="104"/>
      <c r="F494" s="106"/>
      <c r="G494" s="335">
        <v>276116841</v>
      </c>
      <c r="H494" s="335">
        <f t="shared" ref="H494:I495" si="345">H495</f>
        <v>0</v>
      </c>
      <c r="I494" s="335">
        <f t="shared" si="345"/>
        <v>276116841</v>
      </c>
      <c r="J494" s="335">
        <v>299443112</v>
      </c>
      <c r="K494" s="266">
        <f t="shared" ref="K494:L495" si="346">K495</f>
        <v>0</v>
      </c>
      <c r="L494" s="266">
        <f t="shared" si="346"/>
        <v>299443112</v>
      </c>
    </row>
    <row r="495" spans="1:12" ht="47.25" x14ac:dyDescent="0.2">
      <c r="A495" s="107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IF(B495&gt;0,VLOOKUP(B495,КВСР!A234:B1399,2),IF(C495&gt;0,VLOOKUP(C495,КФСР!A234:B1746,2),IF(D495&gt;0,VLOOKUP(D495,Программа!A$1:B$5124,2),IF(F495&gt;0,VLOOKUP(F495,КВР!A$1:B$5001,2),IF(E495&gt;0,VLOOKUP(E495,Направление!A$1:B$4816,2))))))</f>
        <v>Муниципальная программа "Социальная поддержка населения Тутаевского муниципального района"</v>
      </c>
      <c r="B495" s="108"/>
      <c r="C495" s="104"/>
      <c r="D495" s="105" t="s">
        <v>376</v>
      </c>
      <c r="E495" s="104"/>
      <c r="F495" s="106"/>
      <c r="G495" s="335">
        <v>276116841</v>
      </c>
      <c r="H495" s="335">
        <f t="shared" si="345"/>
        <v>0</v>
      </c>
      <c r="I495" s="335">
        <f t="shared" si="345"/>
        <v>276116841</v>
      </c>
      <c r="J495" s="335">
        <v>299443112</v>
      </c>
      <c r="K495" s="266">
        <f t="shared" si="346"/>
        <v>0</v>
      </c>
      <c r="L495" s="266">
        <f t="shared" si="346"/>
        <v>299443112</v>
      </c>
    </row>
    <row r="496" spans="1:12" ht="47.25" x14ac:dyDescent="0.2">
      <c r="A496" s="107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96" s="108"/>
      <c r="C496" s="104"/>
      <c r="D496" s="105" t="s">
        <v>446</v>
      </c>
      <c r="E496" s="104"/>
      <c r="F496" s="106"/>
      <c r="G496" s="335">
        <v>276116841</v>
      </c>
      <c r="H496" s="335">
        <f>H497+H516</f>
        <v>0</v>
      </c>
      <c r="I496" s="335">
        <f>I497+I516</f>
        <v>276116841</v>
      </c>
      <c r="J496" s="335">
        <v>299443112</v>
      </c>
      <c r="K496" s="266">
        <f>K497+K516</f>
        <v>0</v>
      </c>
      <c r="L496" s="266">
        <f>L497+L516</f>
        <v>299443112</v>
      </c>
    </row>
    <row r="497" spans="1:12" ht="47.25" x14ac:dyDescent="0.2">
      <c r="A497" s="107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IF(B497&gt;0,VLOOKUP(B497,КВСР!A236:B1401,2),IF(C497&gt;0,VLOOKUP(C497,КФСР!A236:B1748,2),IF(D497&gt;0,VLOOKUP(D497,Программа!A$1:B$5124,2),IF(F497&gt;0,VLOOKUP(F497,КВР!A$1:B$5001,2),IF(E497&gt;0,VLOOKUP(E497,Направление!A$1:B$4816,2))))))</f>
        <v>Исполнение публичных обязательств по предоставлению выплат, пособий и компенсаций</v>
      </c>
      <c r="B497" s="108"/>
      <c r="C497" s="104"/>
      <c r="D497" s="116" t="s">
        <v>448</v>
      </c>
      <c r="E497" s="117"/>
      <c r="F497" s="106"/>
      <c r="G497" s="335">
        <v>167581661</v>
      </c>
      <c r="H497" s="335">
        <f>H498+H500+H502+H506+H509+H504+H511+H514</f>
        <v>0</v>
      </c>
      <c r="I497" s="335">
        <f>I498+I500+I502+I506+I509+I504+I511+I514</f>
        <v>167581661</v>
      </c>
      <c r="J497" s="335">
        <v>182448989</v>
      </c>
      <c r="K497" s="335">
        <f t="shared" ref="K497" si="347">K498+K500+K502+K506+K509+K504+K511+K514</f>
        <v>0</v>
      </c>
      <c r="L497" s="335">
        <f t="shared" ref="L497" si="348">L498+L500+L502+L506+L509+L504+L511+L514</f>
        <v>182448989</v>
      </c>
    </row>
    <row r="498" spans="1:12" ht="126" x14ac:dyDescent="0.2">
      <c r="A498" s="107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08"/>
      <c r="C498" s="104"/>
      <c r="D498" s="116"/>
      <c r="E498" s="117">
        <v>52700</v>
      </c>
      <c r="F498" s="106"/>
      <c r="G498" s="335">
        <v>0</v>
      </c>
      <c r="H498" s="335">
        <f t="shared" ref="H498:I498" si="349">H499</f>
        <v>0</v>
      </c>
      <c r="I498" s="335">
        <f t="shared" si="349"/>
        <v>0</v>
      </c>
      <c r="J498" s="335">
        <v>0</v>
      </c>
      <c r="K498" s="266">
        <f t="shared" ref="K498:L498" si="350">K499</f>
        <v>0</v>
      </c>
      <c r="L498" s="266">
        <f t="shared" si="350"/>
        <v>0</v>
      </c>
    </row>
    <row r="499" spans="1:12" ht="31.5" x14ac:dyDescent="0.2">
      <c r="A499" s="107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IF(B499&gt;0,VLOOKUP(B499,КВСР!A238:B1403,2),IF(C499&gt;0,VLOOKUP(C499,КФСР!A238:B1750,2),IF(D499&gt;0,VLOOKUP(D499,Программа!A$1:B$5124,2),IF(F499&gt;0,VLOOKUP(F499,КВР!A$1:B$5001,2),IF(E499&gt;0,VLOOKUP(E499,Направление!A$1:B$4816,2))))))</f>
        <v>Социальное обеспечение и иные выплаты населению</v>
      </c>
      <c r="B499" s="108"/>
      <c r="C499" s="104"/>
      <c r="D499" s="116"/>
      <c r="E499" s="117"/>
      <c r="F499" s="106">
        <v>300</v>
      </c>
      <c r="G499" s="335">
        <v>0</v>
      </c>
      <c r="H499" s="335"/>
      <c r="I499" s="335">
        <f t="shared" ref="I499:I593" si="351">SUM(G499:H499)</f>
        <v>0</v>
      </c>
      <c r="J499" s="335">
        <v>0</v>
      </c>
      <c r="K499" s="266"/>
      <c r="L499" s="266">
        <f t="shared" ref="L499:L593" si="352">SUM(J499:K499)</f>
        <v>0</v>
      </c>
    </row>
    <row r="500" spans="1:12" ht="141.75" x14ac:dyDescent="0.2">
      <c r="A500" s="107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08"/>
      <c r="C500" s="104"/>
      <c r="D500" s="105"/>
      <c r="E500" s="104">
        <v>53800</v>
      </c>
      <c r="F500" s="106"/>
      <c r="G500" s="335">
        <v>0</v>
      </c>
      <c r="H500" s="335">
        <f t="shared" ref="H500:I500" si="353">H501</f>
        <v>0</v>
      </c>
      <c r="I500" s="335">
        <f t="shared" si="353"/>
        <v>0</v>
      </c>
      <c r="J500" s="335">
        <v>0</v>
      </c>
      <c r="K500" s="266">
        <f t="shared" ref="K500:L500" si="354">K501</f>
        <v>0</v>
      </c>
      <c r="L500" s="266">
        <f t="shared" si="354"/>
        <v>0</v>
      </c>
    </row>
    <row r="501" spans="1:12" ht="31.5" x14ac:dyDescent="0.2">
      <c r="A501" s="107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IF(B501&gt;0,VLOOKUP(B501,КВСР!A237:B1402,2),IF(C501&gt;0,VLOOKUP(C501,КФСР!A237:B1749,2),IF(D501&gt;0,VLOOKUP(D501,Программа!A$1:B$5124,2),IF(F501&gt;0,VLOOKUP(F501,КВР!A$1:B$5001,2),IF(E501&gt;0,VLOOKUP(E501,Направление!A$1:B$4816,2))))))</f>
        <v>Социальное обеспечение и иные выплаты населению</v>
      </c>
      <c r="B501" s="108"/>
      <c r="C501" s="104"/>
      <c r="D501" s="105"/>
      <c r="E501" s="104"/>
      <c r="F501" s="106">
        <v>300</v>
      </c>
      <c r="G501" s="335">
        <v>0</v>
      </c>
      <c r="H501" s="335"/>
      <c r="I501" s="335">
        <f t="shared" si="351"/>
        <v>0</v>
      </c>
      <c r="J501" s="335">
        <v>0</v>
      </c>
      <c r="K501" s="266"/>
      <c r="L501" s="266">
        <f t="shared" si="352"/>
        <v>0</v>
      </c>
    </row>
    <row r="502" spans="1:12" ht="94.5" x14ac:dyDescent="0.2">
      <c r="A502" s="107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08"/>
      <c r="C502" s="104"/>
      <c r="D502" s="105"/>
      <c r="E502" s="104">
        <v>53850</v>
      </c>
      <c r="F502" s="106"/>
      <c r="G502" s="335">
        <v>0</v>
      </c>
      <c r="H502" s="335">
        <f t="shared" ref="H502" si="355">H503</f>
        <v>0</v>
      </c>
      <c r="I502" s="335">
        <f t="shared" si="351"/>
        <v>0</v>
      </c>
      <c r="J502" s="335">
        <v>0</v>
      </c>
      <c r="K502" s="266">
        <f t="shared" ref="K502" si="356">K503</f>
        <v>0</v>
      </c>
      <c r="L502" s="266">
        <f t="shared" si="352"/>
        <v>0</v>
      </c>
    </row>
    <row r="503" spans="1:12" ht="31.5" x14ac:dyDescent="0.2">
      <c r="A503" s="107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IF(B503&gt;0,VLOOKUP(B503,КВСР!A239:B1404,2),IF(C503&gt;0,VLOOKUP(C503,КФСР!A239:B1751,2),IF(D503&gt;0,VLOOKUP(D503,Программа!A$1:B$5124,2),IF(F503&gt;0,VLOOKUP(F503,КВР!A$1:B$5001,2),IF(E503&gt;0,VLOOKUP(E503,Направление!A$1:B$4816,2))))))</f>
        <v>Социальное обеспечение и иные выплаты населению</v>
      </c>
      <c r="B503" s="108"/>
      <c r="C503" s="104"/>
      <c r="D503" s="105"/>
      <c r="E503" s="104"/>
      <c r="F503" s="106">
        <v>300</v>
      </c>
      <c r="G503" s="335">
        <v>0</v>
      </c>
      <c r="H503" s="335"/>
      <c r="I503" s="335">
        <f t="shared" si="351"/>
        <v>0</v>
      </c>
      <c r="J503" s="335">
        <v>0</v>
      </c>
      <c r="K503" s="266"/>
      <c r="L503" s="266">
        <f t="shared" si="352"/>
        <v>0</v>
      </c>
    </row>
    <row r="504" spans="1:12" ht="63" x14ac:dyDescent="0.2">
      <c r="A504" s="107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08"/>
      <c r="C504" s="104"/>
      <c r="D504" s="105"/>
      <c r="E504" s="104">
        <v>70870</v>
      </c>
      <c r="F504" s="106"/>
      <c r="G504" s="335">
        <v>0</v>
      </c>
      <c r="H504" s="335">
        <f t="shared" ref="H504:L504" si="357">H505</f>
        <v>0</v>
      </c>
      <c r="I504" s="335">
        <f t="shared" si="357"/>
        <v>0</v>
      </c>
      <c r="J504" s="335">
        <v>0</v>
      </c>
      <c r="K504" s="266">
        <f t="shared" si="357"/>
        <v>0</v>
      </c>
      <c r="L504" s="266">
        <f t="shared" si="357"/>
        <v>0</v>
      </c>
    </row>
    <row r="505" spans="1:12" ht="110.25" x14ac:dyDescent="0.2">
      <c r="A505" s="107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08"/>
      <c r="C505" s="104"/>
      <c r="D505" s="105"/>
      <c r="E505" s="104"/>
      <c r="F505" s="106">
        <v>100</v>
      </c>
      <c r="G505" s="335">
        <v>0</v>
      </c>
      <c r="H505" s="335"/>
      <c r="I505" s="335">
        <f t="shared" si="351"/>
        <v>0</v>
      </c>
      <c r="J505" s="335">
        <v>0</v>
      </c>
      <c r="K505" s="266"/>
      <c r="L505" s="266">
        <f t="shared" si="352"/>
        <v>0</v>
      </c>
    </row>
    <row r="506" spans="1:12" ht="47.25" x14ac:dyDescent="0.2">
      <c r="A506" s="107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IF(B506&gt;0,VLOOKUP(B506,КВСР!A242:B1407,2),IF(C506&gt;0,VLOOKUP(C506,КФСР!A242:B1754,2),IF(D506&gt;0,VLOOKUP(D506,Программа!A$1:B$5124,2),IF(F506&gt;0,VLOOKUP(F506,КВР!A$1:B$5001,2),IF(E506&gt;0,VLOOKUP(E506,Направление!A$1:B$4816,2))))))</f>
        <v>Расходы на социальную поддержку отдельных категорий граждан в части ежемесячного пособия на ребенка</v>
      </c>
      <c r="B506" s="108"/>
      <c r="C506" s="104"/>
      <c r="D506" s="105"/>
      <c r="E506" s="104">
        <v>73040</v>
      </c>
      <c r="F506" s="106"/>
      <c r="G506" s="335">
        <v>29440000</v>
      </c>
      <c r="H506" s="335">
        <f t="shared" ref="H506:L506" si="358">H507+H508</f>
        <v>0</v>
      </c>
      <c r="I506" s="335">
        <f t="shared" si="358"/>
        <v>29440000</v>
      </c>
      <c r="J506" s="335">
        <v>29440000</v>
      </c>
      <c r="K506" s="335">
        <f t="shared" si="358"/>
        <v>0</v>
      </c>
      <c r="L506" s="335">
        <f t="shared" si="358"/>
        <v>29440000</v>
      </c>
    </row>
    <row r="507" spans="1:12" ht="63" x14ac:dyDescent="0.2">
      <c r="A507" s="107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IF(B507&gt;0,VLOOKUP(B507,КВСР!A243:B1408,2),IF(C507&gt;0,VLOOKUP(C507,КФСР!A243:B1755,2),IF(D507&gt;0,VLOOKUP(D507,Программа!A$1:B$5124,2),IF(F507&gt;0,VLOOKUP(F507,КВР!A$1:B$5001,2),IF(E507&gt;0,VLOOKUP(E507,Направление!A$1:B$4816,2))))))</f>
        <v xml:space="preserve">Закупка товаров, работ и услуг для обеспечения государственных (муниципальных) нужд
</v>
      </c>
      <c r="B507" s="108"/>
      <c r="C507" s="104"/>
      <c r="D507" s="105"/>
      <c r="E507" s="104"/>
      <c r="F507" s="106">
        <v>200</v>
      </c>
      <c r="G507" s="335">
        <v>2100</v>
      </c>
      <c r="H507" s="335"/>
      <c r="I507" s="335">
        <f>G507+H507</f>
        <v>2100</v>
      </c>
      <c r="J507" s="335">
        <v>2100</v>
      </c>
      <c r="K507" s="266"/>
      <c r="L507" s="266">
        <f>J507+K507</f>
        <v>2100</v>
      </c>
    </row>
    <row r="508" spans="1:12" ht="31.5" x14ac:dyDescent="0.2">
      <c r="A508" s="107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IF(B508&gt;0,VLOOKUP(B508,КВСР!A244:B1409,2),IF(C508&gt;0,VLOOKUP(C508,КФСР!A244:B1756,2),IF(D508&gt;0,VLOOKUP(D508,Программа!A$1:B$5124,2),IF(F508&gt;0,VLOOKUP(F508,КВР!A$1:B$5001,2),IF(E508&gt;0,VLOOKUP(E508,Направление!A$1:B$4816,2))))))</f>
        <v>Социальное обеспечение и иные выплаты населению</v>
      </c>
      <c r="B508" s="108"/>
      <c r="C508" s="104"/>
      <c r="D508" s="105"/>
      <c r="E508" s="104"/>
      <c r="F508" s="106">
        <v>300</v>
      </c>
      <c r="G508" s="335">
        <v>29437900</v>
      </c>
      <c r="H508" s="335"/>
      <c r="I508" s="335">
        <f>G508+H508</f>
        <v>29437900</v>
      </c>
      <c r="J508" s="335">
        <v>29437900</v>
      </c>
      <c r="K508" s="266"/>
      <c r="L508" s="266">
        <f>J508+K508</f>
        <v>29437900</v>
      </c>
    </row>
    <row r="509" spans="1:12" ht="94.5" x14ac:dyDescent="0.2">
      <c r="A509" s="107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08"/>
      <c r="C509" s="104"/>
      <c r="D509" s="105"/>
      <c r="E509" s="104">
        <v>75480</v>
      </c>
      <c r="F509" s="106"/>
      <c r="G509" s="335">
        <v>0</v>
      </c>
      <c r="H509" s="335">
        <f t="shared" ref="H509:L509" si="359">H510</f>
        <v>0</v>
      </c>
      <c r="I509" s="335">
        <f t="shared" si="359"/>
        <v>0</v>
      </c>
      <c r="J509" s="335">
        <v>0</v>
      </c>
      <c r="K509" s="266">
        <f t="shared" si="359"/>
        <v>0</v>
      </c>
      <c r="L509" s="266">
        <f t="shared" si="359"/>
        <v>0</v>
      </c>
    </row>
    <row r="510" spans="1:12" ht="63" x14ac:dyDescent="0.2">
      <c r="A510" s="107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IF(B510&gt;0,VLOOKUP(B510,КВСР!A241:B1406,2),IF(C510&gt;0,VLOOKUP(C510,КФСР!A241:B1753,2),IF(D510&gt;0,VLOOKUP(D510,Программа!A$1:B$5124,2),IF(F510&gt;0,VLOOKUP(F510,КВР!A$1:B$5001,2),IF(E510&gt;0,VLOOKUP(E510,Направление!A$1:B$4816,2))))))</f>
        <v xml:space="preserve">Закупка товаров, работ и услуг для обеспечения государственных (муниципальных) нужд
</v>
      </c>
      <c r="B510" s="108"/>
      <c r="C510" s="104"/>
      <c r="D510" s="105"/>
      <c r="E510" s="104"/>
      <c r="F510" s="106">
        <v>200</v>
      </c>
      <c r="G510" s="335">
        <v>0</v>
      </c>
      <c r="H510" s="335"/>
      <c r="I510" s="335">
        <f t="shared" si="351"/>
        <v>0</v>
      </c>
      <c r="J510" s="335">
        <v>0</v>
      </c>
      <c r="K510" s="266"/>
      <c r="L510" s="266">
        <f t="shared" si="352"/>
        <v>0</v>
      </c>
    </row>
    <row r="511" spans="1:12" ht="47.25" x14ac:dyDescent="0.2">
      <c r="A511" s="107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IF(B511&gt;0,VLOOKUP(B511,КВСР!A238:B1403,2),IF(C511&gt;0,VLOOKUP(C511,КФСР!A238:B1750,2),IF(D511&gt;0,VLOOKUP(D511,Программа!A$1:B$5124,2),IF(F511&gt;0,VLOOKUP(F511,КВР!A$1:B$5001,2),IF(E511&gt;0,VLOOKUP(E511,Направление!A$1:B$4816,2))))))</f>
        <v>Ежемесячная выплата на детей в возрасте от трех до семи лет включительно в части расходов по доставке</v>
      </c>
      <c r="B511" s="108"/>
      <c r="C511" s="104"/>
      <c r="D511" s="105"/>
      <c r="E511" s="104">
        <v>75510</v>
      </c>
      <c r="F511" s="106"/>
      <c r="G511" s="335">
        <v>1707913</v>
      </c>
      <c r="H511" s="335">
        <f t="shared" ref="H511:I511" si="360">H513+H512</f>
        <v>0</v>
      </c>
      <c r="I511" s="335">
        <f t="shared" si="360"/>
        <v>1707913</v>
      </c>
      <c r="J511" s="335">
        <v>1893689</v>
      </c>
      <c r="K511" s="266">
        <f t="shared" ref="K511:L511" si="361">K513+K512</f>
        <v>0</v>
      </c>
      <c r="L511" s="266">
        <f t="shared" si="361"/>
        <v>1893689</v>
      </c>
    </row>
    <row r="512" spans="1:12" ht="63" x14ac:dyDescent="0.2">
      <c r="A512" s="107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IF(B512&gt;0,VLOOKUP(B512,КВСР!A239:B1404,2),IF(C512&gt;0,VLOOKUP(C512,КФСР!A239:B1751,2),IF(D512&gt;0,VLOOKUP(D512,Программа!A$1:B$5124,2),IF(F512&gt;0,VLOOKUP(F512,КВР!A$1:B$5001,2),IF(E512&gt;0,VLOOKUP(E512,Направление!A$1:B$4816,2))))))</f>
        <v xml:space="preserve">Закупка товаров, работ и услуг для обеспечения государственных (муниципальных) нужд
</v>
      </c>
      <c r="B512" s="108"/>
      <c r="C512" s="104"/>
      <c r="D512" s="105"/>
      <c r="E512" s="104"/>
      <c r="F512" s="106">
        <v>200</v>
      </c>
      <c r="G512" s="335">
        <v>1707913</v>
      </c>
      <c r="H512" s="335"/>
      <c r="I512" s="335">
        <f t="shared" si="351"/>
        <v>1707913</v>
      </c>
      <c r="J512" s="335">
        <v>1893689</v>
      </c>
      <c r="K512" s="266"/>
      <c r="L512" s="266">
        <f t="shared" si="352"/>
        <v>1893689</v>
      </c>
    </row>
    <row r="513" spans="1:12" ht="31.5" x14ac:dyDescent="0.2">
      <c r="A513" s="107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IF(B513&gt;0,VLOOKUP(B513,КВСР!A239:B1404,2),IF(C513&gt;0,VLOOKUP(C513,КФСР!A239:B1751,2),IF(D513&gt;0,VLOOKUP(D513,Программа!A$1:B$5124,2),IF(F513&gt;0,VLOOKUP(F513,КВР!A$1:B$5001,2),IF(E513&gt;0,VLOOKUP(E513,Направление!A$1:B$4816,2))))))</f>
        <v>Социальное обеспечение и иные выплаты населению</v>
      </c>
      <c r="B513" s="108"/>
      <c r="C513" s="104"/>
      <c r="D513" s="105"/>
      <c r="E513" s="104"/>
      <c r="F513" s="106">
        <v>300</v>
      </c>
      <c r="G513" s="335">
        <v>0</v>
      </c>
      <c r="H513" s="335"/>
      <c r="I513" s="335">
        <f t="shared" si="351"/>
        <v>0</v>
      </c>
      <c r="J513" s="335">
        <v>0</v>
      </c>
      <c r="K513" s="266"/>
      <c r="L513" s="266">
        <f t="shared" si="352"/>
        <v>0</v>
      </c>
    </row>
    <row r="514" spans="1:12" ht="31.5" x14ac:dyDescent="0.2">
      <c r="A514" s="107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IF(B514&gt;0,VLOOKUP(B514,КВСР!A240:B1405,2),IF(C514&gt;0,VLOOKUP(C514,КФСР!A240:B1752,2),IF(D514&gt;0,VLOOKUP(D514,Программа!A$1:B$5124,2),IF(F514&gt;0,VLOOKUP(F514,КВР!A$1:B$5001,2),IF(E514&gt;0,VLOOKUP(E514,Направление!A$1:B$4816,2))))))</f>
        <v>Ежемесячная выплата на детей в возрасте от 3 до 7 лет включительно</v>
      </c>
      <c r="B514" s="108"/>
      <c r="C514" s="104"/>
      <c r="D514" s="105"/>
      <c r="E514" s="104" t="s">
        <v>1514</v>
      </c>
      <c r="F514" s="106"/>
      <c r="G514" s="335">
        <v>136433748</v>
      </c>
      <c r="H514" s="335">
        <f t="shared" ref="H514:L514" si="362">H515</f>
        <v>0</v>
      </c>
      <c r="I514" s="335">
        <f t="shared" si="362"/>
        <v>136433748</v>
      </c>
      <c r="J514" s="335">
        <v>151115300</v>
      </c>
      <c r="K514" s="335">
        <f t="shared" si="362"/>
        <v>0</v>
      </c>
      <c r="L514" s="335">
        <f t="shared" si="362"/>
        <v>151115300</v>
      </c>
    </row>
    <row r="515" spans="1:12" ht="31.5" x14ac:dyDescent="0.2">
      <c r="A515" s="107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IF(B515&gt;0,VLOOKUP(B515,КВСР!A241:B1406,2),IF(C515&gt;0,VLOOKUP(C515,КФСР!A241:B1753,2),IF(D515&gt;0,VLOOKUP(D515,Программа!A$1:B$5124,2),IF(F515&gt;0,VLOOKUP(F515,КВР!A$1:B$5001,2),IF(E515&gt;0,VLOOKUP(E515,Направление!A$1:B$4816,2))))))</f>
        <v>Социальное обеспечение и иные выплаты населению</v>
      </c>
      <c r="B515" s="108"/>
      <c r="C515" s="104"/>
      <c r="D515" s="105"/>
      <c r="E515" s="104"/>
      <c r="F515" s="106">
        <v>300</v>
      </c>
      <c r="G515" s="335">
        <v>136433748</v>
      </c>
      <c r="H515" s="335"/>
      <c r="I515" s="335">
        <f>G515+H515</f>
        <v>136433748</v>
      </c>
      <c r="J515" s="335">
        <v>151115300</v>
      </c>
      <c r="K515" s="266"/>
      <c r="L515" s="266">
        <f>J515+K515</f>
        <v>151115300</v>
      </c>
    </row>
    <row r="516" spans="1:12" ht="31.5" x14ac:dyDescent="0.2">
      <c r="A516" s="107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IF(B516&gt;0,VLOOKUP(B516,КВСР!A240:B1405,2),IF(C516&gt;0,VLOOKUP(C516,КФСР!A240:B1752,2),IF(D516&gt;0,VLOOKUP(D516,Программа!A$1:B$5124,2),IF(F516&gt;0,VLOOKUP(F516,КВР!A$1:B$5001,2),IF(E516&gt;0,VLOOKUP(E516,Направление!A$1:B$4816,2))))))</f>
        <v>Федеральный проект "Финансовая поддержка семей при рождении детей"</v>
      </c>
      <c r="B516" s="108"/>
      <c r="C516" s="104"/>
      <c r="D516" s="105" t="s">
        <v>1323</v>
      </c>
      <c r="E516" s="104"/>
      <c r="F516" s="106"/>
      <c r="G516" s="335">
        <v>108535180</v>
      </c>
      <c r="H516" s="335">
        <f>H517+H519+H521</f>
        <v>0</v>
      </c>
      <c r="I516" s="335">
        <f>I517+I519+I521</f>
        <v>108535180</v>
      </c>
      <c r="J516" s="335">
        <v>116994123</v>
      </c>
      <c r="K516" s="335">
        <f t="shared" ref="K516" si="363">K517+K519+K521</f>
        <v>0</v>
      </c>
      <c r="L516" s="335">
        <f t="shared" ref="L516" si="364">L517+L519+L521</f>
        <v>116994123</v>
      </c>
    </row>
    <row r="517" spans="1:12" ht="63" x14ac:dyDescent="0.2">
      <c r="A517" s="107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08"/>
      <c r="C517" s="104"/>
      <c r="D517" s="105"/>
      <c r="E517" s="104">
        <v>50840</v>
      </c>
      <c r="F517" s="106"/>
      <c r="G517" s="335">
        <v>52131216</v>
      </c>
      <c r="H517" s="335">
        <f t="shared" ref="H517:I517" si="365">H518</f>
        <v>0</v>
      </c>
      <c r="I517" s="335">
        <f t="shared" si="365"/>
        <v>52131216</v>
      </c>
      <c r="J517" s="335">
        <v>55281996</v>
      </c>
      <c r="K517" s="266">
        <f t="shared" ref="K517:L517" si="366">K518</f>
        <v>0</v>
      </c>
      <c r="L517" s="266">
        <f t="shared" si="366"/>
        <v>55281996</v>
      </c>
    </row>
    <row r="518" spans="1:12" ht="31.5" x14ac:dyDescent="0.2">
      <c r="A518" s="107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IF(B518&gt;0,VLOOKUP(B518,КВСР!A239:B1404,2),IF(C518&gt;0,VLOOKUP(C518,КФСР!A239:B1751,2),IF(D518&gt;0,VLOOKUP(D518,Программа!A$1:B$5124,2),IF(F518&gt;0,VLOOKUP(F518,КВР!A$1:B$5001,2),IF(E518&gt;0,VLOOKUP(E518,Направление!A$1:B$4816,2))))))</f>
        <v>Социальное обеспечение и иные выплаты населению</v>
      </c>
      <c r="B518" s="108"/>
      <c r="C518" s="104"/>
      <c r="D518" s="105"/>
      <c r="E518" s="104"/>
      <c r="F518" s="106">
        <v>300</v>
      </c>
      <c r="G518" s="335">
        <v>52131216</v>
      </c>
      <c r="H518" s="335"/>
      <c r="I518" s="335">
        <f t="shared" si="351"/>
        <v>52131216</v>
      </c>
      <c r="J518" s="335">
        <v>55281996</v>
      </c>
      <c r="K518" s="266"/>
      <c r="L518" s="266">
        <f t="shared" si="352"/>
        <v>55281996</v>
      </c>
    </row>
    <row r="519" spans="1:12" ht="47.25" x14ac:dyDescent="0.2">
      <c r="A519" s="107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519" s="108"/>
      <c r="C519" s="104"/>
      <c r="D519" s="105"/>
      <c r="E519" s="104">
        <v>55730</v>
      </c>
      <c r="F519" s="106"/>
      <c r="G519" s="335">
        <v>55756964</v>
      </c>
      <c r="H519" s="335">
        <f t="shared" ref="H519:I519" si="367">H520</f>
        <v>0</v>
      </c>
      <c r="I519" s="335">
        <f t="shared" si="367"/>
        <v>55756964</v>
      </c>
      <c r="J519" s="335">
        <v>60982127</v>
      </c>
      <c r="K519" s="335">
        <f t="shared" ref="K519:L519" si="368">K520</f>
        <v>0</v>
      </c>
      <c r="L519" s="335">
        <f t="shared" si="368"/>
        <v>60982127</v>
      </c>
    </row>
    <row r="520" spans="1:12" ht="31.5" x14ac:dyDescent="0.2">
      <c r="A520" s="107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IF(B520&gt;0,VLOOKUP(B520,КВСР!A241:B1406,2),IF(C520&gt;0,VLOOKUP(C520,КФСР!A241:B1753,2),IF(D520&gt;0,VLOOKUP(D520,Программа!A$1:B$5124,2),IF(F520&gt;0,VLOOKUP(F520,КВР!A$1:B$5001,2),IF(E520&gt;0,VLOOKUP(E520,Направление!A$1:B$4816,2))))))</f>
        <v>Социальное обеспечение и иные выплаты населению</v>
      </c>
      <c r="B520" s="108"/>
      <c r="C520" s="104"/>
      <c r="D520" s="105"/>
      <c r="E520" s="104"/>
      <c r="F520" s="106">
        <v>300</v>
      </c>
      <c r="G520" s="335">
        <v>55756964</v>
      </c>
      <c r="H520" s="335"/>
      <c r="I520" s="335">
        <f>G520+H520</f>
        <v>55756964</v>
      </c>
      <c r="J520" s="335">
        <v>60982127</v>
      </c>
      <c r="K520" s="266"/>
      <c r="L520" s="266">
        <f>J520+K520</f>
        <v>60982127</v>
      </c>
    </row>
    <row r="521" spans="1:12" ht="94.5" x14ac:dyDescent="0.2">
      <c r="A521" s="107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08"/>
      <c r="C521" s="104"/>
      <c r="D521" s="105"/>
      <c r="E521" s="104">
        <v>75480</v>
      </c>
      <c r="F521" s="106"/>
      <c r="G521" s="335">
        <v>647000</v>
      </c>
      <c r="H521" s="335">
        <f t="shared" ref="H521:L521" si="369">H522</f>
        <v>0</v>
      </c>
      <c r="I521" s="335">
        <f t="shared" si="369"/>
        <v>647000</v>
      </c>
      <c r="J521" s="335">
        <v>730000</v>
      </c>
      <c r="K521" s="335">
        <f t="shared" si="369"/>
        <v>0</v>
      </c>
      <c r="L521" s="335">
        <f t="shared" si="369"/>
        <v>730000</v>
      </c>
    </row>
    <row r="522" spans="1:12" ht="63" x14ac:dyDescent="0.2">
      <c r="A522" s="107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IF(B522&gt;0,VLOOKUP(B522,КВСР!A243:B1408,2),IF(C522&gt;0,VLOOKUP(C522,КФСР!A243:B1755,2),IF(D522&gt;0,VLOOKUP(D522,Программа!A$1:B$5124,2),IF(F522&gt;0,VLOOKUP(F522,КВР!A$1:B$5001,2),IF(E522&gt;0,VLOOKUP(E522,Направление!A$1:B$4816,2))))))</f>
        <v xml:space="preserve">Закупка товаров, работ и услуг для обеспечения государственных (муниципальных) нужд
</v>
      </c>
      <c r="B522" s="108"/>
      <c r="C522" s="104"/>
      <c r="D522" s="105"/>
      <c r="E522" s="104"/>
      <c r="F522" s="106">
        <v>200</v>
      </c>
      <c r="G522" s="335">
        <v>647000</v>
      </c>
      <c r="H522" s="335"/>
      <c r="I522" s="335">
        <f t="shared" ref="I522" si="370">G522+H522</f>
        <v>647000</v>
      </c>
      <c r="J522" s="335">
        <v>730000</v>
      </c>
      <c r="K522" s="266"/>
      <c r="L522" s="266">
        <f t="shared" ref="L522" si="371">J522+K522</f>
        <v>730000</v>
      </c>
    </row>
    <row r="523" spans="1:12" ht="31.5" x14ac:dyDescent="0.2">
      <c r="A523" s="107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IF(B523&gt;0,VLOOKUP(B523,КВСР!A238:B1403,2),IF(C523&gt;0,VLOOKUP(C523,КФСР!A238:B1750,2),IF(D523&gt;0,VLOOKUP(D523,Программа!A$1:B$5124,2),IF(F523&gt;0,VLOOKUP(F523,КВР!A$1:B$5001,2),IF(E523&gt;0,VLOOKUP(E523,Направление!A$1:B$4816,2))))))</f>
        <v>Другие вопросы в области социальной политики</v>
      </c>
      <c r="B523" s="108"/>
      <c r="C523" s="104">
        <v>1006</v>
      </c>
      <c r="D523" s="105"/>
      <c r="E523" s="104"/>
      <c r="F523" s="106"/>
      <c r="G523" s="335">
        <v>15965520</v>
      </c>
      <c r="H523" s="335">
        <f t="shared" ref="H523:I524" si="372">H524</f>
        <v>0</v>
      </c>
      <c r="I523" s="335">
        <f t="shared" si="372"/>
        <v>15965520</v>
      </c>
      <c r="J523" s="335">
        <v>15695520</v>
      </c>
      <c r="K523" s="266">
        <f t="shared" ref="K523:L524" si="373">K524</f>
        <v>0</v>
      </c>
      <c r="L523" s="266">
        <f t="shared" si="373"/>
        <v>15695520</v>
      </c>
    </row>
    <row r="524" spans="1:12" ht="47.25" x14ac:dyDescent="0.2">
      <c r="A524" s="107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IF(B524&gt;0,VLOOKUP(B524,КВСР!A239:B1404,2),IF(C524&gt;0,VLOOKUP(C524,КФСР!A239:B1751,2),IF(D524&gt;0,VLOOKUP(D524,Программа!A$1:B$5124,2),IF(F524&gt;0,VLOOKUP(F524,КВР!A$1:B$5001,2),IF(E524&gt;0,VLOOKUP(E524,Направление!A$1:B$4816,2))))))</f>
        <v>Муниципальная программа "Социальная поддержка населения Тутаевского муниципального района"</v>
      </c>
      <c r="B524" s="108"/>
      <c r="C524" s="104"/>
      <c r="D524" s="105" t="s">
        <v>376</v>
      </c>
      <c r="E524" s="104"/>
      <c r="F524" s="106"/>
      <c r="G524" s="335">
        <v>15965520</v>
      </c>
      <c r="H524" s="335">
        <f t="shared" si="372"/>
        <v>0</v>
      </c>
      <c r="I524" s="335">
        <f t="shared" si="372"/>
        <v>15965520</v>
      </c>
      <c r="J524" s="335">
        <v>15695520</v>
      </c>
      <c r="K524" s="266">
        <f t="shared" si="373"/>
        <v>0</v>
      </c>
      <c r="L524" s="266">
        <f t="shared" si="373"/>
        <v>15695520</v>
      </c>
    </row>
    <row r="525" spans="1:12" ht="47.25" x14ac:dyDescent="0.2">
      <c r="A525" s="107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525" s="108"/>
      <c r="C525" s="104"/>
      <c r="D525" s="105" t="s">
        <v>446</v>
      </c>
      <c r="E525" s="104"/>
      <c r="F525" s="106"/>
      <c r="G525" s="335">
        <v>15965520</v>
      </c>
      <c r="H525" s="335">
        <f t="shared" ref="H525:I525" si="374">H526+H533</f>
        <v>0</v>
      </c>
      <c r="I525" s="335">
        <f t="shared" si="374"/>
        <v>15965520</v>
      </c>
      <c r="J525" s="335">
        <v>15695520</v>
      </c>
      <c r="K525" s="266">
        <f t="shared" ref="K525:L525" si="375">K526+K533</f>
        <v>0</v>
      </c>
      <c r="L525" s="266">
        <f t="shared" si="375"/>
        <v>15695520</v>
      </c>
    </row>
    <row r="526" spans="1:12" ht="47.25" x14ac:dyDescent="0.2">
      <c r="A526" s="107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IF(B526&gt;0,VLOOKUP(B526,КВСР!A241:B1406,2),IF(C526&gt;0,VLOOKUP(C526,КФСР!A241:B1753,2),IF(D526&gt;0,VLOOKUP(D526,Программа!A$1:B$5124,2),IF(F526&gt;0,VLOOKUP(F526,КВР!A$1:B$5001,2),IF(E526&gt;0,VLOOKUP(E526,Направление!A$1:B$4816,2))))))</f>
        <v>Исполнение публичных обязательств по предоставлению выплат, пособий и компенсаций</v>
      </c>
      <c r="B526" s="108"/>
      <c r="C526" s="104"/>
      <c r="D526" s="105" t="s">
        <v>448</v>
      </c>
      <c r="E526" s="104"/>
      <c r="F526" s="106"/>
      <c r="G526" s="335">
        <v>15234520</v>
      </c>
      <c r="H526" s="335">
        <f t="shared" ref="H526:I526" si="376">H527+H529</f>
        <v>0</v>
      </c>
      <c r="I526" s="335">
        <f t="shared" si="376"/>
        <v>15234520</v>
      </c>
      <c r="J526" s="335">
        <v>14964520</v>
      </c>
      <c r="K526" s="266">
        <f t="shared" ref="K526:L526" si="377">K527+K529</f>
        <v>0</v>
      </c>
      <c r="L526" s="266">
        <f t="shared" si="377"/>
        <v>14964520</v>
      </c>
    </row>
    <row r="527" spans="1:12" ht="15.75" x14ac:dyDescent="0.2">
      <c r="A527" s="107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IF(B527&gt;0,VLOOKUP(B527,КВСР!A242:B1407,2),IF(C527&gt;0,VLOOKUP(C527,КФСР!A242:B1754,2),IF(D527&gt;0,VLOOKUP(D527,Программа!A$1:B$5124,2),IF(F527&gt;0,VLOOKUP(F527,КВР!A$1:B$5001,2),IF(E527&gt;0,VLOOKUP(E527,Направление!A$1:B$4816,2))))))</f>
        <v>Содержание центрального аппарата</v>
      </c>
      <c r="B527" s="108"/>
      <c r="C527" s="104"/>
      <c r="D527" s="105"/>
      <c r="E527" s="104">
        <v>12010</v>
      </c>
      <c r="F527" s="106"/>
      <c r="G527" s="335">
        <v>270000</v>
      </c>
      <c r="H527" s="335">
        <f t="shared" ref="H527:I527" si="378">H528</f>
        <v>0</v>
      </c>
      <c r="I527" s="335">
        <f t="shared" si="378"/>
        <v>270000</v>
      </c>
      <c r="J527" s="335">
        <v>0</v>
      </c>
      <c r="K527" s="266">
        <f t="shared" ref="K527:L527" si="379">K528</f>
        <v>0</v>
      </c>
      <c r="L527" s="266">
        <f t="shared" si="379"/>
        <v>0</v>
      </c>
    </row>
    <row r="528" spans="1:12" ht="110.25" x14ac:dyDescent="0.2">
      <c r="A528" s="107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08"/>
      <c r="C528" s="104"/>
      <c r="D528" s="105"/>
      <c r="E528" s="104"/>
      <c r="F528" s="106">
        <v>100</v>
      </c>
      <c r="G528" s="335">
        <v>270000</v>
      </c>
      <c r="H528" s="335"/>
      <c r="I528" s="335">
        <f t="shared" si="351"/>
        <v>270000</v>
      </c>
      <c r="J528" s="335">
        <v>0</v>
      </c>
      <c r="K528" s="335"/>
      <c r="L528" s="266">
        <f t="shared" si="352"/>
        <v>0</v>
      </c>
    </row>
    <row r="529" spans="1:12" ht="63" x14ac:dyDescent="0.2">
      <c r="A529" s="107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08"/>
      <c r="C529" s="104"/>
      <c r="D529" s="105"/>
      <c r="E529" s="104">
        <v>70870</v>
      </c>
      <c r="F529" s="106"/>
      <c r="G529" s="335">
        <v>14964520</v>
      </c>
      <c r="H529" s="335">
        <f t="shared" ref="H529:I529" si="380">H530+H531+H532</f>
        <v>0</v>
      </c>
      <c r="I529" s="335">
        <f t="shared" si="380"/>
        <v>14964520</v>
      </c>
      <c r="J529" s="335">
        <v>14964520</v>
      </c>
      <c r="K529" s="266">
        <f t="shared" ref="K529:L529" si="381">K530+K531+K532</f>
        <v>0</v>
      </c>
      <c r="L529" s="266">
        <f t="shared" si="381"/>
        <v>14964520</v>
      </c>
    </row>
    <row r="530" spans="1:12" ht="110.25" x14ac:dyDescent="0.2">
      <c r="A530" s="107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08"/>
      <c r="C530" s="104"/>
      <c r="D530" s="105"/>
      <c r="E530" s="104"/>
      <c r="F530" s="106">
        <v>100</v>
      </c>
      <c r="G530" s="335">
        <v>12792520</v>
      </c>
      <c r="H530" s="335"/>
      <c r="I530" s="335">
        <f t="shared" si="351"/>
        <v>12792520</v>
      </c>
      <c r="J530" s="335">
        <v>12792520</v>
      </c>
      <c r="K530" s="266"/>
      <c r="L530" s="266">
        <f t="shared" si="352"/>
        <v>12792520</v>
      </c>
    </row>
    <row r="531" spans="1:12" ht="63" x14ac:dyDescent="0.2">
      <c r="A531" s="107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08"/>
      <c r="C531" s="104"/>
      <c r="D531" s="105"/>
      <c r="E531" s="104"/>
      <c r="F531" s="106">
        <v>200</v>
      </c>
      <c r="G531" s="335">
        <v>2164000</v>
      </c>
      <c r="H531" s="335"/>
      <c r="I531" s="335">
        <f t="shared" si="351"/>
        <v>2164000</v>
      </c>
      <c r="J531" s="335">
        <v>2164000</v>
      </c>
      <c r="K531" s="335"/>
      <c r="L531" s="266">
        <f t="shared" si="352"/>
        <v>2164000</v>
      </c>
    </row>
    <row r="532" spans="1:12" ht="15.75" x14ac:dyDescent="0.2">
      <c r="A532" s="107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IF(B532&gt;0,VLOOKUP(B532,КВСР!A247:B1412,2),IF(C532&gt;0,VLOOKUP(C532,КФСР!A247:B1759,2),IF(D532&gt;0,VLOOKUP(D532,Программа!A$1:B$5124,2),IF(F532&gt;0,VLOOKUP(F532,КВР!A$1:B$5001,2),IF(E532&gt;0,VLOOKUP(E532,Направление!A$1:B$4816,2))))))</f>
        <v>Иные бюджетные ассигнования</v>
      </c>
      <c r="B532" s="108"/>
      <c r="C532" s="104"/>
      <c r="D532" s="105"/>
      <c r="E532" s="104"/>
      <c r="F532" s="106">
        <v>800</v>
      </c>
      <c r="G532" s="335">
        <v>8000</v>
      </c>
      <c r="H532" s="335"/>
      <c r="I532" s="335">
        <f t="shared" si="351"/>
        <v>8000</v>
      </c>
      <c r="J532" s="335">
        <v>8000</v>
      </c>
      <c r="K532" s="335"/>
      <c r="L532" s="266">
        <f t="shared" si="352"/>
        <v>8000</v>
      </c>
    </row>
    <row r="533" spans="1:12" ht="31.5" x14ac:dyDescent="0.2">
      <c r="A533" s="107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IF(B533&gt;0,VLOOKUP(B533,КВСР!A248:B1413,2),IF(C533&gt;0,VLOOKUP(C533,КФСР!A248:B1760,2),IF(D533&gt;0,VLOOKUP(D533,Программа!A$1:B$5124,2),IF(F533&gt;0,VLOOKUP(F533,КВР!A$1:B$5001,2),IF(E533&gt;0,VLOOKUP(E533,Направление!A$1:B$4816,2))))))</f>
        <v>Информационное обеспечение реализации мероприятий программы</v>
      </c>
      <c r="B533" s="108"/>
      <c r="C533" s="104"/>
      <c r="D533" s="105" t="s">
        <v>1167</v>
      </c>
      <c r="E533" s="104"/>
      <c r="F533" s="106"/>
      <c r="G533" s="335">
        <v>731000</v>
      </c>
      <c r="H533" s="335">
        <f t="shared" ref="H533:I534" si="382">H534</f>
        <v>0</v>
      </c>
      <c r="I533" s="335">
        <f t="shared" si="382"/>
        <v>731000</v>
      </c>
      <c r="J533" s="335">
        <v>731000</v>
      </c>
      <c r="K533" s="266">
        <f t="shared" ref="K533:L534" si="383">K534</f>
        <v>0</v>
      </c>
      <c r="L533" s="266">
        <f t="shared" si="383"/>
        <v>731000</v>
      </c>
    </row>
    <row r="534" spans="1:12" ht="63" x14ac:dyDescent="0.2">
      <c r="A534" s="107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08"/>
      <c r="C534" s="104"/>
      <c r="D534" s="105"/>
      <c r="E534" s="104">
        <v>70870</v>
      </c>
      <c r="F534" s="106"/>
      <c r="G534" s="335">
        <v>731000</v>
      </c>
      <c r="H534" s="335">
        <f t="shared" si="382"/>
        <v>0</v>
      </c>
      <c r="I534" s="335">
        <f t="shared" si="382"/>
        <v>731000</v>
      </c>
      <c r="J534" s="335">
        <v>731000</v>
      </c>
      <c r="K534" s="266">
        <f t="shared" si="383"/>
        <v>0</v>
      </c>
      <c r="L534" s="266">
        <f t="shared" si="383"/>
        <v>731000</v>
      </c>
    </row>
    <row r="535" spans="1:12" ht="63" x14ac:dyDescent="0.2">
      <c r="A535" s="107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08"/>
      <c r="C535" s="104"/>
      <c r="D535" s="105"/>
      <c r="E535" s="104"/>
      <c r="F535" s="106">
        <v>200</v>
      </c>
      <c r="G535" s="335">
        <v>731000</v>
      </c>
      <c r="H535" s="335"/>
      <c r="I535" s="335">
        <f t="shared" si="351"/>
        <v>731000</v>
      </c>
      <c r="J535" s="335">
        <v>731000</v>
      </c>
      <c r="K535" s="335"/>
      <c r="L535" s="266">
        <f t="shared" si="352"/>
        <v>731000</v>
      </c>
    </row>
    <row r="536" spans="1:12" ht="31.5" x14ac:dyDescent="0.2">
      <c r="A536" s="102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IF(B536&gt;0,VLOOKUP(B536,КВСР!A247:B1412,2),IF(C536&gt;0,VLOOKUP(C536,КФСР!A247:B1759,2),IF(D536&gt;0,VLOOKUP(D536,Программа!A$1:B$5124,2),IF(F536&gt;0,VLOOKUP(F536,КВР!A$1:B$5001,2),IF(E536&gt;0,VLOOKUP(E536,Направление!A$1:B$4816,2))))))</f>
        <v>Департамент финансов администрации ТМР</v>
      </c>
      <c r="B536" s="103">
        <v>955</v>
      </c>
      <c r="C536" s="104"/>
      <c r="D536" s="105"/>
      <c r="E536" s="104"/>
      <c r="F536" s="106"/>
      <c r="G536" s="338">
        <v>15000000</v>
      </c>
      <c r="H536" s="338">
        <f t="shared" ref="H536:L536" si="384">H537+H559+H563+H555+H546</f>
        <v>0</v>
      </c>
      <c r="I536" s="338">
        <f t="shared" si="384"/>
        <v>15000000</v>
      </c>
      <c r="J536" s="338">
        <v>0</v>
      </c>
      <c r="K536" s="334">
        <f t="shared" si="384"/>
        <v>0</v>
      </c>
      <c r="L536" s="334">
        <f t="shared" si="384"/>
        <v>0</v>
      </c>
    </row>
    <row r="537" spans="1:12" ht="63" x14ac:dyDescent="0.2">
      <c r="A537" s="107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08"/>
      <c r="C537" s="104">
        <v>106</v>
      </c>
      <c r="D537" s="105"/>
      <c r="E537" s="104"/>
      <c r="F537" s="106"/>
      <c r="G537" s="335">
        <v>8900000</v>
      </c>
      <c r="H537" s="335">
        <f t="shared" ref="H537:L537" si="385">H538</f>
        <v>0</v>
      </c>
      <c r="I537" s="335">
        <f t="shared" si="385"/>
        <v>8900000</v>
      </c>
      <c r="J537" s="335">
        <v>0</v>
      </c>
      <c r="K537" s="266">
        <f t="shared" si="385"/>
        <v>0</v>
      </c>
      <c r="L537" s="266">
        <f t="shared" si="385"/>
        <v>0</v>
      </c>
    </row>
    <row r="538" spans="1:12" ht="15.75" x14ac:dyDescent="0.2">
      <c r="A538" s="107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IF(B538&gt;0,VLOOKUP(B538,КВСР!A249:B1414,2),IF(C538&gt;0,VLOOKUP(C538,КФСР!A249:B1761,2),IF(D538&gt;0,VLOOKUP(D538,Программа!A$1:B$5124,2),IF(F538&gt;0,VLOOKUP(F538,КВР!A$1:B$5001,2),IF(E538&gt;0,VLOOKUP(E538,Направление!A$1:B$4816,2))))))</f>
        <v>Непрограммные расходы бюджета</v>
      </c>
      <c r="B538" s="108"/>
      <c r="C538" s="104"/>
      <c r="D538" s="105" t="s">
        <v>311</v>
      </c>
      <c r="E538" s="104"/>
      <c r="F538" s="106"/>
      <c r="G538" s="335">
        <v>8900000</v>
      </c>
      <c r="H538" s="335">
        <f t="shared" ref="H538:L538" si="386">H539</f>
        <v>0</v>
      </c>
      <c r="I538" s="335">
        <f t="shared" si="386"/>
        <v>8900000</v>
      </c>
      <c r="J538" s="335">
        <v>0</v>
      </c>
      <c r="K538" s="266">
        <f t="shared" si="386"/>
        <v>0</v>
      </c>
      <c r="L538" s="266">
        <f t="shared" si="386"/>
        <v>0</v>
      </c>
    </row>
    <row r="539" spans="1:12" ht="15.75" x14ac:dyDescent="0.2">
      <c r="A539" s="107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IF(B539&gt;0,VLOOKUP(B539,КВСР!A252:B1417,2),IF(C539&gt;0,VLOOKUP(C539,КФСР!A252:B1764,2),IF(D539&gt;0,VLOOKUP(D539,Программа!A$1:B$5124,2),IF(F539&gt;0,VLOOKUP(F539,КВР!A$1:B$5001,2),IF(E539&gt;0,VLOOKUP(E539,Направление!A$1:B$4816,2))))))</f>
        <v>Содержание центрального аппарата</v>
      </c>
      <c r="B539" s="108"/>
      <c r="C539" s="104"/>
      <c r="D539" s="105"/>
      <c r="E539" s="104">
        <v>12010</v>
      </c>
      <c r="F539" s="106"/>
      <c r="G539" s="335">
        <v>8900000</v>
      </c>
      <c r="H539" s="335">
        <f t="shared" ref="H539:L539" si="387">H540+H541+H542</f>
        <v>0</v>
      </c>
      <c r="I539" s="335">
        <f t="shared" si="387"/>
        <v>8900000</v>
      </c>
      <c r="J539" s="335">
        <v>0</v>
      </c>
      <c r="K539" s="266">
        <f t="shared" si="387"/>
        <v>0</v>
      </c>
      <c r="L539" s="266">
        <f t="shared" si="387"/>
        <v>0</v>
      </c>
    </row>
    <row r="540" spans="1:12" ht="110.25" x14ac:dyDescent="0.2">
      <c r="A540" s="107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08"/>
      <c r="C540" s="104"/>
      <c r="D540" s="105"/>
      <c r="E540" s="104"/>
      <c r="F540" s="106">
        <v>100</v>
      </c>
      <c r="G540" s="335">
        <v>7900000</v>
      </c>
      <c r="H540" s="335"/>
      <c r="I540" s="335">
        <f t="shared" si="351"/>
        <v>7900000</v>
      </c>
      <c r="J540" s="335">
        <v>0</v>
      </c>
      <c r="K540" s="266"/>
      <c r="L540" s="266">
        <f t="shared" si="352"/>
        <v>0</v>
      </c>
    </row>
    <row r="541" spans="1:12" ht="63" x14ac:dyDescent="0.2">
      <c r="A541" s="107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108"/>
      <c r="C541" s="104"/>
      <c r="D541" s="105"/>
      <c r="E541" s="104"/>
      <c r="F541" s="106">
        <v>200</v>
      </c>
      <c r="G541" s="335">
        <v>1000000</v>
      </c>
      <c r="H541" s="335"/>
      <c r="I541" s="335">
        <f t="shared" si="351"/>
        <v>1000000</v>
      </c>
      <c r="J541" s="335">
        <v>0</v>
      </c>
      <c r="K541" s="266"/>
      <c r="L541" s="266">
        <f t="shared" si="352"/>
        <v>0</v>
      </c>
    </row>
    <row r="542" spans="1:12" ht="15.75" x14ac:dyDescent="0.2">
      <c r="A542" s="107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IF(B542&gt;0,VLOOKUP(B542,КВСР!A253:B1418,2),IF(C542&gt;0,VLOOKUP(C542,КФСР!A253:B1765,2),IF(D542&gt;0,VLOOKUP(D542,Программа!A$1:B$5124,2),IF(F542&gt;0,VLOOKUP(F542,КВР!A$1:B$5001,2),IF(E542&gt;0,VLOOKUP(E542,Направление!A$1:B$4816,2))))))</f>
        <v>Иные бюджетные ассигнования</v>
      </c>
      <c r="B542" s="108"/>
      <c r="C542" s="104"/>
      <c r="D542" s="105"/>
      <c r="E542" s="104"/>
      <c r="F542" s="106">
        <v>800</v>
      </c>
      <c r="G542" s="335">
        <v>0</v>
      </c>
      <c r="H542" s="335"/>
      <c r="I542" s="335">
        <f t="shared" si="351"/>
        <v>0</v>
      </c>
      <c r="J542" s="335">
        <v>0</v>
      </c>
      <c r="K542" s="266"/>
      <c r="L542" s="266">
        <f t="shared" si="352"/>
        <v>0</v>
      </c>
    </row>
    <row r="543" spans="1:12" ht="47.25" x14ac:dyDescent="0.2">
      <c r="A543" s="107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IF(B543&gt;0,VLOOKUP(B543,КВСР!A252:B1417,2),IF(C543&gt;0,VLOOKUP(C543,КФСР!A252:B1764,2),IF(D543&gt;0,VLOOKUP(D543,Программа!A$1:B$5124,2),IF(F543&gt;0,VLOOKUP(F543,КВР!A$1:B$5001,2),IF(E543&gt;0,VLOOKUP(E543,Направление!A$1:B$4816,2))))))</f>
        <v>Содержание органов местного самоуправления за счет средств поселений</v>
      </c>
      <c r="B543" s="108"/>
      <c r="C543" s="104"/>
      <c r="D543" s="105"/>
      <c r="E543" s="104">
        <v>29016</v>
      </c>
      <c r="F543" s="106"/>
      <c r="G543" s="335">
        <v>0</v>
      </c>
      <c r="H543" s="335">
        <f t="shared" ref="H543" si="388">H544+H545</f>
        <v>0</v>
      </c>
      <c r="I543" s="335">
        <f t="shared" si="351"/>
        <v>0</v>
      </c>
      <c r="J543" s="335">
        <v>0</v>
      </c>
      <c r="K543" s="266">
        <f t="shared" ref="K543" si="389">K544+K545</f>
        <v>0</v>
      </c>
      <c r="L543" s="266">
        <f t="shared" si="352"/>
        <v>0</v>
      </c>
    </row>
    <row r="544" spans="1:12" ht="110.25" x14ac:dyDescent="0.2">
      <c r="A544" s="107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08"/>
      <c r="C544" s="104"/>
      <c r="D544" s="105"/>
      <c r="E544" s="104"/>
      <c r="F544" s="106">
        <v>100</v>
      </c>
      <c r="G544" s="335">
        <v>0</v>
      </c>
      <c r="H544" s="335"/>
      <c r="I544" s="335">
        <f t="shared" si="351"/>
        <v>0</v>
      </c>
      <c r="J544" s="335">
        <v>0</v>
      </c>
      <c r="K544" s="266"/>
      <c r="L544" s="266">
        <f t="shared" si="352"/>
        <v>0</v>
      </c>
    </row>
    <row r="545" spans="1:12" ht="63" x14ac:dyDescent="0.2">
      <c r="A545" s="107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108"/>
      <c r="C545" s="104"/>
      <c r="D545" s="105"/>
      <c r="E545" s="104"/>
      <c r="F545" s="106">
        <v>200</v>
      </c>
      <c r="G545" s="335">
        <v>0</v>
      </c>
      <c r="H545" s="335"/>
      <c r="I545" s="335">
        <f t="shared" si="351"/>
        <v>0</v>
      </c>
      <c r="J545" s="335">
        <v>0</v>
      </c>
      <c r="K545" s="266"/>
      <c r="L545" s="266">
        <f t="shared" si="352"/>
        <v>0</v>
      </c>
    </row>
    <row r="546" spans="1:12" ht="15.75" x14ac:dyDescent="0.2">
      <c r="A546" s="107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IF(B546&gt;0,VLOOKUP(B546,КВСР!A255:B1420,2),IF(C546&gt;0,VLOOKUP(C546,КФСР!A255:B1767,2),IF(D546&gt;0,VLOOKUP(D546,Программа!A$1:B$5124,2),IF(F546&gt;0,VLOOKUP(F546,КВР!A$1:B$5001,2),IF(E546&gt;0,VLOOKUP(E546,Направление!A$1:B$4816,2))))))</f>
        <v>Другие общегосударственные вопросы</v>
      </c>
      <c r="B546" s="108"/>
      <c r="C546" s="104">
        <v>113</v>
      </c>
      <c r="D546" s="105"/>
      <c r="E546" s="104"/>
      <c r="F546" s="106"/>
      <c r="G546" s="335">
        <v>6000000</v>
      </c>
      <c r="H546" s="335">
        <f t="shared" ref="H546:L546" si="390">H547+H551</f>
        <v>0</v>
      </c>
      <c r="I546" s="335">
        <f t="shared" si="390"/>
        <v>6000000</v>
      </c>
      <c r="J546" s="335">
        <v>0</v>
      </c>
      <c r="K546" s="266">
        <f t="shared" si="390"/>
        <v>0</v>
      </c>
      <c r="L546" s="266">
        <f t="shared" si="390"/>
        <v>0</v>
      </c>
    </row>
    <row r="547" spans="1:12" ht="63" x14ac:dyDescent="0.2">
      <c r="A547" s="107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08"/>
      <c r="C547" s="104"/>
      <c r="D547" s="105" t="s">
        <v>326</v>
      </c>
      <c r="E547" s="104"/>
      <c r="F547" s="106"/>
      <c r="G547" s="335">
        <v>1000000</v>
      </c>
      <c r="H547" s="335">
        <f t="shared" ref="H547:L549" si="391">H548</f>
        <v>0</v>
      </c>
      <c r="I547" s="335">
        <f t="shared" si="391"/>
        <v>1000000</v>
      </c>
      <c r="J547" s="335">
        <v>0</v>
      </c>
      <c r="K547" s="266">
        <f t="shared" si="391"/>
        <v>0</v>
      </c>
      <c r="L547" s="266">
        <f t="shared" si="391"/>
        <v>0</v>
      </c>
    </row>
    <row r="548" spans="1:12" ht="31.5" x14ac:dyDescent="0.2">
      <c r="A548" s="107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IF(B548&gt;0,VLOOKUP(B548,КВСР!A257:B1422,2),IF(C548&gt;0,VLOOKUP(C548,КФСР!A257:B1769,2),IF(D548&gt;0,VLOOKUP(D548,Программа!A$1:B$5124,2),IF(F548&gt;0,VLOOKUP(F548,КВР!A$1:B$5001,2),IF(E548&gt;0,VLOOKUP(E548,Направление!A$1:B$4816,2))))))</f>
        <v>Бесперебойное функционирование информационных систем</v>
      </c>
      <c r="B548" s="108"/>
      <c r="C548" s="104"/>
      <c r="D548" s="105" t="s">
        <v>360</v>
      </c>
      <c r="E548" s="104"/>
      <c r="F548" s="106"/>
      <c r="G548" s="335">
        <v>1000000</v>
      </c>
      <c r="H548" s="335">
        <f t="shared" si="391"/>
        <v>0</v>
      </c>
      <c r="I548" s="335">
        <f t="shared" si="391"/>
        <v>1000000</v>
      </c>
      <c r="J548" s="335">
        <v>0</v>
      </c>
      <c r="K548" s="266">
        <f t="shared" si="391"/>
        <v>0</v>
      </c>
      <c r="L548" s="266">
        <f t="shared" si="391"/>
        <v>0</v>
      </c>
    </row>
    <row r="549" spans="1:12" ht="31.5" x14ac:dyDescent="0.2">
      <c r="A549" s="107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IF(B549&gt;0,VLOOKUP(B549,КВСР!A258:B1423,2),IF(C549&gt;0,VLOOKUP(C549,КФСР!A258:B1770,2),IF(D549&gt;0,VLOOKUP(D549,Программа!A$1:B$5124,2),IF(F549&gt;0,VLOOKUP(F549,КВР!A$1:B$5001,2),IF(E549&gt;0,VLOOKUP(E549,Направление!A$1:B$4816,2))))))</f>
        <v>Расходы на проведение мероприятий по информатизации</v>
      </c>
      <c r="B549" s="108"/>
      <c r="C549" s="104"/>
      <c r="D549" s="105"/>
      <c r="E549" s="104">
        <v>12210</v>
      </c>
      <c r="F549" s="106"/>
      <c r="G549" s="335">
        <v>1000000</v>
      </c>
      <c r="H549" s="335">
        <f t="shared" si="391"/>
        <v>0</v>
      </c>
      <c r="I549" s="335">
        <f t="shared" si="391"/>
        <v>1000000</v>
      </c>
      <c r="J549" s="335">
        <v>0</v>
      </c>
      <c r="K549" s="266">
        <f t="shared" si="391"/>
        <v>0</v>
      </c>
      <c r="L549" s="266">
        <f t="shared" si="391"/>
        <v>0</v>
      </c>
    </row>
    <row r="550" spans="1:12" ht="63" x14ac:dyDescent="0.2">
      <c r="A550" s="107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IF(B550&gt;0,VLOOKUP(B550,КВСР!A258:B1423,2),IF(C550&gt;0,VLOOKUP(C550,КФСР!A258:B1770,2),IF(D550&gt;0,VLOOKUP(D550,Программа!A$1:B$5124,2),IF(F550&gt;0,VLOOKUP(F550,КВР!A$1:B$5001,2),IF(E550&gt;0,VLOOKUP(E550,Направление!A$1:B$4816,2))))))</f>
        <v xml:space="preserve">Закупка товаров, работ и услуг для обеспечения государственных (муниципальных) нужд
</v>
      </c>
      <c r="B550" s="108"/>
      <c r="C550" s="104"/>
      <c r="D550" s="105"/>
      <c r="E550" s="104"/>
      <c r="F550" s="106">
        <v>200</v>
      </c>
      <c r="G550" s="335">
        <v>1000000</v>
      </c>
      <c r="H550" s="335"/>
      <c r="I550" s="335">
        <f t="shared" si="351"/>
        <v>1000000</v>
      </c>
      <c r="J550" s="335">
        <v>0</v>
      </c>
      <c r="K550" s="266"/>
      <c r="L550" s="266">
        <f t="shared" si="352"/>
        <v>0</v>
      </c>
    </row>
    <row r="551" spans="1:12" ht="15.75" x14ac:dyDescent="0.2">
      <c r="A551" s="107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IF(B551&gt;0,VLOOKUP(B551,КВСР!A259:B1424,2),IF(C551&gt;0,VLOOKUP(C551,КФСР!A259:B1771,2),IF(D551&gt;0,VLOOKUP(D551,Программа!A$1:B$5124,2),IF(F551&gt;0,VLOOKUP(F551,КВР!A$1:B$5001,2),IF(E551&gt;0,VLOOKUP(E551,Направление!A$1:B$4816,2))))))</f>
        <v>Непрограммные расходы бюджета</v>
      </c>
      <c r="B551" s="108"/>
      <c r="C551" s="104"/>
      <c r="D551" s="105" t="s">
        <v>311</v>
      </c>
      <c r="E551" s="104"/>
      <c r="F551" s="106"/>
      <c r="G551" s="335">
        <v>5000000</v>
      </c>
      <c r="H551" s="335">
        <f t="shared" ref="H551:K551" si="392">H552</f>
        <v>0</v>
      </c>
      <c r="I551" s="335">
        <f t="shared" si="392"/>
        <v>5000000</v>
      </c>
      <c r="J551" s="335">
        <v>0</v>
      </c>
      <c r="K551" s="266">
        <f t="shared" si="392"/>
        <v>0</v>
      </c>
      <c r="L551" s="266">
        <f t="shared" si="352"/>
        <v>0</v>
      </c>
    </row>
    <row r="552" spans="1:12" ht="47.25" x14ac:dyDescent="0.2">
      <c r="A552" s="107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IF(B552&gt;0,VLOOKUP(B552,КВСР!A260:B1425,2),IF(C552&gt;0,VLOOKUP(C552,КФСР!A260:B1772,2),IF(D552&gt;0,VLOOKUP(D552,Программа!A$1:B$5124,2),IF(F552&gt;0,VLOOKUP(F552,КВР!A$1:B$5001,2),IF(E552&gt;0,VLOOKUP(E552,Направление!A$1:B$4816,2))))))</f>
        <v>Обеспечение деятельности подведомственных учреждений органов местного самоуправления</v>
      </c>
      <c r="B552" s="108"/>
      <c r="C552" s="104"/>
      <c r="D552" s="105"/>
      <c r="E552" s="104">
        <v>12100</v>
      </c>
      <c r="F552" s="106"/>
      <c r="G552" s="335">
        <v>5000000</v>
      </c>
      <c r="H552" s="335">
        <f t="shared" ref="H552:K552" si="393">H553+H554</f>
        <v>0</v>
      </c>
      <c r="I552" s="335">
        <f t="shared" ref="I552" si="394">I553+I554</f>
        <v>5000000</v>
      </c>
      <c r="J552" s="335">
        <v>0</v>
      </c>
      <c r="K552" s="266">
        <f t="shared" si="393"/>
        <v>0</v>
      </c>
      <c r="L552" s="266">
        <f t="shared" si="352"/>
        <v>0</v>
      </c>
    </row>
    <row r="553" spans="1:12" ht="110.25" x14ac:dyDescent="0.2">
      <c r="A553" s="107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08"/>
      <c r="C553" s="104"/>
      <c r="D553" s="105"/>
      <c r="E553" s="104"/>
      <c r="F553" s="106">
        <v>100</v>
      </c>
      <c r="G553" s="335">
        <v>4400000</v>
      </c>
      <c r="H553" s="335"/>
      <c r="I553" s="335">
        <f t="shared" si="351"/>
        <v>4400000</v>
      </c>
      <c r="J553" s="335">
        <v>0</v>
      </c>
      <c r="K553" s="266"/>
      <c r="L553" s="266">
        <f t="shared" si="352"/>
        <v>0</v>
      </c>
    </row>
    <row r="554" spans="1:12" ht="63" x14ac:dyDescent="0.2">
      <c r="A554" s="107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108"/>
      <c r="C554" s="104"/>
      <c r="D554" s="105"/>
      <c r="E554" s="104"/>
      <c r="F554" s="106">
        <v>200</v>
      </c>
      <c r="G554" s="335">
        <v>600000</v>
      </c>
      <c r="H554" s="335"/>
      <c r="I554" s="335">
        <f t="shared" si="351"/>
        <v>600000</v>
      </c>
      <c r="J554" s="335">
        <v>0</v>
      </c>
      <c r="K554" s="266"/>
      <c r="L554" s="266">
        <f t="shared" si="352"/>
        <v>0</v>
      </c>
    </row>
    <row r="555" spans="1:12" ht="31.5" x14ac:dyDescent="0.2">
      <c r="A555" s="107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IF(B555&gt;0,VLOOKUP(B555,КВСР!A258:B1423,2),IF(C555&gt;0,VLOOKUP(C555,КФСР!A258:B1770,2),IF(D555&gt;0,VLOOKUP(D555,Программа!A$1:B$5124,2),IF(F555&gt;0,VLOOKUP(F555,КВР!A$1:B$5001,2),IF(E555&gt;0,VLOOKUP(E555,Направление!A$1:B$4816,2))))))</f>
        <v>Мобилизационная и вневойсковая подготовка</v>
      </c>
      <c r="B555" s="108"/>
      <c r="C555" s="104">
        <v>203</v>
      </c>
      <c r="D555" s="105"/>
      <c r="E555" s="104"/>
      <c r="F555" s="106"/>
      <c r="G555" s="335">
        <v>0</v>
      </c>
      <c r="H555" s="335">
        <f t="shared" ref="H555:H557" si="395">H556</f>
        <v>0</v>
      </c>
      <c r="I555" s="335">
        <f t="shared" si="351"/>
        <v>0</v>
      </c>
      <c r="J555" s="335">
        <v>0</v>
      </c>
      <c r="K555" s="266">
        <f t="shared" ref="K555:K557" si="396">K556</f>
        <v>0</v>
      </c>
      <c r="L555" s="266">
        <f t="shared" si="352"/>
        <v>0</v>
      </c>
    </row>
    <row r="556" spans="1:12" ht="31.5" x14ac:dyDescent="0.2">
      <c r="A556" s="107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IF(B556&gt;0,VLOOKUP(B556,КВСР!A259:B1424,2),IF(C556&gt;0,VLOOKUP(C556,КФСР!A259:B1771,2),IF(D556&gt;0,VLOOKUP(D556,Программа!A$1:B$5124,2),IF(F556&gt;0,VLOOKUP(F556,КВР!A$1:B$5001,2),IF(E556&gt;0,VLOOKUP(E556,Направление!A$1:B$4816,2))))))</f>
        <v>Межбюджетные трансферты  поселениям района</v>
      </c>
      <c r="B556" s="108"/>
      <c r="C556" s="104"/>
      <c r="D556" s="105" t="s">
        <v>478</v>
      </c>
      <c r="E556" s="104"/>
      <c r="F556" s="106"/>
      <c r="G556" s="335">
        <v>0</v>
      </c>
      <c r="H556" s="335">
        <f t="shared" si="395"/>
        <v>0</v>
      </c>
      <c r="I556" s="335">
        <f t="shared" si="351"/>
        <v>0</v>
      </c>
      <c r="J556" s="335">
        <v>0</v>
      </c>
      <c r="K556" s="266">
        <f t="shared" si="396"/>
        <v>0</v>
      </c>
      <c r="L556" s="266">
        <f t="shared" si="352"/>
        <v>0</v>
      </c>
    </row>
    <row r="557" spans="1:12" ht="47.25" x14ac:dyDescent="0.2">
      <c r="A557" s="107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IF(B557&gt;0,VLOOKUP(B557,КВСР!A260:B1425,2),IF(C557&gt;0,VLOOKUP(C557,КФСР!A260:B1772,2),IF(D557&gt;0,VLOOKUP(D557,Программа!A$1:B$5124,2),IF(F557&gt;0,VLOOKUP(F557,КВР!A$1:B$5001,2),IF(E557&gt;0,VLOOKUP(E557,Направление!A$1:B$4816,2))))))</f>
        <v>Субвенция  на осуществление первичного воинского учета на территориях, где отсутствуют военные комиссариаты</v>
      </c>
      <c r="B557" s="108"/>
      <c r="C557" s="104"/>
      <c r="D557" s="105"/>
      <c r="E557" s="104">
        <v>51180</v>
      </c>
      <c r="F557" s="106"/>
      <c r="G557" s="335">
        <v>0</v>
      </c>
      <c r="H557" s="335">
        <f t="shared" si="395"/>
        <v>0</v>
      </c>
      <c r="I557" s="335">
        <f t="shared" si="351"/>
        <v>0</v>
      </c>
      <c r="J557" s="335">
        <v>0</v>
      </c>
      <c r="K557" s="266">
        <f t="shared" si="396"/>
        <v>0</v>
      </c>
      <c r="L557" s="266">
        <f t="shared" si="352"/>
        <v>0</v>
      </c>
    </row>
    <row r="558" spans="1:12" ht="15.75" x14ac:dyDescent="0.2">
      <c r="A558" s="107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IF(B558&gt;0,VLOOKUP(B558,КВСР!A261:B1426,2),IF(C558&gt;0,VLOOKUP(C558,КФСР!A261:B1773,2),IF(D558&gt;0,VLOOKUP(D558,Программа!A$1:B$5124,2),IF(F558&gt;0,VLOOKUP(F558,КВР!A$1:B$5001,2),IF(E558&gt;0,VLOOKUP(E558,Направление!A$1:B$4816,2))))))</f>
        <v xml:space="preserve"> Межбюджетные трансферты</v>
      </c>
      <c r="B558" s="108"/>
      <c r="C558" s="104"/>
      <c r="D558" s="106"/>
      <c r="E558" s="104"/>
      <c r="F558" s="106">
        <v>500</v>
      </c>
      <c r="G558" s="335">
        <v>0</v>
      </c>
      <c r="H558" s="335"/>
      <c r="I558" s="335">
        <f t="shared" si="351"/>
        <v>0</v>
      </c>
      <c r="J558" s="335">
        <v>0</v>
      </c>
      <c r="K558" s="266"/>
      <c r="L558" s="266">
        <f t="shared" si="352"/>
        <v>0</v>
      </c>
    </row>
    <row r="559" spans="1:12" ht="31.5" x14ac:dyDescent="0.2">
      <c r="A559" s="107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IF(B559&gt;0,VLOOKUP(B559,КВСР!A262:B1427,2),IF(C559&gt;0,VLOOKUP(C559,КФСР!A262:B1774,2),IF(D559&gt;0,VLOOKUP(D559,Программа!A$1:B$5124,2),IF(F559&gt;0,VLOOKUP(F559,КВР!A$1:B$5001,2),IF(E559&gt;0,VLOOKUP(E559,Направление!A$1:B$4816,2))))))</f>
        <v>Обслуживание государственного (муниципального) внутреннего долга</v>
      </c>
      <c r="B559" s="108"/>
      <c r="C559" s="104">
        <v>1301</v>
      </c>
      <c r="D559" s="105"/>
      <c r="E559" s="104"/>
      <c r="F559" s="106"/>
      <c r="G559" s="335">
        <v>100000</v>
      </c>
      <c r="H559" s="335">
        <f t="shared" ref="H559:I560" si="397">H560</f>
        <v>0</v>
      </c>
      <c r="I559" s="335">
        <f t="shared" si="397"/>
        <v>100000</v>
      </c>
      <c r="J559" s="335">
        <v>0</v>
      </c>
      <c r="K559" s="266">
        <f t="shared" ref="K559:L561" si="398">K560</f>
        <v>0</v>
      </c>
      <c r="L559" s="266">
        <f t="shared" si="398"/>
        <v>0</v>
      </c>
    </row>
    <row r="560" spans="1:12" ht="15.75" x14ac:dyDescent="0.2">
      <c r="A560" s="107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IF(B560&gt;0,VLOOKUP(B560,КВСР!A263:B1428,2),IF(C560&gt;0,VLOOKUP(C560,КФСР!A263:B1775,2),IF(D560&gt;0,VLOOKUP(D560,Программа!A$1:B$5124,2),IF(F560&gt;0,VLOOKUP(F560,КВР!A$1:B$5001,2),IF(E560&gt;0,VLOOKUP(E560,Направление!A$1:B$4816,2))))))</f>
        <v>Непрограммные расходы бюджета</v>
      </c>
      <c r="B560" s="108"/>
      <c r="C560" s="104"/>
      <c r="D560" s="105" t="s">
        <v>311</v>
      </c>
      <c r="E560" s="104"/>
      <c r="F560" s="106"/>
      <c r="G560" s="335">
        <v>100000</v>
      </c>
      <c r="H560" s="335">
        <f t="shared" si="397"/>
        <v>0</v>
      </c>
      <c r="I560" s="335">
        <f t="shared" si="397"/>
        <v>100000</v>
      </c>
      <c r="J560" s="335">
        <v>0</v>
      </c>
      <c r="K560" s="266">
        <f t="shared" si="398"/>
        <v>0</v>
      </c>
      <c r="L560" s="266">
        <f t="shared" si="398"/>
        <v>0</v>
      </c>
    </row>
    <row r="561" spans="1:12" ht="31.5" x14ac:dyDescent="0.2">
      <c r="A561" s="107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IF(B561&gt;0,VLOOKUP(B561,КВСР!A264:B1429,2),IF(C561&gt;0,VLOOKUP(C561,КФСР!A264:B1776,2),IF(D561&gt;0,VLOOKUP(D561,Программа!A$1:B$5124,2),IF(F561&gt;0,VLOOKUP(F561,КВР!A$1:B$5001,2),IF(E561&gt;0,VLOOKUP(E561,Направление!A$1:B$4816,2))))))</f>
        <v>Процентные платежи по обслуживанию муниципального долга</v>
      </c>
      <c r="B561" s="108"/>
      <c r="C561" s="104"/>
      <c r="D561" s="105"/>
      <c r="E561" s="104">
        <v>12800</v>
      </c>
      <c r="F561" s="106"/>
      <c r="G561" s="335">
        <v>100000</v>
      </c>
      <c r="H561" s="335">
        <f t="shared" ref="H561:I561" si="399">H562</f>
        <v>0</v>
      </c>
      <c r="I561" s="335">
        <f t="shared" si="399"/>
        <v>100000</v>
      </c>
      <c r="J561" s="335">
        <v>0</v>
      </c>
      <c r="K561" s="266">
        <f t="shared" si="398"/>
        <v>0</v>
      </c>
      <c r="L561" s="266">
        <f t="shared" si="398"/>
        <v>0</v>
      </c>
    </row>
    <row r="562" spans="1:12" ht="31.5" x14ac:dyDescent="0.2">
      <c r="A562" s="107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IF(B562&gt;0,VLOOKUP(B562,КВСР!A265:B1430,2),IF(C562&gt;0,VLOOKUP(C562,КФСР!A265:B1777,2),IF(D562&gt;0,VLOOKUP(D562,Программа!A$1:B$5124,2),IF(F562&gt;0,VLOOKUP(F562,КВР!A$1:B$5001,2),IF(E562&gt;0,VLOOKUP(E562,Направление!A$1:B$4816,2))))))</f>
        <v>Обслуживание государственного долга Российской Федерации</v>
      </c>
      <c r="B562" s="108"/>
      <c r="C562" s="104"/>
      <c r="D562" s="105"/>
      <c r="E562" s="104"/>
      <c r="F562" s="106">
        <v>700</v>
      </c>
      <c r="G562" s="335">
        <v>100000</v>
      </c>
      <c r="H562" s="335"/>
      <c r="I562" s="335">
        <f t="shared" si="351"/>
        <v>100000</v>
      </c>
      <c r="J562" s="335">
        <v>0</v>
      </c>
      <c r="K562" s="266"/>
      <c r="L562" s="266">
        <f t="shared" si="352"/>
        <v>0</v>
      </c>
    </row>
    <row r="563" spans="1:12" ht="63" x14ac:dyDescent="0.2">
      <c r="A563" s="107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563" s="108"/>
      <c r="C563" s="104">
        <v>1401</v>
      </c>
      <c r="D563" s="105"/>
      <c r="E563" s="104"/>
      <c r="F563" s="106"/>
      <c r="G563" s="335">
        <v>0</v>
      </c>
      <c r="H563" s="340">
        <f t="shared" ref="H563" si="400">H564</f>
        <v>0</v>
      </c>
      <c r="I563" s="340">
        <f t="shared" si="351"/>
        <v>0</v>
      </c>
      <c r="J563" s="340">
        <v>0</v>
      </c>
      <c r="K563" s="256">
        <f t="shared" ref="K563" si="401">K564</f>
        <v>0</v>
      </c>
      <c r="L563" s="256">
        <f t="shared" si="352"/>
        <v>0</v>
      </c>
    </row>
    <row r="564" spans="1:12" ht="31.5" x14ac:dyDescent="0.2">
      <c r="A564" s="107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IF(B564&gt;0,VLOOKUP(B564,КВСР!A270:B1435,2),IF(C564&gt;0,VLOOKUP(C564,КФСР!A270:B1782,2),IF(D564&gt;0,VLOOKUP(D564,Программа!A$1:B$5124,2),IF(F564&gt;0,VLOOKUP(F564,КВР!A$1:B$5001,2),IF(E564&gt;0,VLOOKUP(E564,Направление!A$1:B$4816,2))))))</f>
        <v>Межбюджетные трансферты  поселениям района</v>
      </c>
      <c r="B564" s="108"/>
      <c r="C564" s="104"/>
      <c r="D564" s="105" t="s">
        <v>478</v>
      </c>
      <c r="E564" s="104"/>
      <c r="F564" s="106"/>
      <c r="G564" s="335">
        <v>0</v>
      </c>
      <c r="H564" s="340"/>
      <c r="I564" s="340">
        <f t="shared" si="351"/>
        <v>0</v>
      </c>
      <c r="J564" s="340">
        <v>0</v>
      </c>
      <c r="K564" s="256">
        <f t="shared" ref="K564" si="402">K565+K567</f>
        <v>0</v>
      </c>
      <c r="L564" s="256">
        <f t="shared" si="352"/>
        <v>0</v>
      </c>
    </row>
    <row r="565" spans="1:12" ht="47.25" x14ac:dyDescent="0.2">
      <c r="A565" s="107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IF(B565&gt;0,VLOOKUP(B565,КВСР!A272:B1437,2),IF(C565&gt;0,VLOOKUP(C565,КФСР!A272:B1784,2),IF(D565&gt;0,VLOOKUP(D565,Программа!A$1:B$5124,2),IF(F565&gt;0,VLOOKUP(F565,КВР!A$1:B$5001,2),IF(E565&gt;0,VLOOKUP(E565,Направление!A$1:B$4816,2))))))</f>
        <v>Дотации поселениям района  на выравнивание бюджетной обеспеченности</v>
      </c>
      <c r="B565" s="108"/>
      <c r="C565" s="104"/>
      <c r="D565" s="105"/>
      <c r="E565" s="104">
        <v>10800</v>
      </c>
      <c r="F565" s="106"/>
      <c r="G565" s="335">
        <v>0</v>
      </c>
      <c r="H565" s="340">
        <f t="shared" ref="H565" si="403">H566</f>
        <v>0</v>
      </c>
      <c r="I565" s="340">
        <f t="shared" si="351"/>
        <v>0</v>
      </c>
      <c r="J565" s="340">
        <v>0</v>
      </c>
      <c r="K565" s="256">
        <f t="shared" ref="K565" si="404">K566</f>
        <v>0</v>
      </c>
      <c r="L565" s="256">
        <f t="shared" si="352"/>
        <v>0</v>
      </c>
    </row>
    <row r="566" spans="1:12" ht="15.75" x14ac:dyDescent="0.2">
      <c r="A566" s="107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IF(B566&gt;0,VLOOKUP(B566,КВСР!A273:B1438,2),IF(C566&gt;0,VLOOKUP(C566,КФСР!A273:B1785,2),IF(D566&gt;0,VLOOKUP(D566,Программа!A$1:B$5124,2),IF(F566&gt;0,VLOOKUP(F566,КВР!A$1:B$5001,2),IF(E566&gt;0,VLOOKUP(E566,Направление!A$1:B$4816,2))))))</f>
        <v xml:space="preserve"> Межбюджетные трансферты</v>
      </c>
      <c r="B566" s="108"/>
      <c r="C566" s="104"/>
      <c r="D566" s="105"/>
      <c r="E566" s="104"/>
      <c r="F566" s="106">
        <v>500</v>
      </c>
      <c r="G566" s="483">
        <v>0</v>
      </c>
      <c r="H566" s="340"/>
      <c r="I566" s="340">
        <f t="shared" si="351"/>
        <v>0</v>
      </c>
      <c r="J566" s="340">
        <v>0</v>
      </c>
      <c r="K566" s="256"/>
      <c r="L566" s="256">
        <f t="shared" si="352"/>
        <v>0</v>
      </c>
    </row>
    <row r="567" spans="1:12" ht="47.25" x14ac:dyDescent="0.2">
      <c r="A567" s="107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IF(B567&gt;0,VLOOKUP(B567,КВСР!A271:B1436,2),IF(C567&gt;0,VLOOKUP(C567,КФСР!A271:B1783,2),IF(D567&gt;0,VLOOKUP(D567,Программа!A$1:B$5124,2),IF(F567&gt;0,VLOOKUP(F567,КВР!A$1:B$5001,2),IF(E567&gt;0,VLOOKUP(E567,Направление!A$1:B$4816,2))))))</f>
        <v>Дотации поселениям Ярославской области на выравнивание бюджетной обеспеченности</v>
      </c>
      <c r="B567" s="108"/>
      <c r="C567" s="104"/>
      <c r="D567" s="105"/>
      <c r="E567" s="104">
        <v>72970</v>
      </c>
      <c r="F567" s="106"/>
      <c r="G567" s="335">
        <v>0</v>
      </c>
      <c r="H567" s="340">
        <f t="shared" ref="H567" si="405">H568</f>
        <v>0</v>
      </c>
      <c r="I567" s="340">
        <f t="shared" si="351"/>
        <v>0</v>
      </c>
      <c r="J567" s="340">
        <v>0</v>
      </c>
      <c r="K567" s="256">
        <f t="shared" ref="K567" si="406">K568</f>
        <v>0</v>
      </c>
      <c r="L567" s="256">
        <f t="shared" si="352"/>
        <v>0</v>
      </c>
    </row>
    <row r="568" spans="1:12" ht="15.75" x14ac:dyDescent="0.2">
      <c r="A568" s="107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IF(B568&gt;0,VLOOKUP(B568,КВСР!A272:B1437,2),IF(C568&gt;0,VLOOKUP(C568,КФСР!A272:B1784,2),IF(D568&gt;0,VLOOKUP(D568,Программа!A$1:B$5124,2),IF(F568&gt;0,VLOOKUP(F568,КВР!A$1:B$5001,2),IF(E568&gt;0,VLOOKUP(E568,Направление!A$1:B$4816,2))))))</f>
        <v xml:space="preserve"> Межбюджетные трансферты</v>
      </c>
      <c r="B568" s="108"/>
      <c r="C568" s="104"/>
      <c r="D568" s="105"/>
      <c r="E568" s="104"/>
      <c r="F568" s="106">
        <v>500</v>
      </c>
      <c r="G568" s="335">
        <v>0</v>
      </c>
      <c r="H568" s="340"/>
      <c r="I568" s="340">
        <f t="shared" si="351"/>
        <v>0</v>
      </c>
      <c r="J568" s="340">
        <v>0</v>
      </c>
      <c r="K568" s="256"/>
      <c r="L568" s="256">
        <f t="shared" si="352"/>
        <v>0</v>
      </c>
    </row>
    <row r="569" spans="1:12" ht="47.25" x14ac:dyDescent="0.2">
      <c r="A569" s="102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IF(B569&gt;0,VLOOKUP(B569,КВСР!A276:B1441,2),IF(C569&gt;0,VLOOKUP(C569,КФСР!A276:B1788,2),IF(D569&gt;0,VLOOKUP(D569,Программа!A$1:B$5124,2),IF(F569&gt;0,VLOOKUP(F569,КВР!A$1:B$5001,2),IF(E569&gt;0,VLOOKUP(E569,Направление!A$1:B$4816,2))))))</f>
        <v>Департамент культуры, туризма и молодежной политики Администрации ТМР</v>
      </c>
      <c r="B569" s="103">
        <v>956</v>
      </c>
      <c r="C569" s="104"/>
      <c r="D569" s="105"/>
      <c r="E569" s="104"/>
      <c r="F569" s="106"/>
      <c r="G569" s="338">
        <v>144227391</v>
      </c>
      <c r="H569" s="338">
        <f>H575+H588+H598+H628+H643+H570</f>
        <v>0</v>
      </c>
      <c r="I569" s="338">
        <f>I575+I588+I598+I628+I643+I570</f>
        <v>144227391</v>
      </c>
      <c r="J569" s="338">
        <v>113202391</v>
      </c>
      <c r="K569" s="338">
        <f>K575+K588+K598+K628+K643+K570</f>
        <v>0</v>
      </c>
      <c r="L569" s="338">
        <f>L575+L588+L598+L628+L643+L570</f>
        <v>113202391</v>
      </c>
    </row>
    <row r="570" spans="1:12" ht="47.25" x14ac:dyDescent="0.2">
      <c r="A570" s="107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IF(B570&gt;0,VLOOKUP(B570,КВСР!A277:B1442,2),IF(C570&gt;0,VLOOKUP(C570,КФСР!A277:B1789,2),IF(D570&gt;0,VLOOKUP(D570,Программа!A$1:B$5124,2),IF(F570&gt;0,VLOOKUP(F570,КВР!A$1:B$5001,2),IF(E570&gt;0,VLOOKUP(E570,Направление!A$1:B$4816,2))))))</f>
        <v>Другие вопросы в области национальной безопасности и правоохранительной деятельности</v>
      </c>
      <c r="B570" s="103"/>
      <c r="C570" s="104">
        <v>314</v>
      </c>
      <c r="D570" s="105"/>
      <c r="E570" s="104"/>
      <c r="F570" s="106"/>
      <c r="G570" s="390">
        <v>200000</v>
      </c>
      <c r="H570" s="390">
        <f t="shared" ref="H570:L573" si="407">H571</f>
        <v>0</v>
      </c>
      <c r="I570" s="390">
        <f t="shared" si="407"/>
        <v>200000</v>
      </c>
      <c r="J570" s="390">
        <v>200000</v>
      </c>
      <c r="K570" s="390">
        <f t="shared" si="407"/>
        <v>0</v>
      </c>
      <c r="L570" s="390">
        <f t="shared" si="407"/>
        <v>200000</v>
      </c>
    </row>
    <row r="571" spans="1:12" ht="63" x14ac:dyDescent="0.2">
      <c r="A571" s="107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3"/>
      <c r="C571" s="104"/>
      <c r="D571" s="105" t="s">
        <v>426</v>
      </c>
      <c r="E571" s="104"/>
      <c r="F571" s="106"/>
      <c r="G571" s="390">
        <v>200000</v>
      </c>
      <c r="H571" s="390">
        <f t="shared" si="407"/>
        <v>0</v>
      </c>
      <c r="I571" s="390">
        <f t="shared" si="407"/>
        <v>200000</v>
      </c>
      <c r="J571" s="390">
        <v>200000</v>
      </c>
      <c r="K571" s="390">
        <f t="shared" si="407"/>
        <v>0</v>
      </c>
      <c r="L571" s="390">
        <f t="shared" si="407"/>
        <v>200000</v>
      </c>
    </row>
    <row r="572" spans="1:12" ht="31.5" x14ac:dyDescent="0.2">
      <c r="A572" s="107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IF(B572&gt;0,VLOOKUP(B572,КВСР!A279:B1444,2),IF(C572&gt;0,VLOOKUP(C572,КФСР!A279:B1791,2),IF(D572&gt;0,VLOOKUP(D572,Программа!A$1:B$5124,2),IF(F572&gt;0,VLOOKUP(F572,КВР!A$1:B$5001,2),IF(E572&gt;0,VLOOKUP(E572,Направление!A$1:B$4816,2))))))</f>
        <v>Реализация мероприятий по профилактике правонарушений</v>
      </c>
      <c r="B572" s="103"/>
      <c r="C572" s="104"/>
      <c r="D572" s="105" t="s">
        <v>428</v>
      </c>
      <c r="E572" s="104"/>
      <c r="F572" s="106"/>
      <c r="G572" s="390">
        <v>200000</v>
      </c>
      <c r="H572" s="390">
        <f t="shared" si="407"/>
        <v>0</v>
      </c>
      <c r="I572" s="390">
        <f t="shared" si="407"/>
        <v>200000</v>
      </c>
      <c r="J572" s="390">
        <v>200000</v>
      </c>
      <c r="K572" s="390">
        <f t="shared" si="407"/>
        <v>0</v>
      </c>
      <c r="L572" s="390">
        <f t="shared" si="407"/>
        <v>200000</v>
      </c>
    </row>
    <row r="573" spans="1:12" ht="31.5" x14ac:dyDescent="0.2">
      <c r="A573" s="107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IF(B573&gt;0,VLOOKUP(B573,КВСР!A280:B1445,2),IF(C573&gt;0,VLOOKUP(C573,КФСР!A280:B1792,2),IF(D573&gt;0,VLOOKUP(D573,Программа!A$1:B$5124,2),IF(F573&gt;0,VLOOKUP(F573,КВР!A$1:B$5001,2),IF(E573&gt;0,VLOOKUP(E573,Направление!A$1:B$4816,2))))))</f>
        <v>Обеспечение деятельности народных дружин</v>
      </c>
      <c r="B573" s="103"/>
      <c r="C573" s="104"/>
      <c r="D573" s="105"/>
      <c r="E573" s="104">
        <v>29486</v>
      </c>
      <c r="F573" s="106"/>
      <c r="G573" s="390">
        <v>200000</v>
      </c>
      <c r="H573" s="390">
        <f t="shared" si="407"/>
        <v>0</v>
      </c>
      <c r="I573" s="390">
        <f t="shared" si="407"/>
        <v>200000</v>
      </c>
      <c r="J573" s="390">
        <v>200000</v>
      </c>
      <c r="K573" s="390">
        <f t="shared" si="407"/>
        <v>0</v>
      </c>
      <c r="L573" s="390">
        <f t="shared" si="407"/>
        <v>200000</v>
      </c>
    </row>
    <row r="574" spans="1:12" ht="47.25" x14ac:dyDescent="0.2">
      <c r="A574" s="107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03"/>
      <c r="C574" s="104"/>
      <c r="D574" s="105"/>
      <c r="E574" s="104"/>
      <c r="F574" s="106">
        <v>600</v>
      </c>
      <c r="G574" s="390">
        <v>200000</v>
      </c>
      <c r="H574" s="390"/>
      <c r="I574" s="390">
        <f>G574+H574</f>
        <v>200000</v>
      </c>
      <c r="J574" s="390">
        <v>200000</v>
      </c>
      <c r="K574" s="390"/>
      <c r="L574" s="390">
        <f>J574+K574</f>
        <v>200000</v>
      </c>
    </row>
    <row r="575" spans="1:12" ht="15.75" x14ac:dyDescent="0.2">
      <c r="A575" s="107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IF(B575&gt;0,VLOOKUP(B575,КВСР!A282:B1447,2),IF(C575&gt;0,VLOOKUP(C575,КФСР!A282:B1794,2),IF(D575&gt;0,VLOOKUP(D575,Программа!A$1:B$5124,2),IF(F575&gt;0,VLOOKUP(F575,КВР!A$1:B$5001,2),IF(E575&gt;0,VLOOKUP(E575,Направление!A$1:B$4816,2))))))</f>
        <v>Дополнительное образование детей</v>
      </c>
      <c r="B575" s="108"/>
      <c r="C575" s="104">
        <v>703</v>
      </c>
      <c r="D575" s="105"/>
      <c r="E575" s="104"/>
      <c r="F575" s="106"/>
      <c r="G575" s="335">
        <v>23318609</v>
      </c>
      <c r="H575" s="335">
        <f>H576</f>
        <v>0</v>
      </c>
      <c r="I575" s="335">
        <f>I576</f>
        <v>23318609</v>
      </c>
      <c r="J575" s="335">
        <v>20716221</v>
      </c>
      <c r="K575" s="266">
        <f t="shared" ref="K575:L576" si="408">K576</f>
        <v>0</v>
      </c>
      <c r="L575" s="266">
        <f t="shared" si="408"/>
        <v>20716221</v>
      </c>
    </row>
    <row r="576" spans="1:12" ht="63" x14ac:dyDescent="0.2">
      <c r="A576" s="107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76" s="108"/>
      <c r="C576" s="104"/>
      <c r="D576" s="113" t="s">
        <v>396</v>
      </c>
      <c r="E576" s="111"/>
      <c r="F576" s="106"/>
      <c r="G576" s="335">
        <v>23318609</v>
      </c>
      <c r="H576" s="335">
        <f>H577</f>
        <v>0</v>
      </c>
      <c r="I576" s="335">
        <f>I577</f>
        <v>23318609</v>
      </c>
      <c r="J576" s="335">
        <v>20716221</v>
      </c>
      <c r="K576" s="335">
        <f t="shared" si="408"/>
        <v>0</v>
      </c>
      <c r="L576" s="335">
        <f t="shared" si="408"/>
        <v>20716221</v>
      </c>
    </row>
    <row r="577" spans="1:12" ht="47.25" x14ac:dyDescent="0.2">
      <c r="A577" s="107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IF(B577&gt;0,VLOOKUP(B577,КВСР!A284:B1449,2),IF(C577&gt;0,VLOOKUP(C577,КФСР!A284:B1796,2),IF(D577&gt;0,VLOOKUP(D577,Программа!A$1:B$5124,2),IF(F577&gt;0,VLOOKUP(F577,КВР!A$1:B$5001,2),IF(E577&gt;0,VLOOKUP(E577,Направление!A$1:B$4816,2))))))</f>
        <v>Ведомственная целевая программа «Сохранение и развитие культуры Тутаевского муниципального района»</v>
      </c>
      <c r="B577" s="108"/>
      <c r="C577" s="104"/>
      <c r="D577" s="113" t="s">
        <v>494</v>
      </c>
      <c r="E577" s="111"/>
      <c r="F577" s="106"/>
      <c r="G577" s="335">
        <v>23318609</v>
      </c>
      <c r="H577" s="335">
        <f>H578+H585</f>
        <v>0</v>
      </c>
      <c r="I577" s="335">
        <f>I578+I585</f>
        <v>23318609</v>
      </c>
      <c r="J577" s="335">
        <v>20716221</v>
      </c>
      <c r="K577" s="335">
        <f t="shared" ref="K577" si="409">K578+K585</f>
        <v>0</v>
      </c>
      <c r="L577" s="335">
        <f t="shared" ref="L577" si="410">L578+L585</f>
        <v>20716221</v>
      </c>
    </row>
    <row r="578" spans="1:12" ht="47.25" x14ac:dyDescent="0.2">
      <c r="A578" s="107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IF(B578&gt;0,VLOOKUP(B578,КВСР!A285:B1450,2),IF(C578&gt;0,VLOOKUP(C578,КФСР!A285:B1797,2),IF(D578&gt;0,VLOOKUP(D578,Программа!A$1:B$5124,2),IF(F578&gt;0,VLOOKUP(F578,КВР!A$1:B$5001,2),IF(E578&gt;0,VLOOKUP(E578,Направление!A$1:B$4816,2))))))</f>
        <v>Реализация дополнительных образовательных программ в сфере культуры</v>
      </c>
      <c r="B578" s="108"/>
      <c r="C578" s="104"/>
      <c r="D578" s="105" t="s">
        <v>496</v>
      </c>
      <c r="E578" s="104"/>
      <c r="F578" s="106"/>
      <c r="G578" s="335">
        <v>23318609</v>
      </c>
      <c r="H578" s="335">
        <f>H579+H581+H583</f>
        <v>0</v>
      </c>
      <c r="I578" s="335">
        <f t="shared" ref="I578:L578" si="411">I579+I581+I583</f>
        <v>23318609</v>
      </c>
      <c r="J578" s="335">
        <v>20716221</v>
      </c>
      <c r="K578" s="335">
        <f t="shared" si="411"/>
        <v>0</v>
      </c>
      <c r="L578" s="335">
        <f t="shared" si="411"/>
        <v>20716221</v>
      </c>
    </row>
    <row r="579" spans="1:12" ht="31.5" x14ac:dyDescent="0.2">
      <c r="A579" s="107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IF(B579&gt;0,VLOOKUP(B579,КВСР!A285:B1450,2),IF(C579&gt;0,VLOOKUP(C579,КФСР!A285:B1797,2),IF(D579&gt;0,VLOOKUP(D579,Программа!A$1:B$5124,2),IF(F579&gt;0,VLOOKUP(F579,КВР!A$1:B$5001,2),IF(E579&gt;0,VLOOKUP(E579,Направление!A$1:B$4816,2))))))</f>
        <v>Обеспечение деятельности учреждений дополнительного образования</v>
      </c>
      <c r="B579" s="108"/>
      <c r="C579" s="104"/>
      <c r="D579" s="105"/>
      <c r="E579" s="104">
        <v>13210</v>
      </c>
      <c r="F579" s="106"/>
      <c r="G579" s="335">
        <v>4534244</v>
      </c>
      <c r="H579" s="335">
        <f t="shared" ref="H579:I579" si="412">H580</f>
        <v>0</v>
      </c>
      <c r="I579" s="335">
        <f t="shared" si="412"/>
        <v>4534244</v>
      </c>
      <c r="J579" s="335">
        <v>1931856</v>
      </c>
      <c r="K579" s="266">
        <f t="shared" ref="K579:L579" si="413">K580</f>
        <v>0</v>
      </c>
      <c r="L579" s="266">
        <f t="shared" si="413"/>
        <v>1931856</v>
      </c>
    </row>
    <row r="580" spans="1:12" ht="47.25" x14ac:dyDescent="0.2">
      <c r="A580" s="107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08"/>
      <c r="C580" s="104"/>
      <c r="D580" s="105"/>
      <c r="E580" s="104"/>
      <c r="F580" s="106">
        <v>600</v>
      </c>
      <c r="G580" s="335">
        <v>4534244</v>
      </c>
      <c r="H580" s="335"/>
      <c r="I580" s="335">
        <f t="shared" si="351"/>
        <v>4534244</v>
      </c>
      <c r="J580" s="335">
        <v>1931856</v>
      </c>
      <c r="K580" s="266"/>
      <c r="L580" s="266">
        <f t="shared" si="352"/>
        <v>1931856</v>
      </c>
    </row>
    <row r="581" spans="1:12" ht="47.25" x14ac:dyDescent="0.2">
      <c r="A581" s="107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IF(B581&gt;0,VLOOKUP(B581,КВСР!A287:B1452,2),IF(C581&gt;0,VLOOKUP(C581,КФСР!A287:B1799,2),IF(D581&gt;0,VLOOKUP(D581,Программа!A$1:B$5124,2),IF(F581&gt;0,VLOOKUP(F581,КВР!A$1:B$5001,2),IF(E581&gt;0,VLOOKUP(E581,Направление!A$1:B$4816,2))))))</f>
        <v>Расходы на повышение оплаты труда работников муниципальных учреждений в сфере культуры</v>
      </c>
      <c r="B581" s="108"/>
      <c r="C581" s="104"/>
      <c r="D581" s="105"/>
      <c r="E581" s="104">
        <v>15900</v>
      </c>
      <c r="F581" s="106"/>
      <c r="G581" s="335">
        <v>12514144</v>
      </c>
      <c r="H581" s="335">
        <f>H582</f>
        <v>0</v>
      </c>
      <c r="I581" s="335">
        <f t="shared" ref="I581:L581" si="414">I582</f>
        <v>12514144</v>
      </c>
      <c r="J581" s="335">
        <v>12514144</v>
      </c>
      <c r="K581" s="335">
        <f t="shared" si="414"/>
        <v>0</v>
      </c>
      <c r="L581" s="335">
        <f t="shared" si="414"/>
        <v>12514144</v>
      </c>
    </row>
    <row r="582" spans="1:12" ht="47.25" x14ac:dyDescent="0.2">
      <c r="A582" s="107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08"/>
      <c r="C582" s="104"/>
      <c r="D582" s="105"/>
      <c r="E582" s="104"/>
      <c r="F582" s="106">
        <v>600</v>
      </c>
      <c r="G582" s="335">
        <v>12514144</v>
      </c>
      <c r="H582" s="335"/>
      <c r="I582" s="335">
        <f t="shared" si="351"/>
        <v>12514144</v>
      </c>
      <c r="J582" s="335">
        <v>12514144</v>
      </c>
      <c r="K582" s="266"/>
      <c r="L582" s="266">
        <f t="shared" si="352"/>
        <v>12514144</v>
      </c>
    </row>
    <row r="583" spans="1:12" ht="47.25" x14ac:dyDescent="0.2">
      <c r="A583" s="107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IF(B583&gt;0,VLOOKUP(B583,КВСР!A289:B1454,2),IF(C583&gt;0,VLOOKUP(C583,КФСР!A289:B1801,2),IF(D583&gt;0,VLOOKUP(D583,Программа!A$1:B$5124,2),IF(F583&gt;0,VLOOKUP(F583,КВР!A$1:B$5001,2),IF(E583&gt;0,VLOOKUP(E583,Направление!A$1:B$4816,2))))))</f>
        <v>Расходы на повышение оплаты труда работников муниципальных учреждений в сфере культуры</v>
      </c>
      <c r="B583" s="108"/>
      <c r="C583" s="104"/>
      <c r="D583" s="105"/>
      <c r="E583" s="104">
        <v>75900</v>
      </c>
      <c r="F583" s="106"/>
      <c r="G583" s="335">
        <v>6270221</v>
      </c>
      <c r="H583" s="335">
        <f>H584</f>
        <v>0</v>
      </c>
      <c r="I583" s="335">
        <f t="shared" ref="I583:L583" si="415">I584</f>
        <v>6270221</v>
      </c>
      <c r="J583" s="335">
        <v>6270221</v>
      </c>
      <c r="K583" s="335">
        <f t="shared" si="415"/>
        <v>0</v>
      </c>
      <c r="L583" s="335">
        <f t="shared" si="415"/>
        <v>6270221</v>
      </c>
    </row>
    <row r="584" spans="1:12" ht="47.25" x14ac:dyDescent="0.2">
      <c r="A584" s="107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08"/>
      <c r="C584" s="104"/>
      <c r="D584" s="105"/>
      <c r="E584" s="104"/>
      <c r="F584" s="106">
        <v>600</v>
      </c>
      <c r="G584" s="335">
        <v>6270221</v>
      </c>
      <c r="H584" s="335"/>
      <c r="I584" s="335">
        <f t="shared" si="351"/>
        <v>6270221</v>
      </c>
      <c r="J584" s="335">
        <v>6270221</v>
      </c>
      <c r="K584" s="266"/>
      <c r="L584" s="266">
        <f t="shared" si="352"/>
        <v>6270221</v>
      </c>
    </row>
    <row r="585" spans="1:12" ht="15.75" x14ac:dyDescent="0.2">
      <c r="A585" s="107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IF(B585&gt;0,VLOOKUP(B585,КВСР!A287:B1452,2),IF(C585&gt;0,VLOOKUP(C585,КФСР!A287:B1799,2),IF(D585&gt;0,VLOOKUP(D585,Программа!A$1:B$5124,2),IF(F585&gt;0,VLOOKUP(F585,КВР!A$1:B$5001,2),IF(E585&gt;0,VLOOKUP(E585,Направление!A$1:B$4816,2))))))</f>
        <v>Федеральный проект "Культурная среда"</v>
      </c>
      <c r="B585" s="108"/>
      <c r="C585" s="104"/>
      <c r="D585" s="105" t="s">
        <v>1422</v>
      </c>
      <c r="E585" s="104"/>
      <c r="F585" s="106"/>
      <c r="G585" s="335">
        <v>0</v>
      </c>
      <c r="H585" s="335">
        <f t="shared" ref="H585:L585" si="416">H586</f>
        <v>0</v>
      </c>
      <c r="I585" s="335">
        <f t="shared" si="416"/>
        <v>0</v>
      </c>
      <c r="J585" s="335">
        <v>0</v>
      </c>
      <c r="K585" s="335">
        <f t="shared" si="416"/>
        <v>0</v>
      </c>
      <c r="L585" s="335">
        <f t="shared" si="416"/>
        <v>0</v>
      </c>
    </row>
    <row r="586" spans="1:12" ht="78.75" x14ac:dyDescent="0.2">
      <c r="A586" s="107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08"/>
      <c r="C586" s="104"/>
      <c r="D586" s="105"/>
      <c r="E586" s="104">
        <v>55191</v>
      </c>
      <c r="F586" s="106"/>
      <c r="G586" s="335">
        <v>0</v>
      </c>
      <c r="H586" s="335">
        <f t="shared" ref="H586:L586" si="417">H587</f>
        <v>0</v>
      </c>
      <c r="I586" s="335">
        <f t="shared" si="417"/>
        <v>0</v>
      </c>
      <c r="J586" s="335">
        <v>0</v>
      </c>
      <c r="K586" s="335">
        <f t="shared" si="417"/>
        <v>0</v>
      </c>
      <c r="L586" s="335">
        <f t="shared" si="417"/>
        <v>0</v>
      </c>
    </row>
    <row r="587" spans="1:12" ht="47.25" x14ac:dyDescent="0.2">
      <c r="A587" s="107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IF(B587&gt;0,VLOOKUP(B587,КВСР!A289:B1454,2),IF(C587&gt;0,VLOOKUP(C587,КФСР!A289:B1801,2),IF(D587&gt;0,VLOOKUP(D587,Программа!A$1:B$5124,2),IF(F587&gt;0,VLOOKUP(F587,КВР!A$1:B$5001,2),IF(E587&gt;0,VLOOKUP(E587,Направление!A$1:B$4816,2))))))</f>
        <v>Предоставление субсидий бюджетным, автономным учреждениям и иным некоммерческим организациям</v>
      </c>
      <c r="B587" s="108"/>
      <c r="C587" s="104"/>
      <c r="D587" s="105"/>
      <c r="E587" s="104"/>
      <c r="F587" s="106">
        <v>600</v>
      </c>
      <c r="G587" s="335">
        <v>0</v>
      </c>
      <c r="H587" s="335"/>
      <c r="I587" s="335">
        <f>H587+G587</f>
        <v>0</v>
      </c>
      <c r="J587" s="335">
        <v>0</v>
      </c>
      <c r="K587" s="266"/>
      <c r="L587" s="266">
        <f>K587+J587</f>
        <v>0</v>
      </c>
    </row>
    <row r="588" spans="1:12" ht="15.75" x14ac:dyDescent="0.2">
      <c r="A588" s="107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IF(B588&gt;0,VLOOKUP(B588,КВСР!A286:B1451,2),IF(C588&gt;0,VLOOKUP(C588,КФСР!A286:B1798,2),IF(D588&gt;0,VLOOKUP(D588,Программа!A$1:B$5124,2),IF(F588&gt;0,VLOOKUP(F588,КВР!A$1:B$5001,2),IF(E588&gt;0,VLOOKUP(E588,Направление!A$1:B$4816,2))))))</f>
        <v>Молодежная политика</v>
      </c>
      <c r="B588" s="108"/>
      <c r="C588" s="104">
        <v>707</v>
      </c>
      <c r="D588" s="105"/>
      <c r="E588" s="104"/>
      <c r="F588" s="106"/>
      <c r="G588" s="335">
        <v>8000000</v>
      </c>
      <c r="H588" s="335">
        <f t="shared" ref="H588:I588" si="418">H589</f>
        <v>0</v>
      </c>
      <c r="I588" s="335">
        <f t="shared" si="418"/>
        <v>8000000</v>
      </c>
      <c r="J588" s="335">
        <v>5644928</v>
      </c>
      <c r="K588" s="266">
        <f t="shared" ref="K588:L588" si="419">K589</f>
        <v>0</v>
      </c>
      <c r="L588" s="266">
        <f t="shared" si="419"/>
        <v>5644928</v>
      </c>
    </row>
    <row r="589" spans="1:12" ht="63" x14ac:dyDescent="0.2">
      <c r="A589" s="107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89" s="108"/>
      <c r="C589" s="104"/>
      <c r="D589" s="105" t="s">
        <v>396</v>
      </c>
      <c r="E589" s="104"/>
      <c r="F589" s="106"/>
      <c r="G589" s="335">
        <v>8000000</v>
      </c>
      <c r="H589" s="335">
        <f t="shared" ref="H589:I589" si="420">H591</f>
        <v>0</v>
      </c>
      <c r="I589" s="335">
        <f t="shared" si="420"/>
        <v>8000000</v>
      </c>
      <c r="J589" s="335">
        <v>5644928</v>
      </c>
      <c r="K589" s="266">
        <f t="shared" ref="K589:L589" si="421">K591</f>
        <v>0</v>
      </c>
      <c r="L589" s="266">
        <f t="shared" si="421"/>
        <v>5644928</v>
      </c>
    </row>
    <row r="590" spans="1:12" ht="31.5" x14ac:dyDescent="0.2">
      <c r="A590" s="107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IF(B590&gt;0,VLOOKUP(B590,КВСР!A288:B1453,2),IF(C590&gt;0,VLOOKUP(C590,КФСР!A288:B1800,2),IF(D590&gt;0,VLOOKUP(D590,Программа!A$1:B$5124,2),IF(F590&gt;0,VLOOKUP(F590,КВР!A$1:B$5001,2),IF(E590&gt;0,VLOOKUP(E590,Направление!A$1:B$4816,2))))))</f>
        <v>Ведомственная целевая программа «Молодежь»</v>
      </c>
      <c r="B590" s="108"/>
      <c r="C590" s="104"/>
      <c r="D590" s="105" t="s">
        <v>499</v>
      </c>
      <c r="E590" s="104"/>
      <c r="F590" s="106"/>
      <c r="G590" s="335">
        <v>8000000</v>
      </c>
      <c r="H590" s="335">
        <f t="shared" ref="H590:I590" si="422">H591</f>
        <v>0</v>
      </c>
      <c r="I590" s="335">
        <f t="shared" si="422"/>
        <v>8000000</v>
      </c>
      <c r="J590" s="335">
        <v>5644928</v>
      </c>
      <c r="K590" s="266">
        <f t="shared" ref="K590:L590" si="423">K591</f>
        <v>0</v>
      </c>
      <c r="L590" s="266">
        <f t="shared" si="423"/>
        <v>5644928</v>
      </c>
    </row>
    <row r="591" spans="1:12" ht="63" x14ac:dyDescent="0.2">
      <c r="A591" s="107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08"/>
      <c r="C591" s="104"/>
      <c r="D591" s="105" t="s">
        <v>501</v>
      </c>
      <c r="E591" s="104"/>
      <c r="F591" s="106"/>
      <c r="G591" s="335">
        <v>8000000</v>
      </c>
      <c r="H591" s="335">
        <f t="shared" ref="H591:I591" si="424">H592+H594+H596</f>
        <v>0</v>
      </c>
      <c r="I591" s="335">
        <f t="shared" si="424"/>
        <v>8000000</v>
      </c>
      <c r="J591" s="335">
        <v>5644928</v>
      </c>
      <c r="K591" s="266">
        <f t="shared" ref="K591:L591" si="425">K592+K594+K596</f>
        <v>0</v>
      </c>
      <c r="L591" s="266">
        <f t="shared" si="425"/>
        <v>5644928</v>
      </c>
    </row>
    <row r="592" spans="1:12" ht="31.5" x14ac:dyDescent="0.2">
      <c r="A592" s="107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IF(B592&gt;0,VLOOKUP(B592,КВСР!A289:B1454,2),IF(C592&gt;0,VLOOKUP(C592,КФСР!A289:B1801,2),IF(D592&gt;0,VLOOKUP(D592,Программа!A$1:B$5124,2),IF(F592&gt;0,VLOOKUP(F592,КВР!A$1:B$5001,2),IF(E592&gt;0,VLOOKUP(E592,Направление!A$1:B$4816,2))))))</f>
        <v xml:space="preserve">Обеспечение деятельности учреждений в сфере молодежной политики </v>
      </c>
      <c r="B592" s="108"/>
      <c r="C592" s="104"/>
      <c r="D592" s="105"/>
      <c r="E592" s="104">
        <v>14510</v>
      </c>
      <c r="F592" s="106"/>
      <c r="G592" s="335">
        <v>8000000</v>
      </c>
      <c r="H592" s="335">
        <f t="shared" ref="H592:I592" si="426">H593</f>
        <v>0</v>
      </c>
      <c r="I592" s="335">
        <f t="shared" si="426"/>
        <v>8000000</v>
      </c>
      <c r="J592" s="335">
        <v>5644928</v>
      </c>
      <c r="K592" s="266">
        <f t="shared" ref="K592:L592" si="427">K593</f>
        <v>0</v>
      </c>
      <c r="L592" s="266">
        <f t="shared" si="427"/>
        <v>5644928</v>
      </c>
    </row>
    <row r="593" spans="1:12" ht="47.25" x14ac:dyDescent="0.2">
      <c r="A593" s="107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08"/>
      <c r="C593" s="104"/>
      <c r="D593" s="105"/>
      <c r="E593" s="104"/>
      <c r="F593" s="106">
        <v>600</v>
      </c>
      <c r="G593" s="335">
        <v>8000000</v>
      </c>
      <c r="H593" s="335"/>
      <c r="I593" s="335">
        <f t="shared" si="351"/>
        <v>8000000</v>
      </c>
      <c r="J593" s="335">
        <v>5644928</v>
      </c>
      <c r="K593" s="266"/>
      <c r="L593" s="266">
        <f t="shared" si="352"/>
        <v>5644928</v>
      </c>
    </row>
    <row r="594" spans="1:12" ht="63" x14ac:dyDescent="0.2">
      <c r="A594" s="107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08"/>
      <c r="C594" s="104"/>
      <c r="D594" s="105"/>
      <c r="E594" s="104" t="s">
        <v>505</v>
      </c>
      <c r="F594" s="106"/>
      <c r="G594" s="335">
        <v>0</v>
      </c>
      <c r="H594" s="335">
        <f t="shared" ref="H594" si="428">H595</f>
        <v>0</v>
      </c>
      <c r="I594" s="335">
        <f t="shared" ref="I594:I646" si="429">SUM(G594:H594)</f>
        <v>0</v>
      </c>
      <c r="J594" s="335">
        <v>0</v>
      </c>
      <c r="K594" s="266">
        <f t="shared" ref="K594" si="430">K595</f>
        <v>0</v>
      </c>
      <c r="L594" s="266">
        <f t="shared" ref="L594:L646" si="431">SUM(J594:K594)</f>
        <v>0</v>
      </c>
    </row>
    <row r="595" spans="1:12" ht="47.25" x14ac:dyDescent="0.2">
      <c r="A595" s="107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IF(B595&gt;0,VLOOKUP(B595,КВСР!A292:B1457,2),IF(C595&gt;0,VLOOKUP(C595,КФСР!A292:B1804,2),IF(D595&gt;0,VLOOKUP(D595,Программа!A$1:B$5124,2),IF(F595&gt;0,VLOOKUP(F595,КВР!A$1:B$5001,2),IF(E595&gt;0,VLOOKUP(E595,Направление!A$1:B$4816,2))))))</f>
        <v>Предоставление субсидий бюджетным, автономным учреждениям и иным некоммерческим организациям</v>
      </c>
      <c r="B595" s="108"/>
      <c r="C595" s="104"/>
      <c r="D595" s="105"/>
      <c r="E595" s="104"/>
      <c r="F595" s="106">
        <v>600</v>
      </c>
      <c r="G595" s="335">
        <v>0</v>
      </c>
      <c r="H595" s="335"/>
      <c r="I595" s="335">
        <f t="shared" si="429"/>
        <v>0</v>
      </c>
      <c r="J595" s="335">
        <v>0</v>
      </c>
      <c r="K595" s="266"/>
      <c r="L595" s="266">
        <f t="shared" si="431"/>
        <v>0</v>
      </c>
    </row>
    <row r="596" spans="1:12" ht="63" x14ac:dyDescent="0.2">
      <c r="A596" s="107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08"/>
      <c r="C596" s="104"/>
      <c r="D596" s="105"/>
      <c r="E596" s="104">
        <v>70650</v>
      </c>
      <c r="F596" s="106"/>
      <c r="G596" s="335">
        <v>0</v>
      </c>
      <c r="H596" s="335">
        <f t="shared" ref="H596" si="432">H597</f>
        <v>0</v>
      </c>
      <c r="I596" s="335">
        <f t="shared" si="429"/>
        <v>0</v>
      </c>
      <c r="J596" s="335">
        <v>0</v>
      </c>
      <c r="K596" s="266">
        <f t="shared" ref="K596" si="433">K597</f>
        <v>0</v>
      </c>
      <c r="L596" s="266">
        <f t="shared" si="431"/>
        <v>0</v>
      </c>
    </row>
    <row r="597" spans="1:12" ht="47.25" x14ac:dyDescent="0.2">
      <c r="A597" s="107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108"/>
      <c r="C597" s="104"/>
      <c r="D597" s="105"/>
      <c r="E597" s="104"/>
      <c r="F597" s="106">
        <v>600</v>
      </c>
      <c r="G597" s="335">
        <v>0</v>
      </c>
      <c r="H597" s="335"/>
      <c r="I597" s="335">
        <f t="shared" si="429"/>
        <v>0</v>
      </c>
      <c r="J597" s="335">
        <v>0</v>
      </c>
      <c r="K597" s="266"/>
      <c r="L597" s="266">
        <f t="shared" si="431"/>
        <v>0</v>
      </c>
    </row>
    <row r="598" spans="1:12" ht="15.75" x14ac:dyDescent="0.2">
      <c r="A598" s="107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IF(B598&gt;0,VLOOKUP(B598,КВСР!A309:B1474,2),IF(C598&gt;0,VLOOKUP(C598,КФСР!A309:B1821,2),IF(D598&gt;0,VLOOKUP(D598,Программа!A$1:B$5124,2),IF(F598&gt;0,VLOOKUP(F598,КВР!A$1:B$5001,2),IF(E598&gt;0,VLOOKUP(E598,Направление!A$1:B$4816,2))))))</f>
        <v>Культура</v>
      </c>
      <c r="B598" s="108"/>
      <c r="C598" s="104">
        <v>801</v>
      </c>
      <c r="D598" s="113"/>
      <c r="E598" s="111"/>
      <c r="F598" s="112"/>
      <c r="G598" s="335">
        <v>100408782</v>
      </c>
      <c r="H598" s="335">
        <f t="shared" ref="H598:I598" si="434">H599</f>
        <v>0</v>
      </c>
      <c r="I598" s="335">
        <f t="shared" si="434"/>
        <v>100408782</v>
      </c>
      <c r="J598" s="335">
        <v>86641242</v>
      </c>
      <c r="K598" s="266">
        <f t="shared" ref="K598:L598" si="435">K599</f>
        <v>0</v>
      </c>
      <c r="L598" s="266">
        <f t="shared" si="435"/>
        <v>86641242</v>
      </c>
    </row>
    <row r="599" spans="1:12" ht="63" x14ac:dyDescent="0.2">
      <c r="A599" s="107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99" s="108"/>
      <c r="C599" s="104"/>
      <c r="D599" s="113" t="s">
        <v>396</v>
      </c>
      <c r="E599" s="111"/>
      <c r="F599" s="112"/>
      <c r="G599" s="335">
        <v>100408782</v>
      </c>
      <c r="H599" s="335">
        <f>H604+H600</f>
        <v>0</v>
      </c>
      <c r="I599" s="335">
        <f t="shared" ref="I599:L599" si="436">I604+I600</f>
        <v>100408782</v>
      </c>
      <c r="J599" s="335">
        <v>86641242</v>
      </c>
      <c r="K599" s="335">
        <f t="shared" si="436"/>
        <v>0</v>
      </c>
      <c r="L599" s="335">
        <f t="shared" si="436"/>
        <v>86641242</v>
      </c>
    </row>
    <row r="600" spans="1:12" ht="78.75" x14ac:dyDescent="0.2">
      <c r="A600" s="107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08"/>
      <c r="C600" s="104"/>
      <c r="D600" s="113" t="s">
        <v>398</v>
      </c>
      <c r="E600" s="111"/>
      <c r="F600" s="112"/>
      <c r="G600" s="335">
        <v>320000</v>
      </c>
      <c r="H600" s="335">
        <f t="shared" ref="H600:L602" si="437">H601</f>
        <v>0</v>
      </c>
      <c r="I600" s="335">
        <f t="shared" si="437"/>
        <v>320000</v>
      </c>
      <c r="J600" s="335">
        <v>340000</v>
      </c>
      <c r="K600" s="335">
        <f t="shared" si="437"/>
        <v>0</v>
      </c>
      <c r="L600" s="335">
        <f t="shared" si="437"/>
        <v>340000</v>
      </c>
    </row>
    <row r="601" spans="1:12" ht="78.75" x14ac:dyDescent="0.2">
      <c r="A601" s="107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08"/>
      <c r="C601" s="104"/>
      <c r="D601" s="113" t="s">
        <v>400</v>
      </c>
      <c r="E601" s="111"/>
      <c r="F601" s="112"/>
      <c r="G601" s="335">
        <v>320000</v>
      </c>
      <c r="H601" s="335">
        <f t="shared" si="437"/>
        <v>0</v>
      </c>
      <c r="I601" s="335">
        <f t="shared" si="437"/>
        <v>320000</v>
      </c>
      <c r="J601" s="335">
        <v>340000</v>
      </c>
      <c r="K601" s="335">
        <f t="shared" si="437"/>
        <v>0</v>
      </c>
      <c r="L601" s="335">
        <f t="shared" si="437"/>
        <v>340000</v>
      </c>
    </row>
    <row r="602" spans="1:12" ht="47.25" x14ac:dyDescent="0.2">
      <c r="A602" s="107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IF(B602&gt;0,VLOOKUP(B602,КВСР!A313:B1478,2),IF(C602&gt;0,VLOOKUP(C602,КФСР!A313:B1825,2),IF(D602&gt;0,VLOOKUP(D602,Программа!A$1:B$5124,2),IF(F602&gt;0,VLOOKUP(F602,КВР!A$1:B$5001,2),IF(E602&gt;0,VLOOKUP(E602,Направление!A$1:B$4816,2))))))</f>
        <v xml:space="preserve">Обеспечение мероприятий по содержанию  военно-мемориального комплекса </v>
      </c>
      <c r="B602" s="108"/>
      <c r="C602" s="104"/>
      <c r="D602" s="113"/>
      <c r="E602" s="111">
        <v>29686</v>
      </c>
      <c r="F602" s="112"/>
      <c r="G602" s="335">
        <v>320000</v>
      </c>
      <c r="H602" s="335">
        <f t="shared" si="437"/>
        <v>0</v>
      </c>
      <c r="I602" s="335">
        <f t="shared" si="437"/>
        <v>320000</v>
      </c>
      <c r="J602" s="335">
        <v>340000</v>
      </c>
      <c r="K602" s="335">
        <f t="shared" si="437"/>
        <v>0</v>
      </c>
      <c r="L602" s="335">
        <f t="shared" si="437"/>
        <v>340000</v>
      </c>
    </row>
    <row r="603" spans="1:12" ht="47.25" x14ac:dyDescent="0.2">
      <c r="A603" s="107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IF(B603&gt;0,VLOOKUP(B603,КВСР!A314:B1479,2),IF(C603&gt;0,VLOOKUP(C603,КФСР!A314:B1826,2),IF(D603&gt;0,VLOOKUP(D603,Программа!A$1:B$5124,2),IF(F603&gt;0,VLOOKUP(F603,КВР!A$1:B$5001,2),IF(E603&gt;0,VLOOKUP(E603,Направление!A$1:B$4816,2))))))</f>
        <v>Предоставление субсидий бюджетным, автономным учреждениям и иным некоммерческим организациям</v>
      </c>
      <c r="B603" s="108"/>
      <c r="C603" s="104"/>
      <c r="D603" s="113"/>
      <c r="E603" s="111"/>
      <c r="F603" s="112">
        <v>600</v>
      </c>
      <c r="G603" s="335">
        <v>320000</v>
      </c>
      <c r="H603" s="335"/>
      <c r="I603" s="335">
        <f>G603+H603</f>
        <v>320000</v>
      </c>
      <c r="J603" s="335">
        <v>340000</v>
      </c>
      <c r="K603" s="266"/>
      <c r="L603" s="266">
        <f>J603+K603</f>
        <v>340000</v>
      </c>
    </row>
    <row r="604" spans="1:12" ht="47.25" x14ac:dyDescent="0.2">
      <c r="A604" s="107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IF(B604&gt;0,VLOOKUP(B604,КВСР!A311:B1476,2),IF(C604&gt;0,VLOOKUP(C604,КФСР!A311:B1823,2),IF(D604&gt;0,VLOOKUP(D604,Программа!A$1:B$5124,2),IF(F604&gt;0,VLOOKUP(F604,КВР!A$1:B$5001,2),IF(E604&gt;0,VLOOKUP(E604,Направление!A$1:B$4816,2))))))</f>
        <v>Ведомственная целевая программа «Сохранение и развитие культуры Тутаевского муниципального района»</v>
      </c>
      <c r="B604" s="108"/>
      <c r="C604" s="104"/>
      <c r="D604" s="113" t="s">
        <v>494</v>
      </c>
      <c r="E604" s="111"/>
      <c r="F604" s="112"/>
      <c r="G604" s="335">
        <v>100088782</v>
      </c>
      <c r="H604" s="335">
        <f>H605+H616+H625</f>
        <v>0</v>
      </c>
      <c r="I604" s="335">
        <f t="shared" ref="I604:L604" si="438">I605+I616+I625</f>
        <v>100088782</v>
      </c>
      <c r="J604" s="335">
        <v>86301242</v>
      </c>
      <c r="K604" s="335">
        <f t="shared" si="438"/>
        <v>0</v>
      </c>
      <c r="L604" s="335">
        <f t="shared" si="438"/>
        <v>86301242</v>
      </c>
    </row>
    <row r="605" spans="1:12" ht="31.5" x14ac:dyDescent="0.2">
      <c r="A605" s="107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IF(B605&gt;0,VLOOKUP(B605,КВСР!A312:B1477,2),IF(C605&gt;0,VLOOKUP(C605,КФСР!A312:B1824,2),IF(D605&gt;0,VLOOKUP(D605,Программа!A$1:B$5124,2),IF(F605&gt;0,VLOOKUP(F605,КВР!A$1:B$5001,2),IF(E605&gt;0,VLOOKUP(E605,Направление!A$1:B$4816,2))))))</f>
        <v>Содействие доступу граждан к культурным ценностям</v>
      </c>
      <c r="B605" s="108"/>
      <c r="C605" s="104"/>
      <c r="D605" s="113" t="s">
        <v>512</v>
      </c>
      <c r="E605" s="111"/>
      <c r="F605" s="112"/>
      <c r="G605" s="335">
        <v>73077200</v>
      </c>
      <c r="H605" s="335">
        <f>H606+H608+H614+H610+H612</f>
        <v>0</v>
      </c>
      <c r="I605" s="335">
        <f t="shared" ref="I605:L605" si="439">I606+I608+I614+I610+I612</f>
        <v>73077200</v>
      </c>
      <c r="J605" s="335">
        <v>62874077</v>
      </c>
      <c r="K605" s="335">
        <f t="shared" si="439"/>
        <v>0</v>
      </c>
      <c r="L605" s="335">
        <f t="shared" si="439"/>
        <v>62874077</v>
      </c>
    </row>
    <row r="606" spans="1:12" ht="31.5" x14ac:dyDescent="0.2">
      <c r="A606" s="107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IF(B606&gt;0,VLOOKUP(B606,КВСР!A312:B1477,2),IF(C606&gt;0,VLOOKUP(C606,КФСР!A312:B1824,2),IF(D606&gt;0,VLOOKUP(D606,Программа!A$1:B$5124,2),IF(F606&gt;0,VLOOKUP(F606,КВР!A$1:B$5001,2),IF(E606&gt;0,VLOOKUP(E606,Направление!A$1:B$4816,2))))))</f>
        <v>Обеспечение деятельности учреждений по организации досуга в сфере культуры</v>
      </c>
      <c r="B606" s="108"/>
      <c r="C606" s="104"/>
      <c r="D606" s="113"/>
      <c r="E606" s="111">
        <v>15010</v>
      </c>
      <c r="F606" s="112"/>
      <c r="G606" s="335">
        <v>13203123</v>
      </c>
      <c r="H606" s="335">
        <f t="shared" ref="H606:I606" si="440">H607</f>
        <v>0</v>
      </c>
      <c r="I606" s="335">
        <f t="shared" si="440"/>
        <v>13203123</v>
      </c>
      <c r="J606" s="335">
        <v>0</v>
      </c>
      <c r="K606" s="266">
        <f t="shared" ref="K606:L606" si="441">K607</f>
        <v>0</v>
      </c>
      <c r="L606" s="266">
        <f t="shared" si="441"/>
        <v>0</v>
      </c>
    </row>
    <row r="607" spans="1:12" ht="47.25" x14ac:dyDescent="0.2">
      <c r="A607" s="107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IF(B607&gt;0,VLOOKUP(B607,КВСР!A313:B1478,2),IF(C607&gt;0,VLOOKUP(C607,КФСР!A313:B1825,2),IF(D607&gt;0,VLOOKUP(D607,Программа!A$1:B$5124,2),IF(F607&gt;0,VLOOKUP(F607,КВР!A$1:B$5001,2),IF(E607&gt;0,VLOOKUP(E607,Направление!A$1:B$4816,2))))))</f>
        <v>Предоставление субсидий бюджетным, автономным учреждениям и иным некоммерческим организациям</v>
      </c>
      <c r="B607" s="108"/>
      <c r="C607" s="104"/>
      <c r="D607" s="113"/>
      <c r="E607" s="111"/>
      <c r="F607" s="112">
        <v>600</v>
      </c>
      <c r="G607" s="335">
        <v>13203123</v>
      </c>
      <c r="H607" s="335"/>
      <c r="I607" s="335">
        <f t="shared" si="429"/>
        <v>13203123</v>
      </c>
      <c r="J607" s="335">
        <v>0</v>
      </c>
      <c r="K607" s="266"/>
      <c r="L607" s="266">
        <f t="shared" si="431"/>
        <v>0</v>
      </c>
    </row>
    <row r="608" spans="1:12" ht="47.25" x14ac:dyDescent="0.2">
      <c r="A608" s="107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IF(B608&gt;0,VLOOKUP(B608,КВСР!A314:B1479,2),IF(C608&gt;0,VLOOKUP(C608,КФСР!A314:B1826,2),IF(D608&gt;0,VLOOKUP(D608,Программа!A$1:B$5124,2),IF(F608&gt;0,VLOOKUP(F608,КВР!A$1:B$5001,2),IF(E608&gt;0,VLOOKUP(E608,Направление!A$1:B$4816,2))))))</f>
        <v>Расходы на повышение оплаты труда работников муниципальных учреждений в сфере культуры</v>
      </c>
      <c r="B608" s="108"/>
      <c r="C608" s="104"/>
      <c r="D608" s="113"/>
      <c r="E608" s="111">
        <v>15900</v>
      </c>
      <c r="F608" s="112"/>
      <c r="G608" s="335">
        <v>39744877</v>
      </c>
      <c r="H608" s="335">
        <f t="shared" ref="H608:L608" si="442">H609</f>
        <v>0</v>
      </c>
      <c r="I608" s="335">
        <f t="shared" si="442"/>
        <v>39744877</v>
      </c>
      <c r="J608" s="335">
        <v>39744877</v>
      </c>
      <c r="K608" s="335">
        <f t="shared" si="442"/>
        <v>0</v>
      </c>
      <c r="L608" s="335">
        <f t="shared" si="442"/>
        <v>39744877</v>
      </c>
    </row>
    <row r="609" spans="1:12" ht="47.25" x14ac:dyDescent="0.2">
      <c r="A609" s="107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IF(B609&gt;0,VLOOKUP(B609,КВСР!A315:B1480,2),IF(C609&gt;0,VLOOKUP(C609,КФСР!A315:B1827,2),IF(D609&gt;0,VLOOKUP(D609,Программа!A$1:B$5124,2),IF(F609&gt;0,VLOOKUP(F609,КВР!A$1:B$5001,2),IF(E609&gt;0,VLOOKUP(E609,Направление!A$1:B$4816,2))))))</f>
        <v>Предоставление субсидий бюджетным, автономным учреждениям и иным некоммерческим организациям</v>
      </c>
      <c r="B609" s="108"/>
      <c r="C609" s="104"/>
      <c r="D609" s="113"/>
      <c r="E609" s="111"/>
      <c r="F609" s="112">
        <v>600</v>
      </c>
      <c r="G609" s="335">
        <v>39744877</v>
      </c>
      <c r="H609" s="335"/>
      <c r="I609" s="335">
        <f>G609+H609</f>
        <v>39744877</v>
      </c>
      <c r="J609" s="335">
        <v>39744877</v>
      </c>
      <c r="K609" s="266"/>
      <c r="L609" s="266">
        <f>J609+K609</f>
        <v>39744877</v>
      </c>
    </row>
    <row r="610" spans="1:12" ht="15.75" x14ac:dyDescent="0.2">
      <c r="A610" s="107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IF(B610&gt;0,VLOOKUP(B610,КВСР!A316:B1481,2),IF(C610&gt;0,VLOOKUP(C610,КФСР!A316:B1828,2),IF(D610&gt;0,VLOOKUP(D610,Программа!A$1:B$5124,2),IF(F610&gt;0,VLOOKUP(F610,КВР!A$1:B$5001,2),IF(E610&gt;0,VLOOKUP(E610,Направление!A$1:B$4816,2))))))</f>
        <v>Мероприятия в сфере культуры</v>
      </c>
      <c r="B610" s="108"/>
      <c r="C610" s="104"/>
      <c r="D610" s="113"/>
      <c r="E610" s="111">
        <v>29216</v>
      </c>
      <c r="F610" s="112"/>
      <c r="G610" s="335">
        <v>0</v>
      </c>
      <c r="H610" s="335">
        <f t="shared" ref="H610:L610" si="443">H611</f>
        <v>0</v>
      </c>
      <c r="I610" s="335">
        <f t="shared" si="443"/>
        <v>0</v>
      </c>
      <c r="J610" s="335">
        <v>3000000</v>
      </c>
      <c r="K610" s="335">
        <f t="shared" si="443"/>
        <v>0</v>
      </c>
      <c r="L610" s="335">
        <f t="shared" si="443"/>
        <v>3000000</v>
      </c>
    </row>
    <row r="611" spans="1:12" ht="47.25" x14ac:dyDescent="0.2">
      <c r="A611" s="107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108"/>
      <c r="C611" s="104"/>
      <c r="D611" s="113"/>
      <c r="E611" s="111"/>
      <c r="F611" s="112">
        <v>600</v>
      </c>
      <c r="G611" s="335">
        <v>0</v>
      </c>
      <c r="H611" s="335"/>
      <c r="I611" s="335">
        <f t="shared" ref="I611:I613" si="444">G611+H611</f>
        <v>0</v>
      </c>
      <c r="J611" s="335">
        <v>3000000</v>
      </c>
      <c r="K611" s="266"/>
      <c r="L611" s="266">
        <f t="shared" ref="L611:L613" si="445">J611+K611</f>
        <v>3000000</v>
      </c>
    </row>
    <row r="612" spans="1:12" ht="63" x14ac:dyDescent="0.2">
      <c r="A612" s="107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08"/>
      <c r="C612" s="104"/>
      <c r="D612" s="113"/>
      <c r="E612" s="111">
        <v>29556</v>
      </c>
      <c r="F612" s="112"/>
      <c r="G612" s="335">
        <v>215000</v>
      </c>
      <c r="H612" s="335">
        <f t="shared" ref="H612:L612" si="446">H613</f>
        <v>0</v>
      </c>
      <c r="I612" s="335">
        <f t="shared" si="446"/>
        <v>215000</v>
      </c>
      <c r="J612" s="335">
        <v>215000</v>
      </c>
      <c r="K612" s="335">
        <f t="shared" si="446"/>
        <v>0</v>
      </c>
      <c r="L612" s="335">
        <f t="shared" si="446"/>
        <v>215000</v>
      </c>
    </row>
    <row r="613" spans="1:12" ht="47.25" x14ac:dyDescent="0.2">
      <c r="A613" s="107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IF(B613&gt;0,VLOOKUP(B613,КВСР!A319:B1484,2),IF(C613&gt;0,VLOOKUP(C613,КФСР!A319:B1831,2),IF(D613&gt;0,VLOOKUP(D613,Программа!A$1:B$5124,2),IF(F613&gt;0,VLOOKUP(F613,КВР!A$1:B$5001,2),IF(E613&gt;0,VLOOKUP(E613,Направление!A$1:B$4816,2))))))</f>
        <v>Предоставление субсидий бюджетным, автономным учреждениям и иным некоммерческим организациям</v>
      </c>
      <c r="B613" s="108"/>
      <c r="C613" s="104"/>
      <c r="D613" s="113"/>
      <c r="E613" s="111"/>
      <c r="F613" s="112">
        <v>600</v>
      </c>
      <c r="G613" s="335">
        <v>215000</v>
      </c>
      <c r="H613" s="335"/>
      <c r="I613" s="335">
        <f t="shared" si="444"/>
        <v>215000</v>
      </c>
      <c r="J613" s="335">
        <v>215000</v>
      </c>
      <c r="K613" s="266"/>
      <c r="L613" s="266">
        <f t="shared" si="445"/>
        <v>215000</v>
      </c>
    </row>
    <row r="614" spans="1:12" ht="47.25" x14ac:dyDescent="0.2">
      <c r="A614" s="107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IF(B614&gt;0,VLOOKUP(B614,КВСР!A316:B1481,2),IF(C614&gt;0,VLOOKUP(C614,КФСР!A316:B1828,2),IF(D614&gt;0,VLOOKUP(D614,Программа!A$1:B$5124,2),IF(F614&gt;0,VLOOKUP(F614,КВР!A$1:B$5001,2),IF(E614&gt;0,VLOOKUP(E614,Направление!A$1:B$4816,2))))))</f>
        <v>Расходы на повышение оплаты труда работников муниципальных учреждений в сфере культуры</v>
      </c>
      <c r="B614" s="108"/>
      <c r="C614" s="104"/>
      <c r="D614" s="113"/>
      <c r="E614" s="111">
        <v>75900</v>
      </c>
      <c r="F614" s="112"/>
      <c r="G614" s="335">
        <v>19914200</v>
      </c>
      <c r="H614" s="335">
        <f t="shared" ref="H614:L614" si="447">H615</f>
        <v>0</v>
      </c>
      <c r="I614" s="335">
        <f t="shared" si="447"/>
        <v>19914200</v>
      </c>
      <c r="J614" s="335">
        <v>19914200</v>
      </c>
      <c r="K614" s="335">
        <f t="shared" si="447"/>
        <v>0</v>
      </c>
      <c r="L614" s="335">
        <f t="shared" si="447"/>
        <v>19914200</v>
      </c>
    </row>
    <row r="615" spans="1:12" ht="47.25" x14ac:dyDescent="0.2">
      <c r="A615" s="107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IF(B615&gt;0,VLOOKUP(B615,КВСР!A317:B1482,2),IF(C615&gt;0,VLOOKUP(C615,КФСР!A317:B1829,2),IF(D615&gt;0,VLOOKUP(D615,Программа!A$1:B$5124,2),IF(F615&gt;0,VLOOKUP(F615,КВР!A$1:B$5001,2),IF(E615&gt;0,VLOOKUP(E615,Направление!A$1:B$4816,2))))))</f>
        <v>Предоставление субсидий бюджетным, автономным учреждениям и иным некоммерческим организациям</v>
      </c>
      <c r="B615" s="108"/>
      <c r="C615" s="104"/>
      <c r="D615" s="113"/>
      <c r="E615" s="111"/>
      <c r="F615" s="112">
        <v>600</v>
      </c>
      <c r="G615" s="335">
        <v>19914200</v>
      </c>
      <c r="H615" s="335"/>
      <c r="I615" s="335">
        <f>G615+H615</f>
        <v>19914200</v>
      </c>
      <c r="J615" s="335">
        <v>19914200</v>
      </c>
      <c r="K615" s="335"/>
      <c r="L615" s="266">
        <f>J615+K615</f>
        <v>19914200</v>
      </c>
    </row>
    <row r="616" spans="1:12" ht="31.5" x14ac:dyDescent="0.2">
      <c r="A616" s="107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IF(B616&gt;0,VLOOKUP(B616,КВСР!A314:B1479,2),IF(C616&gt;0,VLOOKUP(C616,КФСР!A314:B1826,2),IF(D616&gt;0,VLOOKUP(D616,Программа!A$1:B$5124,2),IF(F616&gt;0,VLOOKUP(F616,КВР!A$1:B$5001,2),IF(E616&gt;0,VLOOKUP(E616,Направление!A$1:B$4816,2))))))</f>
        <v>Поддержка доступа граждан к информационно-библиотечным ресурсам</v>
      </c>
      <c r="B616" s="108"/>
      <c r="C616" s="104"/>
      <c r="D616" s="113" t="s">
        <v>517</v>
      </c>
      <c r="E616" s="111"/>
      <c r="F616" s="112"/>
      <c r="G616" s="335">
        <v>22011582</v>
      </c>
      <c r="H616" s="335">
        <f>H617+H621+H623+H619</f>
        <v>0</v>
      </c>
      <c r="I616" s="335">
        <f t="shared" ref="I616:L616" si="448">I617+I621+I623+I619</f>
        <v>22011582</v>
      </c>
      <c r="J616" s="335">
        <v>23427165</v>
      </c>
      <c r="K616" s="335">
        <f t="shared" si="448"/>
        <v>0</v>
      </c>
      <c r="L616" s="335">
        <f t="shared" si="448"/>
        <v>23427165</v>
      </c>
    </row>
    <row r="617" spans="1:12" ht="15.75" x14ac:dyDescent="0.2">
      <c r="A617" s="107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IF(B617&gt;0,VLOOKUP(B617,КВСР!A315:B1480,2),IF(C617&gt;0,VLOOKUP(C617,КФСР!A315:B1827,2),IF(D617&gt;0,VLOOKUP(D617,Программа!A$1:B$5124,2),IF(F617&gt;0,VLOOKUP(F617,КВР!A$1:B$5001,2),IF(E617&gt;0,VLOOKUP(E617,Направление!A$1:B$4816,2))))))</f>
        <v>Обеспечение деятельности библиотек</v>
      </c>
      <c r="B617" s="108"/>
      <c r="C617" s="104"/>
      <c r="D617" s="113"/>
      <c r="E617" s="111">
        <v>15110</v>
      </c>
      <c r="F617" s="112"/>
      <c r="G617" s="335">
        <v>384417</v>
      </c>
      <c r="H617" s="335">
        <f t="shared" ref="H617:I617" si="449">H618</f>
        <v>0</v>
      </c>
      <c r="I617" s="335">
        <f t="shared" si="449"/>
        <v>384417</v>
      </c>
      <c r="J617" s="335">
        <v>1800000</v>
      </c>
      <c r="K617" s="266">
        <f t="shared" ref="K617:L617" si="450">K618</f>
        <v>0</v>
      </c>
      <c r="L617" s="266">
        <f t="shared" si="450"/>
        <v>1800000</v>
      </c>
    </row>
    <row r="618" spans="1:12" ht="47.25" x14ac:dyDescent="0.2">
      <c r="A618" s="107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IF(B618&gt;0,VLOOKUP(B618,КВСР!A316:B1481,2),IF(C618&gt;0,VLOOKUP(C618,КФСР!A316:B1828,2),IF(D618&gt;0,VLOOKUP(D618,Программа!A$1:B$5124,2),IF(F618&gt;0,VLOOKUP(F618,КВР!A$1:B$5001,2),IF(E618&gt;0,VLOOKUP(E618,Направление!A$1:B$4816,2))))))</f>
        <v>Предоставление субсидий бюджетным, автономным учреждениям и иным некоммерческим организациям</v>
      </c>
      <c r="B618" s="108"/>
      <c r="C618" s="104"/>
      <c r="D618" s="113"/>
      <c r="E618" s="111"/>
      <c r="F618" s="112">
        <v>600</v>
      </c>
      <c r="G618" s="335">
        <v>384417</v>
      </c>
      <c r="H618" s="335"/>
      <c r="I618" s="335">
        <f t="shared" si="429"/>
        <v>384417</v>
      </c>
      <c r="J618" s="335">
        <v>1800000</v>
      </c>
      <c r="K618" s="266"/>
      <c r="L618" s="266">
        <f t="shared" si="431"/>
        <v>1800000</v>
      </c>
    </row>
    <row r="619" spans="1:12" ht="47.25" x14ac:dyDescent="0.2">
      <c r="A619" s="107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IF(B619&gt;0,VLOOKUP(B619,КВСР!A317:B1482,2),IF(C619&gt;0,VLOOKUP(C619,КФСР!A317:B1829,2),IF(D619&gt;0,VLOOKUP(D619,Программа!A$1:B$5124,2),IF(F619&gt;0,VLOOKUP(F619,КВР!A$1:B$5001,2),IF(E619&gt;0,VLOOKUP(E619,Направление!A$1:B$4816,2))))))</f>
        <v>Расходы на повышение оплаты труда работников муниципальных учреждений в сфере культуры</v>
      </c>
      <c r="B619" s="108"/>
      <c r="C619" s="104"/>
      <c r="D619" s="113"/>
      <c r="E619" s="111">
        <v>15900</v>
      </c>
      <c r="F619" s="112"/>
      <c r="G619" s="335">
        <v>14290583</v>
      </c>
      <c r="H619" s="335">
        <f>H620</f>
        <v>0</v>
      </c>
      <c r="I619" s="335">
        <f t="shared" ref="I619:L619" si="451">I620</f>
        <v>14290583</v>
      </c>
      <c r="J619" s="335">
        <v>14290583</v>
      </c>
      <c r="K619" s="335">
        <f t="shared" si="451"/>
        <v>0</v>
      </c>
      <c r="L619" s="335">
        <f t="shared" si="451"/>
        <v>14290583</v>
      </c>
    </row>
    <row r="620" spans="1:12" ht="47.25" x14ac:dyDescent="0.2">
      <c r="A620" s="107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IF(B620&gt;0,VLOOKUP(B620,КВСР!A318:B1483,2),IF(C620&gt;0,VLOOKUP(C620,КФСР!A318:B1830,2),IF(D620&gt;0,VLOOKUP(D620,Программа!A$1:B$5124,2),IF(F620&gt;0,VLOOKUP(F620,КВР!A$1:B$5001,2),IF(E620&gt;0,VLOOKUP(E620,Направление!A$1:B$4816,2))))))</f>
        <v>Предоставление субсидий бюджетным, автономным учреждениям и иным некоммерческим организациям</v>
      </c>
      <c r="B620" s="108"/>
      <c r="C620" s="104"/>
      <c r="D620" s="113"/>
      <c r="E620" s="111"/>
      <c r="F620" s="112">
        <v>600</v>
      </c>
      <c r="G620" s="335">
        <v>14290583</v>
      </c>
      <c r="H620" s="335"/>
      <c r="I620" s="335">
        <f t="shared" si="429"/>
        <v>14290583</v>
      </c>
      <c r="J620" s="335">
        <v>14290583</v>
      </c>
      <c r="K620" s="266"/>
      <c r="L620" s="266">
        <f t="shared" si="431"/>
        <v>14290583</v>
      </c>
    </row>
    <row r="621" spans="1:12" ht="47.25" x14ac:dyDescent="0.2">
      <c r="A621" s="107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IF(B621&gt;0,VLOOKUP(B621,КВСР!A317:B1482,2),IF(C621&gt;0,VLOOKUP(C621,КФСР!A317:B1829,2),IF(D621&gt;0,VLOOKUP(D621,Программа!A$1:B$5124,2),IF(F621&gt;0,VLOOKUP(F621,КВР!A$1:B$5001,2),IF(E621&gt;0,VLOOKUP(E621,Направление!A$1:B$4816,2))))))</f>
        <v>Расходы на повышение оплаты труда работников муниципальных учреждений в сфере культуры</v>
      </c>
      <c r="B621" s="108"/>
      <c r="C621" s="104"/>
      <c r="D621" s="113"/>
      <c r="E621" s="111">
        <v>75900</v>
      </c>
      <c r="F621" s="112"/>
      <c r="G621" s="335">
        <v>7160307</v>
      </c>
      <c r="H621" s="335">
        <f t="shared" ref="H621:L621" si="452">H622</f>
        <v>0</v>
      </c>
      <c r="I621" s="335">
        <f t="shared" si="452"/>
        <v>7160307</v>
      </c>
      <c r="J621" s="335">
        <v>7160307</v>
      </c>
      <c r="K621" s="335">
        <f t="shared" si="452"/>
        <v>0</v>
      </c>
      <c r="L621" s="335">
        <f t="shared" si="452"/>
        <v>7160307</v>
      </c>
    </row>
    <row r="622" spans="1:12" ht="47.25" x14ac:dyDescent="0.2">
      <c r="A622" s="107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IF(B622&gt;0,VLOOKUP(B622,КВСР!A318:B1483,2),IF(C622&gt;0,VLOOKUP(C622,КФСР!A318:B1830,2),IF(D622&gt;0,VLOOKUP(D622,Программа!A$1:B$5124,2),IF(F622&gt;0,VLOOKUP(F622,КВР!A$1:B$5001,2),IF(E622&gt;0,VLOOKUP(E622,Направление!A$1:B$4816,2))))))</f>
        <v>Предоставление субсидий бюджетным, автономным учреждениям и иным некоммерческим организациям</v>
      </c>
      <c r="B622" s="108"/>
      <c r="C622" s="104"/>
      <c r="D622" s="113"/>
      <c r="E622" s="111"/>
      <c r="F622" s="112">
        <v>600</v>
      </c>
      <c r="G622" s="335">
        <v>7160307</v>
      </c>
      <c r="H622" s="335"/>
      <c r="I622" s="335">
        <f>G622+H622</f>
        <v>7160307</v>
      </c>
      <c r="J622" s="335">
        <v>7160307</v>
      </c>
      <c r="K622" s="335"/>
      <c r="L622" s="266">
        <f>J622+K622</f>
        <v>7160307</v>
      </c>
    </row>
    <row r="623" spans="1:12" ht="31.5" x14ac:dyDescent="0.2">
      <c r="A623" s="107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IF(B623&gt;0,VLOOKUP(B623,КВСР!A320:B1485,2),IF(C623&gt;0,VLOOKUP(C623,КФСР!A320:B1832,2),IF(D623&gt;0,VLOOKUP(D623,Программа!A$1:B$5124,2),IF(F623&gt;0,VLOOKUP(F623,КВР!A$1:B$5001,2),IF(E623&gt;0,VLOOKUP(E623,Направление!A$1:B$4816,2))))))</f>
        <v>Расходы на комплектование книжных фондов муниципальных библиотек</v>
      </c>
      <c r="B623" s="108"/>
      <c r="C623" s="104"/>
      <c r="D623" s="113"/>
      <c r="E623" s="111" t="s">
        <v>1752</v>
      </c>
      <c r="F623" s="112"/>
      <c r="G623" s="335">
        <v>176275</v>
      </c>
      <c r="H623" s="335">
        <f>H624</f>
        <v>0</v>
      </c>
      <c r="I623" s="335">
        <f t="shared" ref="I623:L623" si="453">I624</f>
        <v>176275</v>
      </c>
      <c r="J623" s="335">
        <v>176275</v>
      </c>
      <c r="K623" s="335">
        <f t="shared" si="453"/>
        <v>0</v>
      </c>
      <c r="L623" s="335">
        <f t="shared" si="453"/>
        <v>176275</v>
      </c>
    </row>
    <row r="624" spans="1:12" ht="47.25" x14ac:dyDescent="0.2">
      <c r="A624" s="107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IF(B624&gt;0,VLOOKUP(B624,КВСР!A321:B1486,2),IF(C624&gt;0,VLOOKUP(C624,КФСР!A321:B1833,2),IF(D624&gt;0,VLOOKUP(D624,Программа!A$1:B$5124,2),IF(F624&gt;0,VLOOKUP(F624,КВР!A$1:B$5001,2),IF(E624&gt;0,VLOOKUP(E624,Направление!A$1:B$4816,2))))))</f>
        <v>Предоставление субсидий бюджетным, автономным учреждениям и иным некоммерческим организациям</v>
      </c>
      <c r="B624" s="108"/>
      <c r="C624" s="104"/>
      <c r="D624" s="113"/>
      <c r="E624" s="111"/>
      <c r="F624" s="112">
        <v>600</v>
      </c>
      <c r="G624" s="335">
        <v>176275</v>
      </c>
      <c r="H624" s="335"/>
      <c r="I624" s="335">
        <f t="shared" ref="I624:I627" si="454">G624+H624</f>
        <v>176275</v>
      </c>
      <c r="J624" s="335">
        <v>176275</v>
      </c>
      <c r="K624" s="335"/>
      <c r="L624" s="266">
        <f t="shared" ref="L624:L627" si="455">J624+K624</f>
        <v>176275</v>
      </c>
    </row>
    <row r="625" spans="1:12" ht="15.75" x14ac:dyDescent="0.2">
      <c r="A625" s="107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IF(B625&gt;0,VLOOKUP(B625,КВСР!A322:B1487,2),IF(C625&gt;0,VLOOKUP(C625,КФСР!A322:B1834,2),IF(D625&gt;0,VLOOKUP(D625,Программа!A$1:B$5124,2),IF(F625&gt;0,VLOOKUP(F625,КВР!A$1:B$5001,2),IF(E625&gt;0,VLOOKUP(E625,Направление!A$1:B$4816,2))))))</f>
        <v>Федеральный проект "Культурная среда"</v>
      </c>
      <c r="B625" s="108"/>
      <c r="C625" s="104"/>
      <c r="D625" s="113" t="s">
        <v>1567</v>
      </c>
      <c r="E625" s="111"/>
      <c r="F625" s="112"/>
      <c r="G625" s="335">
        <v>5000000</v>
      </c>
      <c r="H625" s="335">
        <f t="shared" ref="H625:L626" si="456">H626</f>
        <v>0</v>
      </c>
      <c r="I625" s="335">
        <f t="shared" si="456"/>
        <v>5000000</v>
      </c>
      <c r="J625" s="335">
        <v>0</v>
      </c>
      <c r="K625" s="335">
        <f t="shared" si="456"/>
        <v>0</v>
      </c>
      <c r="L625" s="335">
        <f t="shared" si="456"/>
        <v>0</v>
      </c>
    </row>
    <row r="626" spans="1:12" ht="31.5" x14ac:dyDescent="0.2">
      <c r="A626" s="107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IF(B626&gt;0,VLOOKUP(B626,КВСР!A323:B1488,2),IF(C626&gt;0,VLOOKUP(C626,КФСР!A323:B1835,2),IF(D626&gt;0,VLOOKUP(D626,Программа!A$1:B$5124,2),IF(F626&gt;0,VLOOKUP(F626,КВР!A$1:B$5001,2),IF(E626&gt;0,VLOOKUP(E626,Направление!A$1:B$4816,2))))))</f>
        <v>Расходы на проведение капитального ремонта муниципальных библиотек</v>
      </c>
      <c r="B626" s="108"/>
      <c r="C626" s="104"/>
      <c r="D626" s="113"/>
      <c r="E626" s="111">
        <v>14540</v>
      </c>
      <c r="F626" s="112"/>
      <c r="G626" s="335">
        <v>5000000</v>
      </c>
      <c r="H626" s="335">
        <f t="shared" si="456"/>
        <v>0</v>
      </c>
      <c r="I626" s="335">
        <f t="shared" si="456"/>
        <v>5000000</v>
      </c>
      <c r="J626" s="335">
        <v>0</v>
      </c>
      <c r="K626" s="335">
        <f t="shared" si="456"/>
        <v>0</v>
      </c>
      <c r="L626" s="335">
        <f t="shared" si="456"/>
        <v>0</v>
      </c>
    </row>
    <row r="627" spans="1:12" ht="47.25" x14ac:dyDescent="0.2">
      <c r="A627" s="107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08"/>
      <c r="C627" s="104"/>
      <c r="D627" s="113"/>
      <c r="E627" s="111"/>
      <c r="F627" s="112">
        <v>600</v>
      </c>
      <c r="G627" s="335">
        <v>5000000</v>
      </c>
      <c r="H627" s="335"/>
      <c r="I627" s="335">
        <f t="shared" si="454"/>
        <v>5000000</v>
      </c>
      <c r="J627" s="335">
        <v>0</v>
      </c>
      <c r="K627" s="335"/>
      <c r="L627" s="266">
        <f t="shared" si="455"/>
        <v>0</v>
      </c>
    </row>
    <row r="628" spans="1:12" ht="31.5" x14ac:dyDescent="0.2">
      <c r="A628" s="107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IF(B628&gt;0,VLOOKUP(B628,КВСР!A317:B1482,2),IF(C628&gt;0,VLOOKUP(C628,КФСР!A317:B1829,2),IF(D628&gt;0,VLOOKUP(D628,Программа!A$1:B$5124,2),IF(F628&gt;0,VLOOKUP(F628,КВР!A$1:B$5001,2),IF(E628&gt;0,VLOOKUP(E628,Направление!A$1:B$4816,2))))))</f>
        <v>Другие вопросы в области культуры, кинематографии</v>
      </c>
      <c r="B628" s="108"/>
      <c r="C628" s="104">
        <v>804</v>
      </c>
      <c r="D628" s="105"/>
      <c r="E628" s="104"/>
      <c r="F628" s="106"/>
      <c r="G628" s="335">
        <v>12300000</v>
      </c>
      <c r="H628" s="335">
        <f t="shared" ref="H628:I628" si="457">H629</f>
        <v>0</v>
      </c>
      <c r="I628" s="335">
        <f t="shared" si="457"/>
        <v>12300000</v>
      </c>
      <c r="J628" s="335">
        <v>0</v>
      </c>
      <c r="K628" s="266">
        <f t="shared" ref="K628:L628" si="458">K629</f>
        <v>0</v>
      </c>
      <c r="L628" s="266">
        <f t="shared" si="458"/>
        <v>0</v>
      </c>
    </row>
    <row r="629" spans="1:12" ht="63" x14ac:dyDescent="0.2">
      <c r="A629" s="107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29" s="108"/>
      <c r="C629" s="104"/>
      <c r="D629" s="105" t="s">
        <v>396</v>
      </c>
      <c r="E629" s="104"/>
      <c r="F629" s="106"/>
      <c r="G629" s="335">
        <v>12300000</v>
      </c>
      <c r="H629" s="335">
        <f t="shared" ref="H629:I629" si="459">H631</f>
        <v>0</v>
      </c>
      <c r="I629" s="335">
        <f t="shared" si="459"/>
        <v>12300000</v>
      </c>
      <c r="J629" s="335">
        <v>0</v>
      </c>
      <c r="K629" s="266">
        <f t="shared" ref="K629:L629" si="460">K631</f>
        <v>0</v>
      </c>
      <c r="L629" s="266">
        <f t="shared" si="460"/>
        <v>0</v>
      </c>
    </row>
    <row r="630" spans="1:12" ht="47.25" x14ac:dyDescent="0.2">
      <c r="A630" s="107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IF(B630&gt;0,VLOOKUP(B630,КВСР!A330:B1495,2),IF(C630&gt;0,VLOOKUP(C630,КФСР!A330:B1842,2),IF(D630&gt;0,VLOOKUP(D630,Программа!A$1:B$5124,2),IF(F630&gt;0,VLOOKUP(F630,КВР!A$1:B$5001,2),IF(E630&gt;0,VLOOKUP(E630,Направление!A$1:B$4816,2))))))</f>
        <v>Ведомственная целевая программа «Сохранение и развитие культуры Тутаевского муниципального района»</v>
      </c>
      <c r="B630" s="108"/>
      <c r="C630" s="104"/>
      <c r="D630" s="105" t="s">
        <v>494</v>
      </c>
      <c r="E630" s="104"/>
      <c r="F630" s="106"/>
      <c r="G630" s="335">
        <v>12300000</v>
      </c>
      <c r="H630" s="335">
        <f t="shared" ref="H630:I630" si="461">H631</f>
        <v>0</v>
      </c>
      <c r="I630" s="335">
        <f t="shared" si="461"/>
        <v>12300000</v>
      </c>
      <c r="J630" s="335">
        <v>0</v>
      </c>
      <c r="K630" s="266">
        <f t="shared" ref="K630:L630" si="462">K631</f>
        <v>0</v>
      </c>
      <c r="L630" s="266">
        <f t="shared" si="462"/>
        <v>0</v>
      </c>
    </row>
    <row r="631" spans="1:12" ht="31.5" x14ac:dyDescent="0.2">
      <c r="A631" s="107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IF(B631&gt;0,VLOOKUP(B631,КВСР!A331:B1496,2),IF(C631&gt;0,VLOOKUP(C631,КФСР!A331:B1843,2),IF(D631&gt;0,VLOOKUP(D631,Программа!A$1:B$5124,2),IF(F631&gt;0,VLOOKUP(F631,КВР!A$1:B$5001,2),IF(E631&gt;0,VLOOKUP(E631,Направление!A$1:B$4816,2))))))</f>
        <v>Обеспечение эффективности управления системой культуры</v>
      </c>
      <c r="B631" s="108"/>
      <c r="C631" s="104"/>
      <c r="D631" s="105" t="s">
        <v>520</v>
      </c>
      <c r="E631" s="104"/>
      <c r="F631" s="106"/>
      <c r="G631" s="335">
        <v>12300000</v>
      </c>
      <c r="H631" s="335">
        <f>H632+H636+H640</f>
        <v>0</v>
      </c>
      <c r="I631" s="335">
        <f>I632+I636+I640</f>
        <v>12300000</v>
      </c>
      <c r="J631" s="335">
        <v>0</v>
      </c>
      <c r="K631" s="266">
        <f>K632+K636+K640</f>
        <v>0</v>
      </c>
      <c r="L631" s="266">
        <f>L632+L636+L640</f>
        <v>0</v>
      </c>
    </row>
    <row r="632" spans="1:12" ht="15.75" x14ac:dyDescent="0.2">
      <c r="A632" s="107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IF(B632&gt;0,VLOOKUP(B632,КВСР!A332:B1497,2),IF(C632&gt;0,VLOOKUP(C632,КФСР!A332:B1844,2),IF(D632&gt;0,VLOOKUP(D632,Программа!A$1:B$5124,2),IF(F632&gt;0,VLOOKUP(F632,КВР!A$1:B$5001,2),IF(E632&gt;0,VLOOKUP(E632,Направление!A$1:B$4816,2))))))</f>
        <v>Содержание центрального аппарата</v>
      </c>
      <c r="B632" s="108"/>
      <c r="C632" s="104"/>
      <c r="D632" s="105"/>
      <c r="E632" s="104">
        <v>12010</v>
      </c>
      <c r="F632" s="106"/>
      <c r="G632" s="335">
        <v>2100000</v>
      </c>
      <c r="H632" s="335">
        <f t="shared" ref="H632:K632" si="463">H633+H634+H635</f>
        <v>0</v>
      </c>
      <c r="I632" s="335">
        <f t="shared" ref="I632" si="464">I633+I634+I635</f>
        <v>2100000</v>
      </c>
      <c r="J632" s="335">
        <v>0</v>
      </c>
      <c r="K632" s="266">
        <f t="shared" si="463"/>
        <v>0</v>
      </c>
      <c r="L632" s="266">
        <f t="shared" ref="L632" si="465">L633+L634+L635</f>
        <v>0</v>
      </c>
    </row>
    <row r="633" spans="1:12" ht="110.25" x14ac:dyDescent="0.2">
      <c r="A633" s="107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08"/>
      <c r="C633" s="104"/>
      <c r="D633" s="105"/>
      <c r="E633" s="104"/>
      <c r="F633" s="106">
        <v>100</v>
      </c>
      <c r="G633" s="335">
        <v>2000000</v>
      </c>
      <c r="H633" s="335"/>
      <c r="I633" s="335">
        <f t="shared" si="429"/>
        <v>2000000</v>
      </c>
      <c r="J633" s="335">
        <v>0</v>
      </c>
      <c r="K633" s="266"/>
      <c r="L633" s="266">
        <f t="shared" si="431"/>
        <v>0</v>
      </c>
    </row>
    <row r="634" spans="1:12" ht="63" x14ac:dyDescent="0.2">
      <c r="A634" s="107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IF(B634&gt;0,VLOOKUP(B634,КВСР!A333:B1498,2),IF(C634&gt;0,VLOOKUP(C634,КФСР!A333:B1845,2),IF(D634&gt;0,VLOOKUP(D634,Программа!A$1:B$5124,2),IF(F634&gt;0,VLOOKUP(F634,КВР!A$1:B$5001,2),IF(E634&gt;0,VLOOKUP(E634,Направление!A$1:B$4816,2))))))</f>
        <v xml:space="preserve">Закупка товаров, работ и услуг для обеспечения государственных (муниципальных) нужд
</v>
      </c>
      <c r="B634" s="108"/>
      <c r="C634" s="104"/>
      <c r="D634" s="105"/>
      <c r="E634" s="104"/>
      <c r="F634" s="106">
        <v>200</v>
      </c>
      <c r="G634" s="335">
        <v>100000</v>
      </c>
      <c r="H634" s="335"/>
      <c r="I634" s="335">
        <f t="shared" si="429"/>
        <v>100000</v>
      </c>
      <c r="J634" s="335">
        <v>0</v>
      </c>
      <c r="K634" s="266"/>
      <c r="L634" s="266">
        <f t="shared" si="431"/>
        <v>0</v>
      </c>
    </row>
    <row r="635" spans="1:12" ht="15.75" x14ac:dyDescent="0.2">
      <c r="A635" s="107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IF(B635&gt;0,VLOOKUP(B635,КВСР!A334:B1499,2),IF(C635&gt;0,VLOOKUP(C635,КФСР!A334:B1846,2),IF(D635&gt;0,VLOOKUP(D635,Программа!A$1:B$5124,2),IF(F635&gt;0,VLOOKUP(F635,КВР!A$1:B$5001,2),IF(E635&gt;0,VLOOKUP(E635,Направление!A$1:B$4816,2))))))</f>
        <v>Иные бюджетные ассигнования</v>
      </c>
      <c r="B635" s="108"/>
      <c r="C635" s="104"/>
      <c r="D635" s="105"/>
      <c r="E635" s="104"/>
      <c r="F635" s="106">
        <v>800</v>
      </c>
      <c r="G635" s="335">
        <v>0</v>
      </c>
      <c r="H635" s="335"/>
      <c r="I635" s="335">
        <f t="shared" si="429"/>
        <v>0</v>
      </c>
      <c r="J635" s="335">
        <v>0</v>
      </c>
      <c r="K635" s="266"/>
      <c r="L635" s="266">
        <f t="shared" si="431"/>
        <v>0</v>
      </c>
    </row>
    <row r="636" spans="1:12" ht="31.5" x14ac:dyDescent="0.2">
      <c r="A636" s="107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IF(B636&gt;0,VLOOKUP(B636,КВСР!A333:B1498,2),IF(C636&gt;0,VLOOKUP(C636,КФСР!A333:B1845,2),IF(D636&gt;0,VLOOKUP(D636,Программа!A$1:B$5124,2),IF(F636&gt;0,VLOOKUP(F636,КВР!A$1:B$5001,2),IF(E636&gt;0,VLOOKUP(E636,Направление!A$1:B$4816,2))))))</f>
        <v>Обеспечение деятельности прочих учреждений в сфере культуры</v>
      </c>
      <c r="B636" s="108"/>
      <c r="C636" s="104"/>
      <c r="D636" s="105"/>
      <c r="E636" s="104">
        <v>15210</v>
      </c>
      <c r="F636" s="106"/>
      <c r="G636" s="335">
        <v>10200000</v>
      </c>
      <c r="H636" s="335">
        <f>H637+H638+H639</f>
        <v>0</v>
      </c>
      <c r="I636" s="335">
        <f>I637+I638+I639</f>
        <v>10200000</v>
      </c>
      <c r="J636" s="335">
        <v>0</v>
      </c>
      <c r="K636" s="266">
        <f>K637+K638+K639</f>
        <v>0</v>
      </c>
      <c r="L636" s="266">
        <f>L637+L638+L639</f>
        <v>0</v>
      </c>
    </row>
    <row r="637" spans="1:12" ht="110.25" x14ac:dyDescent="0.2">
      <c r="A637" s="107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08"/>
      <c r="C637" s="104"/>
      <c r="D637" s="105"/>
      <c r="E637" s="104"/>
      <c r="F637" s="106">
        <v>100</v>
      </c>
      <c r="G637" s="335">
        <v>10000000</v>
      </c>
      <c r="H637" s="335"/>
      <c r="I637" s="335">
        <f t="shared" si="429"/>
        <v>10000000</v>
      </c>
      <c r="J637" s="335">
        <v>0</v>
      </c>
      <c r="K637" s="266"/>
      <c r="L637" s="266">
        <f t="shared" si="431"/>
        <v>0</v>
      </c>
    </row>
    <row r="638" spans="1:12" ht="63" x14ac:dyDescent="0.2">
      <c r="A638" s="107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IF(B638&gt;0,VLOOKUP(B638,КВСР!A335:B1500,2),IF(C638&gt;0,VLOOKUP(C638,КФСР!A335:B1847,2),IF(D638&gt;0,VLOOKUP(D638,Программа!A$1:B$5124,2),IF(F638&gt;0,VLOOKUP(F638,КВР!A$1:B$5001,2),IF(E638&gt;0,VLOOKUP(E638,Направление!A$1:B$4816,2))))))</f>
        <v xml:space="preserve">Закупка товаров, работ и услуг для обеспечения государственных (муниципальных) нужд
</v>
      </c>
      <c r="B638" s="108"/>
      <c r="C638" s="104"/>
      <c r="D638" s="105"/>
      <c r="E638" s="104"/>
      <c r="F638" s="106">
        <v>200</v>
      </c>
      <c r="G638" s="335">
        <v>200000</v>
      </c>
      <c r="H638" s="335"/>
      <c r="I638" s="335">
        <f t="shared" si="429"/>
        <v>200000</v>
      </c>
      <c r="J638" s="335">
        <v>0</v>
      </c>
      <c r="K638" s="266"/>
      <c r="L638" s="266">
        <f t="shared" si="431"/>
        <v>0</v>
      </c>
    </row>
    <row r="639" spans="1:12" ht="15.75" x14ac:dyDescent="0.2">
      <c r="A639" s="107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IF(B639&gt;0,VLOOKUP(B639,КВСР!A336:B1501,2),IF(C639&gt;0,VLOOKUP(C639,КФСР!A336:B1848,2),IF(D639&gt;0,VLOOKUP(D639,Программа!A$1:B$5124,2),IF(F639&gt;0,VLOOKUP(F639,КВР!A$1:B$5001,2),IF(E639&gt;0,VLOOKUP(E639,Направление!A$1:B$4816,2))))))</f>
        <v>Иные бюджетные ассигнования</v>
      </c>
      <c r="B639" s="108"/>
      <c r="C639" s="104"/>
      <c r="D639" s="105"/>
      <c r="E639" s="104"/>
      <c r="F639" s="106">
        <v>800</v>
      </c>
      <c r="G639" s="335">
        <v>0</v>
      </c>
      <c r="H639" s="335"/>
      <c r="I639" s="335">
        <f t="shared" si="429"/>
        <v>0</v>
      </c>
      <c r="J639" s="335">
        <v>0</v>
      </c>
      <c r="K639" s="266"/>
      <c r="L639" s="266">
        <f t="shared" si="431"/>
        <v>0</v>
      </c>
    </row>
    <row r="640" spans="1:12" ht="47.25" x14ac:dyDescent="0.2">
      <c r="A640" s="107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IF(B640&gt;0,VLOOKUP(B640,КВСР!A335:B1500,2),IF(C640&gt;0,VLOOKUP(C640,КФСР!A335:B1847,2),IF(D640&gt;0,VLOOKUP(D640,Программа!A$1:B$5124,2),IF(F640&gt;0,VLOOKUP(F640,КВР!A$1:B$5001,2),IF(E640&gt;0,VLOOKUP(E640,Направление!A$1:B$4816,2))))))</f>
        <v>Содержание органов местного самоуправления за счет средств поселений</v>
      </c>
      <c r="B640" s="108"/>
      <c r="C640" s="104"/>
      <c r="D640" s="105"/>
      <c r="E640" s="104">
        <v>29016</v>
      </c>
      <c r="F640" s="106"/>
      <c r="G640" s="335">
        <v>0</v>
      </c>
      <c r="H640" s="335">
        <f t="shared" ref="H640" si="466">H641+H642</f>
        <v>0</v>
      </c>
      <c r="I640" s="335">
        <f t="shared" si="429"/>
        <v>0</v>
      </c>
      <c r="J640" s="335">
        <v>0</v>
      </c>
      <c r="K640" s="266">
        <f t="shared" ref="K640" si="467">K641+K642</f>
        <v>0</v>
      </c>
      <c r="L640" s="266">
        <f t="shared" si="431"/>
        <v>0</v>
      </c>
    </row>
    <row r="641" spans="1:13" ht="110.25" x14ac:dyDescent="0.2">
      <c r="A641" s="107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08"/>
      <c r="C641" s="104"/>
      <c r="D641" s="105"/>
      <c r="E641" s="104"/>
      <c r="F641" s="106">
        <v>100</v>
      </c>
      <c r="G641" s="335">
        <v>0</v>
      </c>
      <c r="H641" s="335"/>
      <c r="I641" s="335">
        <f t="shared" si="429"/>
        <v>0</v>
      </c>
      <c r="J641" s="335">
        <v>0</v>
      </c>
      <c r="K641" s="266"/>
      <c r="L641" s="266">
        <f t="shared" si="431"/>
        <v>0</v>
      </c>
    </row>
    <row r="642" spans="1:13" ht="63" x14ac:dyDescent="0.2">
      <c r="A642" s="107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IF(B642&gt;0,VLOOKUP(B642,КВСР!A337:B1502,2),IF(C642&gt;0,VLOOKUP(C642,КФСР!A337:B1849,2),IF(D642&gt;0,VLOOKUP(D642,Программа!A$1:B$5124,2),IF(F642&gt;0,VLOOKUP(F642,КВР!A$1:B$5001,2),IF(E642&gt;0,VLOOKUP(E642,Направление!A$1:B$4816,2))))))</f>
        <v xml:space="preserve">Закупка товаров, работ и услуг для обеспечения государственных (муниципальных) нужд
</v>
      </c>
      <c r="B642" s="108"/>
      <c r="C642" s="104"/>
      <c r="D642" s="105"/>
      <c r="E642" s="104"/>
      <c r="F642" s="106">
        <v>200</v>
      </c>
      <c r="G642" s="335">
        <v>0</v>
      </c>
      <c r="H642" s="335"/>
      <c r="I642" s="335">
        <f t="shared" si="429"/>
        <v>0</v>
      </c>
      <c r="J642" s="335">
        <v>0</v>
      </c>
      <c r="K642" s="266"/>
      <c r="L642" s="266">
        <f t="shared" si="431"/>
        <v>0</v>
      </c>
    </row>
    <row r="643" spans="1:13" ht="15.75" x14ac:dyDescent="0.2">
      <c r="A643" s="107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IF(B643&gt;0,VLOOKUP(B643,КВСР!A347:B1512,2),IF(C643&gt;0,VLOOKUP(C643,КФСР!A347:B1859,2),IF(D643&gt;0,VLOOKUP(D643,Программа!A$1:B$5124,2),IF(F643&gt;0,VLOOKUP(F643,КВР!A$1:B$5001,2),IF(E643&gt;0,VLOOKUP(E643,Направление!A$1:B$4816,2))))))</f>
        <v>Периодическая печать и издательства</v>
      </c>
      <c r="B643" s="108"/>
      <c r="C643" s="104">
        <v>1202</v>
      </c>
      <c r="D643" s="105"/>
      <c r="E643" s="104"/>
      <c r="F643" s="106"/>
      <c r="G643" s="335">
        <v>0</v>
      </c>
      <c r="H643" s="335">
        <f t="shared" ref="H643:H645" si="468">H644</f>
        <v>0</v>
      </c>
      <c r="I643" s="335">
        <f t="shared" si="429"/>
        <v>0</v>
      </c>
      <c r="J643" s="335">
        <v>0</v>
      </c>
      <c r="K643" s="266">
        <f t="shared" ref="K643:K645" si="469">K644</f>
        <v>0</v>
      </c>
      <c r="L643" s="266">
        <f t="shared" si="431"/>
        <v>0</v>
      </c>
    </row>
    <row r="644" spans="1:13" ht="15.75" x14ac:dyDescent="0.2">
      <c r="A644" s="107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IF(B644&gt;0,VLOOKUP(B644,КВСР!A348:B1513,2),IF(C644&gt;0,VLOOKUP(C644,КФСР!A348:B1860,2),IF(D644&gt;0,VLOOKUP(D644,Программа!A$1:B$5124,2),IF(F644&gt;0,VLOOKUP(F644,КВР!A$1:B$5001,2),IF(E644&gt;0,VLOOKUP(E644,Направление!A$1:B$4816,2))))))</f>
        <v>Непрограммные расходы бюджета</v>
      </c>
      <c r="B644" s="108"/>
      <c r="C644" s="104"/>
      <c r="D644" s="105" t="s">
        <v>311</v>
      </c>
      <c r="E644" s="104"/>
      <c r="F644" s="106"/>
      <c r="G644" s="335">
        <v>0</v>
      </c>
      <c r="H644" s="335">
        <f t="shared" si="468"/>
        <v>0</v>
      </c>
      <c r="I644" s="335">
        <f t="shared" si="429"/>
        <v>0</v>
      </c>
      <c r="J644" s="335">
        <v>0</v>
      </c>
      <c r="K644" s="266">
        <f t="shared" si="469"/>
        <v>0</v>
      </c>
      <c r="L644" s="266">
        <f t="shared" si="431"/>
        <v>0</v>
      </c>
    </row>
    <row r="645" spans="1:13" ht="15.75" x14ac:dyDescent="0.2">
      <c r="A645" s="107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IF(B645&gt;0,VLOOKUP(B645,КВСР!A349:B1514,2),IF(C645&gt;0,VLOOKUP(C645,КФСР!A349:B1861,2),IF(D645&gt;0,VLOOKUP(D645,Программа!A$1:B$5124,2),IF(F645&gt;0,VLOOKUP(F645,КВР!A$1:B$5001,2),IF(E645&gt;0,VLOOKUP(E645,Направление!A$1:B$4816,2))))))</f>
        <v xml:space="preserve">Поддержка периодических изданий </v>
      </c>
      <c r="B645" s="108"/>
      <c r="C645" s="104"/>
      <c r="D645" s="105"/>
      <c r="E645" s="104">
        <v>12750</v>
      </c>
      <c r="F645" s="106"/>
      <c r="G645" s="335">
        <v>0</v>
      </c>
      <c r="H645" s="335">
        <f t="shared" si="468"/>
        <v>0</v>
      </c>
      <c r="I645" s="335">
        <f t="shared" si="429"/>
        <v>0</v>
      </c>
      <c r="J645" s="335">
        <v>0</v>
      </c>
      <c r="K645" s="266">
        <f t="shared" si="469"/>
        <v>0</v>
      </c>
      <c r="L645" s="266">
        <f t="shared" si="431"/>
        <v>0</v>
      </c>
    </row>
    <row r="646" spans="1:13" ht="47.25" x14ac:dyDescent="0.2">
      <c r="A646" s="107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IF(B646&gt;0,VLOOKUP(B646,КВСР!A350:B1515,2),IF(C646&gt;0,VLOOKUP(C646,КФСР!A350:B1862,2),IF(D646&gt;0,VLOOKUP(D646,Программа!A$1:B$5124,2),IF(F646&gt;0,VLOOKUP(F646,КВР!A$1:B$5001,2),IF(E646&gt;0,VLOOKUP(E646,Направление!A$1:B$4816,2))))))</f>
        <v>Предоставление субсидий бюджетным, автономным учреждениям и иным некоммерческим организациям</v>
      </c>
      <c r="B646" s="108"/>
      <c r="C646" s="104"/>
      <c r="D646" s="105"/>
      <c r="E646" s="104"/>
      <c r="F646" s="106">
        <v>600</v>
      </c>
      <c r="G646" s="335">
        <v>0</v>
      </c>
      <c r="H646" s="335"/>
      <c r="I646" s="335">
        <f t="shared" si="429"/>
        <v>0</v>
      </c>
      <c r="J646" s="335">
        <v>0</v>
      </c>
      <c r="K646" s="266"/>
      <c r="L646" s="266">
        <f t="shared" si="431"/>
        <v>0</v>
      </c>
    </row>
    <row r="647" spans="1:13" ht="15.75" x14ac:dyDescent="0.2">
      <c r="A647" s="102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IF(B647&gt;0,VLOOKUP(B647,КВСР!A415:B1580,2),IF(C647&gt;0,VLOOKUP(C647,КФСР!A415:B1927,2),IF(D647&gt;0,VLOOKUP(D647,Программа!A$1:B$5124,2),IF(F647&gt;0,VLOOKUP(F647,КВР!A$1:B$5001,2),IF(E647&gt;0,VLOOKUP(E647,Направление!A$1:B$4816,2))))))</f>
        <v>МУ Контрольно-счетная палата ТМР</v>
      </c>
      <c r="B647" s="103">
        <v>982</v>
      </c>
      <c r="C647" s="121"/>
      <c r="D647" s="122"/>
      <c r="E647" s="121"/>
      <c r="F647" s="123"/>
      <c r="G647" s="338">
        <v>1644528</v>
      </c>
      <c r="H647" s="338">
        <f t="shared" ref="H647:I648" si="470">H648</f>
        <v>0</v>
      </c>
      <c r="I647" s="338">
        <f t="shared" si="470"/>
        <v>1644528</v>
      </c>
      <c r="J647" s="338">
        <v>1644528</v>
      </c>
      <c r="K647" s="334">
        <f t="shared" ref="K647:L648" si="471">K648</f>
        <v>0</v>
      </c>
      <c r="L647" s="334">
        <f t="shared" si="471"/>
        <v>1644528</v>
      </c>
      <c r="M647" s="126"/>
    </row>
    <row r="648" spans="1:13" ht="63" x14ac:dyDescent="0.2">
      <c r="A648" s="107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20"/>
      <c r="C648" s="104">
        <v>106</v>
      </c>
      <c r="D648" s="116"/>
      <c r="E648" s="117"/>
      <c r="F648" s="118"/>
      <c r="G648" s="335">
        <v>1644528</v>
      </c>
      <c r="H648" s="335">
        <f t="shared" si="470"/>
        <v>0</v>
      </c>
      <c r="I648" s="335">
        <f t="shared" si="470"/>
        <v>1644528</v>
      </c>
      <c r="J648" s="335">
        <v>1644528</v>
      </c>
      <c r="K648" s="266">
        <f t="shared" si="471"/>
        <v>0</v>
      </c>
      <c r="L648" s="266">
        <f t="shared" si="471"/>
        <v>1644528</v>
      </c>
    </row>
    <row r="649" spans="1:13" ht="15.75" x14ac:dyDescent="0.2">
      <c r="A649" s="107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IF(B649&gt;0,VLOOKUP(B649,КВСР!A417:B1582,2),IF(C649&gt;0,VLOOKUP(C649,КФСР!A417:B1929,2),IF(D649&gt;0,VLOOKUP(D649,Программа!A$1:B$5124,2),IF(F649&gt;0,VLOOKUP(F649,КВР!A$1:B$5001,2),IF(E649&gt;0,VLOOKUP(E649,Направление!A$1:B$4816,2))))))</f>
        <v>Непрограммные расходы бюджета</v>
      </c>
      <c r="B649" s="120"/>
      <c r="C649" s="104"/>
      <c r="D649" s="116" t="s">
        <v>311</v>
      </c>
      <c r="E649" s="117"/>
      <c r="F649" s="118"/>
      <c r="G649" s="335">
        <v>1644528</v>
      </c>
      <c r="H649" s="335">
        <f>H650+H654+H656</f>
        <v>0</v>
      </c>
      <c r="I649" s="335">
        <f>I650+I654+I656</f>
        <v>1644528</v>
      </c>
      <c r="J649" s="335">
        <v>1644528</v>
      </c>
      <c r="K649" s="266">
        <f>K650+K654+K656</f>
        <v>0</v>
      </c>
      <c r="L649" s="266">
        <f>L650+L654+L656</f>
        <v>1644528</v>
      </c>
    </row>
    <row r="650" spans="1:13" ht="15.75" x14ac:dyDescent="0.2">
      <c r="A650" s="107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IF(B650&gt;0,VLOOKUP(B650,КВСР!A418:B1583,2),IF(C650&gt;0,VLOOKUP(C650,КФСР!A418:B1930,2),IF(D650&gt;0,VLOOKUP(D650,Программа!A$1:B$5124,2),IF(F650&gt;0,VLOOKUP(F650,КВР!A$1:B$5001,2),IF(E650&gt;0,VLOOKUP(E650,Направление!A$1:B$4816,2))))))</f>
        <v>Содержание центрального аппарата</v>
      </c>
      <c r="B650" s="120"/>
      <c r="C650" s="117"/>
      <c r="D650" s="105"/>
      <c r="E650" s="104">
        <v>12010</v>
      </c>
      <c r="F650" s="118"/>
      <c r="G650" s="335">
        <v>627871</v>
      </c>
      <c r="H650" s="335">
        <f>H651+H652+H653</f>
        <v>0</v>
      </c>
      <c r="I650" s="335">
        <f>I651+I652+I653</f>
        <v>627871</v>
      </c>
      <c r="J650" s="335">
        <v>627871</v>
      </c>
      <c r="K650" s="266">
        <f>K651+K652+K653</f>
        <v>0</v>
      </c>
      <c r="L650" s="266">
        <f>L651+L652+L653</f>
        <v>627871</v>
      </c>
    </row>
    <row r="651" spans="1:13" ht="110.25" x14ac:dyDescent="0.2">
      <c r="A651" s="107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0"/>
      <c r="C651" s="117"/>
      <c r="D651" s="116"/>
      <c r="E651" s="117"/>
      <c r="F651" s="118">
        <v>100</v>
      </c>
      <c r="G651" s="335">
        <v>609336</v>
      </c>
      <c r="H651" s="335"/>
      <c r="I651" s="335">
        <f t="shared" ref="I651:I661" si="472">SUM(G651:H651)</f>
        <v>609336</v>
      </c>
      <c r="J651" s="335">
        <v>609336</v>
      </c>
      <c r="K651" s="335"/>
      <c r="L651" s="266">
        <f t="shared" ref="L651:L661" si="473">SUM(J651:K651)</f>
        <v>609336</v>
      </c>
    </row>
    <row r="652" spans="1:13" ht="63" x14ac:dyDescent="0.2">
      <c r="A652" s="107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IF(B652&gt;0,VLOOKUP(B652,КВСР!A420:B1585,2),IF(C652&gt;0,VLOOKUP(C652,КФСР!A420:B1932,2),IF(D652&gt;0,VLOOKUP(D652,Программа!A$1:B$5124,2),IF(F652&gt;0,VLOOKUP(F652,КВР!A$1:B$5001,2),IF(E652&gt;0,VLOOKUP(E652,Направление!A$1:B$4816,2))))))</f>
        <v xml:space="preserve">Закупка товаров, работ и услуг для обеспечения государственных (муниципальных) нужд
</v>
      </c>
      <c r="B652" s="120"/>
      <c r="C652" s="117"/>
      <c r="D652" s="116"/>
      <c r="E652" s="117"/>
      <c r="F652" s="118">
        <v>200</v>
      </c>
      <c r="G652" s="335">
        <v>18535</v>
      </c>
      <c r="H652" s="335"/>
      <c r="I652" s="335">
        <f t="shared" si="472"/>
        <v>18535</v>
      </c>
      <c r="J652" s="335">
        <v>18535</v>
      </c>
      <c r="K652" s="266"/>
      <c r="L652" s="266">
        <f t="shared" si="473"/>
        <v>18535</v>
      </c>
    </row>
    <row r="653" spans="1:13" ht="15.75" x14ac:dyDescent="0.2">
      <c r="A653" s="107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IF(B653&gt;0,VLOOKUP(B653,КВСР!A421:B1586,2),IF(C653&gt;0,VLOOKUP(C653,КФСР!A421:B1933,2),IF(D653&gt;0,VLOOKUP(D653,Программа!A$1:B$5124,2),IF(F653&gt;0,VLOOKUP(F653,КВР!A$1:B$5001,2),IF(E653&gt;0,VLOOKUP(E653,Направление!A$1:B$4816,2))))))</f>
        <v>Иные бюджетные ассигнования</v>
      </c>
      <c r="B653" s="120"/>
      <c r="C653" s="117"/>
      <c r="D653" s="116"/>
      <c r="E653" s="117"/>
      <c r="F653" s="118">
        <v>800</v>
      </c>
      <c r="G653" s="335">
        <v>0</v>
      </c>
      <c r="H653" s="335"/>
      <c r="I653" s="335">
        <f t="shared" si="472"/>
        <v>0</v>
      </c>
      <c r="J653" s="335">
        <v>0</v>
      </c>
      <c r="K653" s="266"/>
      <c r="L653" s="266">
        <f t="shared" si="473"/>
        <v>0</v>
      </c>
    </row>
    <row r="654" spans="1:13" ht="47.25" x14ac:dyDescent="0.2">
      <c r="A654" s="107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IF(B654&gt;0,VLOOKUP(B654,КВСР!A420:B1585,2),IF(C654&gt;0,VLOOKUP(C654,КФСР!A420:B1932,2),IF(D654&gt;0,VLOOKUP(D654,Программа!A$1:B$5124,2),IF(F654&gt;0,VLOOKUP(F654,КВР!A$1:B$5001,2),IF(E654&gt;0,VLOOKUP(E654,Направление!A$1:B$4816,2))))))</f>
        <v>Содержание руководителя контрольно-счетной палаты муниципального образования и его заместителей</v>
      </c>
      <c r="B654" s="120"/>
      <c r="C654" s="117"/>
      <c r="D654" s="116"/>
      <c r="E654" s="117">
        <v>12030</v>
      </c>
      <c r="F654" s="118"/>
      <c r="G654" s="335">
        <v>958829</v>
      </c>
      <c r="H654" s="335">
        <f t="shared" ref="H654:I654" si="474">H655</f>
        <v>0</v>
      </c>
      <c r="I654" s="335">
        <f t="shared" si="474"/>
        <v>958829</v>
      </c>
      <c r="J654" s="335">
        <v>958829</v>
      </c>
      <c r="K654" s="266">
        <f t="shared" ref="K654:L654" si="475">K655</f>
        <v>0</v>
      </c>
      <c r="L654" s="266">
        <f t="shared" si="475"/>
        <v>958829</v>
      </c>
    </row>
    <row r="655" spans="1:13" ht="110.25" x14ac:dyDescent="0.2">
      <c r="A655" s="107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17"/>
      <c r="D655" s="116"/>
      <c r="E655" s="117"/>
      <c r="F655" s="118">
        <v>100</v>
      </c>
      <c r="G655" s="335">
        <v>958829</v>
      </c>
      <c r="H655" s="335"/>
      <c r="I655" s="335">
        <f t="shared" si="472"/>
        <v>958829</v>
      </c>
      <c r="J655" s="335">
        <v>958829</v>
      </c>
      <c r="K655" s="266"/>
      <c r="L655" s="266">
        <f t="shared" si="473"/>
        <v>958829</v>
      </c>
    </row>
    <row r="656" spans="1:13" ht="47.25" x14ac:dyDescent="0.2">
      <c r="A656" s="107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IF(B656&gt;0,VLOOKUP(B656,КВСР!A422:B1587,2),IF(C656&gt;0,VLOOKUP(C656,КФСР!A422:B1934,2),IF(D656&gt;0,VLOOKUP(D656,Программа!A$1:B$5124,2),IF(F656&gt;0,VLOOKUP(F656,КВР!A$1:B$5001,2),IF(E656&gt;0,VLOOKUP(E656,Направление!A$1:B$4816,2))))))</f>
        <v>Обеспечение мероприятий по осуществлению внешнего муниципального контроля</v>
      </c>
      <c r="B656" s="120"/>
      <c r="C656" s="117"/>
      <c r="D656" s="116"/>
      <c r="E656" s="117">
        <v>29386</v>
      </c>
      <c r="F656" s="118"/>
      <c r="G656" s="335">
        <v>57828</v>
      </c>
      <c r="H656" s="335">
        <f t="shared" ref="H656:I656" si="476">H657+H658</f>
        <v>0</v>
      </c>
      <c r="I656" s="335">
        <f t="shared" si="476"/>
        <v>57828</v>
      </c>
      <c r="J656" s="335">
        <v>57828</v>
      </c>
      <c r="K656" s="266">
        <f t="shared" ref="K656:L656" si="477">K657+K658</f>
        <v>0</v>
      </c>
      <c r="L656" s="266">
        <f t="shared" si="477"/>
        <v>57828</v>
      </c>
    </row>
    <row r="657" spans="1:12" ht="110.25" x14ac:dyDescent="0.2">
      <c r="A657" s="107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0"/>
      <c r="C657" s="117"/>
      <c r="D657" s="116"/>
      <c r="E657" s="117"/>
      <c r="F657" s="118">
        <v>100</v>
      </c>
      <c r="G657" s="335">
        <v>44483</v>
      </c>
      <c r="H657" s="335"/>
      <c r="I657" s="335">
        <f t="shared" si="472"/>
        <v>44483</v>
      </c>
      <c r="J657" s="335">
        <v>44483</v>
      </c>
      <c r="K657" s="266"/>
      <c r="L657" s="266">
        <f t="shared" si="473"/>
        <v>44483</v>
      </c>
    </row>
    <row r="658" spans="1:12" ht="63" x14ac:dyDescent="0.2">
      <c r="A658" s="107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IF(B658&gt;0,VLOOKUP(B658,КВСР!A424:B1589,2),IF(C658&gt;0,VLOOKUP(C658,КФСР!A424:B1936,2),IF(D658&gt;0,VLOOKUP(D658,Программа!A$1:B$5124,2),IF(F658&gt;0,VLOOKUP(F658,КВР!A$1:B$5001,2),IF(E658&gt;0,VLOOKUP(E658,Направление!A$1:B$4816,2))))))</f>
        <v xml:space="preserve">Закупка товаров, работ и услуг для обеспечения государственных (муниципальных) нужд
</v>
      </c>
      <c r="B658" s="120"/>
      <c r="C658" s="117"/>
      <c r="D658" s="116"/>
      <c r="E658" s="117"/>
      <c r="F658" s="118">
        <v>200</v>
      </c>
      <c r="G658" s="335">
        <v>13345</v>
      </c>
      <c r="H658" s="335"/>
      <c r="I658" s="335">
        <f t="shared" si="472"/>
        <v>13345</v>
      </c>
      <c r="J658" s="335">
        <v>13345</v>
      </c>
      <c r="K658" s="266"/>
      <c r="L658" s="266">
        <f t="shared" si="473"/>
        <v>13345</v>
      </c>
    </row>
    <row r="659" spans="1:12" ht="15.75" x14ac:dyDescent="0.2">
      <c r="A659" s="129" t="s">
        <v>129</v>
      </c>
      <c r="B659" s="130"/>
      <c r="C659" s="130"/>
      <c r="D659" s="130"/>
      <c r="E659" s="131"/>
      <c r="F659" s="130"/>
      <c r="G659" s="345">
        <v>2251115068</v>
      </c>
      <c r="H659" s="345">
        <f>H10+H233+H267+H423+H536+H569+H647</f>
        <v>-110108000</v>
      </c>
      <c r="I659" s="345">
        <f>I10+I233+I267+I423+I536+I569+I647</f>
        <v>2141007068</v>
      </c>
      <c r="J659" s="345">
        <v>2220028024</v>
      </c>
      <c r="K659" s="345">
        <f>K10+K233+K267+K423+K536+K569+K647</f>
        <v>0</v>
      </c>
      <c r="L659" s="345">
        <f>L10+L233+L267+L423+L536+L569+L647</f>
        <v>2220028024</v>
      </c>
    </row>
    <row r="660" spans="1:12" s="126" customFormat="1" ht="15.75" x14ac:dyDescent="0.25">
      <c r="A660" s="132" t="s">
        <v>246</v>
      </c>
      <c r="B660" s="132"/>
      <c r="C660" s="132"/>
      <c r="D660" s="133"/>
      <c r="E660" s="134"/>
      <c r="F660" s="132"/>
      <c r="G660" s="344">
        <v>13500000</v>
      </c>
      <c r="H660" s="338"/>
      <c r="I660" s="338">
        <f>SUM(G660:H660)</f>
        <v>13500000</v>
      </c>
      <c r="J660" s="344">
        <v>17500000</v>
      </c>
      <c r="K660" s="334"/>
      <c r="L660" s="334">
        <f t="shared" si="473"/>
        <v>17500000</v>
      </c>
    </row>
    <row r="661" spans="1:12" s="126" customFormat="1" ht="15.75" x14ac:dyDescent="0.25">
      <c r="A661" s="132" t="s">
        <v>570</v>
      </c>
      <c r="B661" s="132"/>
      <c r="C661" s="132"/>
      <c r="D661" s="133"/>
      <c r="E661" s="134"/>
      <c r="F661" s="132"/>
      <c r="G661" s="338">
        <v>2264615068</v>
      </c>
      <c r="H661" s="338">
        <f>H659+H660</f>
        <v>-110108000</v>
      </c>
      <c r="I661" s="338">
        <f t="shared" si="472"/>
        <v>2154507068</v>
      </c>
      <c r="J661" s="334">
        <v>2061853937</v>
      </c>
      <c r="K661" s="334">
        <f t="shared" ref="K661" si="478">K659+K660</f>
        <v>0</v>
      </c>
      <c r="L661" s="334">
        <f t="shared" si="473"/>
        <v>2061853937</v>
      </c>
    </row>
    <row r="662" spans="1:12" x14ac:dyDescent="0.2">
      <c r="A662"/>
      <c r="B662"/>
      <c r="C662"/>
      <c r="D662" s="135"/>
      <c r="E662" s="136"/>
      <c r="F662"/>
    </row>
  </sheetData>
  <autoFilter ref="A8:L661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49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showGridLines="0" view="pageBreakPreview" topLeftCell="B1" zoomScaleSheetLayoutView="100" workbookViewId="0">
      <selection activeCell="B5" sqref="B5"/>
    </sheetView>
  </sheetViews>
  <sheetFormatPr defaultColWidth="9.140625" defaultRowHeight="12.75" x14ac:dyDescent="0.2"/>
  <cols>
    <col min="1" max="1" width="6" style="137" hidden="1" customWidth="1"/>
    <col min="2" max="2" width="64.7109375" style="90" customWidth="1"/>
    <col min="3" max="3" width="13.28515625" style="90" customWidth="1"/>
    <col min="4" max="5" width="20.5703125" style="817" hidden="1" customWidth="1"/>
    <col min="6" max="6" width="20.5703125" style="817" customWidth="1"/>
    <col min="7" max="16384" width="9.140625" style="90"/>
  </cols>
  <sheetData>
    <row r="1" spans="1:6" ht="15.75" x14ac:dyDescent="0.25">
      <c r="A1" s="829" t="s">
        <v>281</v>
      </c>
      <c r="B1" s="829"/>
      <c r="C1" s="829"/>
      <c r="D1" s="829"/>
      <c r="E1" s="829"/>
      <c r="F1" s="829"/>
    </row>
    <row r="2" spans="1:6" ht="15.75" x14ac:dyDescent="0.25">
      <c r="A2" s="829" t="s">
        <v>1</v>
      </c>
      <c r="B2" s="829"/>
      <c r="C2" s="829"/>
      <c r="D2" s="829"/>
      <c r="E2" s="829"/>
      <c r="F2" s="829"/>
    </row>
    <row r="3" spans="1:6" ht="15.75" x14ac:dyDescent="0.25">
      <c r="A3" s="829" t="s">
        <v>2</v>
      </c>
      <c r="B3" s="829"/>
      <c r="C3" s="829"/>
      <c r="D3" s="829"/>
      <c r="E3" s="829"/>
      <c r="F3" s="829"/>
    </row>
    <row r="4" spans="1:6" ht="15.75" x14ac:dyDescent="0.25">
      <c r="A4" s="829" t="s">
        <v>1808</v>
      </c>
      <c r="B4" s="829"/>
      <c r="C4" s="829"/>
      <c r="D4" s="829"/>
      <c r="E4" s="829"/>
      <c r="F4" s="829"/>
    </row>
    <row r="5" spans="1:6" ht="15.75" x14ac:dyDescent="0.25">
      <c r="A5" s="138"/>
      <c r="B5" s="1"/>
      <c r="C5" s="1"/>
      <c r="D5" s="910"/>
      <c r="E5" s="910"/>
      <c r="F5" s="910"/>
    </row>
    <row r="6" spans="1:6" ht="15.75" x14ac:dyDescent="0.25">
      <c r="A6" s="844" t="s">
        <v>1632</v>
      </c>
      <c r="B6" s="844"/>
      <c r="C6" s="844"/>
      <c r="D6" s="844"/>
      <c r="E6" s="844"/>
      <c r="F6" s="844"/>
    </row>
    <row r="7" spans="1:6" ht="16.5" thickBot="1" x14ac:dyDescent="0.3">
      <c r="A7" s="138"/>
      <c r="B7" s="1"/>
      <c r="C7" s="1"/>
      <c r="D7" s="910"/>
      <c r="E7" s="910"/>
      <c r="F7" s="910"/>
    </row>
    <row r="8" spans="1:6" ht="13.5" thickBot="1" x14ac:dyDescent="0.25">
      <c r="A8" s="915" t="s">
        <v>571</v>
      </c>
      <c r="B8" s="916" t="s">
        <v>572</v>
      </c>
      <c r="C8" s="918" t="s">
        <v>573</v>
      </c>
      <c r="D8" s="920" t="s">
        <v>140</v>
      </c>
      <c r="E8" s="911" t="s">
        <v>140</v>
      </c>
      <c r="F8" s="913" t="s">
        <v>140</v>
      </c>
    </row>
    <row r="9" spans="1:6" ht="13.5" thickBot="1" x14ac:dyDescent="0.25">
      <c r="A9" s="915"/>
      <c r="B9" s="917"/>
      <c r="C9" s="919"/>
      <c r="D9" s="921"/>
      <c r="E9" s="912"/>
      <c r="F9" s="914"/>
    </row>
    <row r="10" spans="1:6" s="139" customFormat="1" ht="48" thickBot="1" x14ac:dyDescent="0.25">
      <c r="A10" s="331">
        <v>1</v>
      </c>
      <c r="B10" s="534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35" t="s">
        <v>396</v>
      </c>
      <c r="D10" s="409">
        <f>SUMIFS(Пр.10!G$10:G$1682,Пр.10!$D$10:$D$1682,C10)</f>
        <v>259546456.00000003</v>
      </c>
      <c r="E10" s="410">
        <f>SUMIFS(Пр.10!H$10:H$1682,Пр.10!$D$10:$D$1682,C10)</f>
        <v>985111.08</v>
      </c>
      <c r="F10" s="774">
        <f>SUMIFS(Пр.10!I$10:I$1682,Пр.10!$D$10:$D$1682,C10)</f>
        <v>260531567.08000004</v>
      </c>
    </row>
    <row r="11" spans="1:6" s="140" customFormat="1" ht="16.5" thickBot="1" x14ac:dyDescent="0.3">
      <c r="A11" s="155" t="s">
        <v>574</v>
      </c>
      <c r="B11" s="573" t="str">
        <f>IF(C11&gt;0,VLOOKUP(C11,Программа!A$2:B$5124,2))</f>
        <v>Ведомственная целевая программа «Молодежь»</v>
      </c>
      <c r="C11" s="595" t="s">
        <v>499</v>
      </c>
      <c r="D11" s="775">
        <f>SUMIFS(Пр.10!G$10:G$1682,Пр.10!$D$10:$D$1682,C11)</f>
        <v>17183062</v>
      </c>
      <c r="E11" s="776">
        <f>SUMIFS(Пр.10!H$10:H$1682,Пр.10!$D$10:$D$1682,C11)</f>
        <v>0</v>
      </c>
      <c r="F11" s="777">
        <f>SUMIFS(Пр.10!I$10:I$1682,Пр.10!$D$10:$D$1682,C11)</f>
        <v>17183062</v>
      </c>
    </row>
    <row r="12" spans="1:6" ht="48" thickBot="1" x14ac:dyDescent="0.3">
      <c r="A12" s="154" t="s">
        <v>575</v>
      </c>
      <c r="B12" s="57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96" t="s">
        <v>501</v>
      </c>
      <c r="D12" s="151">
        <f>SUMIFS(Пр.10!G$10:G$1682,Пр.10!$D$10:$D$1682,C12)</f>
        <v>16158078</v>
      </c>
      <c r="E12" s="778">
        <f>SUMIFS(Пр.10!H$10:H$1682,Пр.10!$D$10:$D$1682,C12)</f>
        <v>0</v>
      </c>
      <c r="F12" s="560">
        <f>SUMIFS(Пр.10!I$10:I$1682,Пр.10!$D$10:$D$1682,C12)</f>
        <v>16158078</v>
      </c>
    </row>
    <row r="13" spans="1:6" ht="32.25" thickBot="1" x14ac:dyDescent="0.3">
      <c r="A13" s="154"/>
      <c r="B13" s="577" t="str">
        <f>IF(C13&gt;0,VLOOKUP(C13,Программа!A$2:B$5124,2))</f>
        <v>Обеспечение качества и доступности услуг(работ) в сфере молодежной политики</v>
      </c>
      <c r="C13" s="596" t="s">
        <v>1091</v>
      </c>
      <c r="D13" s="151">
        <f>SUMIFS(Пр.10!G$10:G$1682,Пр.10!$D$10:$D$1682,C13)</f>
        <v>1024984</v>
      </c>
      <c r="E13" s="778">
        <f>SUMIFS(Пр.10!H$10:H$1682,Пр.10!$D$10:$D$1682,C13)</f>
        <v>0</v>
      </c>
      <c r="F13" s="561">
        <f>SUMIFS(Пр.10!I$10:I$1682,Пр.10!$D$10:$D$1682,C13)</f>
        <v>1024984</v>
      </c>
    </row>
    <row r="14" spans="1:6" s="140" customFormat="1" ht="63.75" thickBot="1" x14ac:dyDescent="0.3">
      <c r="A14" s="332" t="s">
        <v>576</v>
      </c>
      <c r="B14" s="57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91" t="s">
        <v>398</v>
      </c>
      <c r="D14" s="551">
        <f>SUMIFS(Пр.10!G$10:G$1682,Пр.10!$D$10:$D$1682,C14)</f>
        <v>447473</v>
      </c>
      <c r="E14" s="779">
        <f>SUMIFS(Пр.10!H$10:H$1682,Пр.10!$D$10:$D$1682,C14)</f>
        <v>17075</v>
      </c>
      <c r="F14" s="561">
        <f>SUMIFS(Пр.10!I$10:I$1682,Пр.10!$D$10:$D$1682,C14)</f>
        <v>464548</v>
      </c>
    </row>
    <row r="15" spans="1:6" ht="48" thickBot="1" x14ac:dyDescent="0.3">
      <c r="A15" s="150" t="s">
        <v>577</v>
      </c>
      <c r="B15" s="577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17" t="s">
        <v>400</v>
      </c>
      <c r="D15" s="151">
        <f>SUMIFS(Пр.10!G$10:G$1682,Пр.10!$D$10:$D$1682,C15)</f>
        <v>447473</v>
      </c>
      <c r="E15" s="778">
        <f>SUMIFS(Пр.10!H$10:H$1682,Пр.10!$D$10:$D$1682,C15)</f>
        <v>17075</v>
      </c>
      <c r="F15" s="560">
        <f>SUMIFS(Пр.10!I$10:I$1682,Пр.10!$D$10:$D$1682,C15)</f>
        <v>464548</v>
      </c>
    </row>
    <row r="16" spans="1:6" ht="63.75" hidden="1" thickBot="1" x14ac:dyDescent="0.3">
      <c r="A16" s="150"/>
      <c r="B16" s="577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17" t="s">
        <v>1438</v>
      </c>
      <c r="D16" s="151">
        <f>SUMIFS(Пр.10!G$10:G$1682,Пр.10!$D$10:$D$1682,C16)</f>
        <v>0</v>
      </c>
      <c r="E16" s="778">
        <f>SUMIFS(Пр.10!H$10:H$1682,Пр.10!$D$10:$D$1682,C16)</f>
        <v>0</v>
      </c>
      <c r="F16" s="560">
        <f>SUMIFS(Пр.10!I$10:I$1682,Пр.10!$D$10:$D$1682,C16)</f>
        <v>0</v>
      </c>
    </row>
    <row r="17" spans="1:6" s="140" customFormat="1" ht="48" thickBot="1" x14ac:dyDescent="0.3">
      <c r="A17" s="270" t="s">
        <v>78</v>
      </c>
      <c r="B17" s="579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591" t="s">
        <v>403</v>
      </c>
      <c r="D17" s="551">
        <f>SUMIFS(Пр.10!G$10:G$1682,Пр.10!$D$10:$D$1682,C17)</f>
        <v>130000</v>
      </c>
      <c r="E17" s="779">
        <f>SUMIFS(Пр.10!H$10:H$1682,Пр.10!$D$10:$D$1682,C17)</f>
        <v>0</v>
      </c>
      <c r="F17" s="561">
        <f>SUMIFS(Пр.10!I$10:I$1682,Пр.10!$D$10:$D$1682,C17)</f>
        <v>130000</v>
      </c>
    </row>
    <row r="18" spans="1:6" ht="32.25" thickBot="1" x14ac:dyDescent="0.3">
      <c r="A18" s="154" t="s">
        <v>578</v>
      </c>
      <c r="B18" s="577" t="str">
        <f>IF(C18&gt;0,VLOOKUP(C18,Программа!A$2:B$5124,2))</f>
        <v>Развитие системы профилактики немедицинского потребления наркотиков</v>
      </c>
      <c r="C18" s="217" t="s">
        <v>405</v>
      </c>
      <c r="D18" s="151">
        <f>SUMIFS(Пр.10!G$10:G$1682,Пр.10!$D$10:$D$1682,C18)</f>
        <v>130000</v>
      </c>
      <c r="E18" s="778">
        <f>SUMIFS(Пр.10!H$10:H$1682,Пр.10!$D$10:$D$1682,C18)</f>
        <v>0</v>
      </c>
      <c r="F18" s="560">
        <f>SUMIFS(Пр.10!I$10:I$1682,Пр.10!$D$10:$D$1682,C18)</f>
        <v>130000</v>
      </c>
    </row>
    <row r="19" spans="1:6" s="140" customFormat="1" ht="32.25" thickBot="1" x14ac:dyDescent="0.3">
      <c r="A19" s="155" t="s">
        <v>579</v>
      </c>
      <c r="B19" s="579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591" t="s">
        <v>494</v>
      </c>
      <c r="D19" s="551">
        <f>SUMIFS(Пр.10!G$10:G$1682,Пр.10!$D$10:$D$1682,C19)</f>
        <v>241785921.00000003</v>
      </c>
      <c r="E19" s="779">
        <f>SUMIFS(Пр.10!H$10:H$1682,Пр.10!$D$10:$D$1682,C19)</f>
        <v>968036.08</v>
      </c>
      <c r="F19" s="561">
        <f>SUMIFS(Пр.10!I$10:I$1682,Пр.10!$D$10:$D$1682,C19)</f>
        <v>242753957.08000004</v>
      </c>
    </row>
    <row r="20" spans="1:6" ht="32.25" thickBot="1" x14ac:dyDescent="0.3">
      <c r="A20" s="154" t="s">
        <v>580</v>
      </c>
      <c r="B20" s="577" t="str">
        <f>IF(C20&gt;0,VLOOKUP(C20,Программа!A$2:B$5124,2))</f>
        <v>Реализация дополнительных образовательных программ в сфере культуры</v>
      </c>
      <c r="C20" s="217" t="s">
        <v>496</v>
      </c>
      <c r="D20" s="151">
        <f>SUMIFS(Пр.10!G$10:G$1682,Пр.10!$D$10:$D$1682,C20)</f>
        <v>33640962</v>
      </c>
      <c r="E20" s="778">
        <f>SUMIFS(Пр.10!H$10:H$1682,Пр.10!$D$10:$D$1682,C20)</f>
        <v>0</v>
      </c>
      <c r="F20" s="560">
        <f>SUMIFS(Пр.10!I$10:I$1682,Пр.10!$D$10:$D$1682,C20)</f>
        <v>33640962</v>
      </c>
    </row>
    <row r="21" spans="1:6" ht="16.5" thickBot="1" x14ac:dyDescent="0.3">
      <c r="A21" s="154" t="s">
        <v>581</v>
      </c>
      <c r="B21" s="577" t="str">
        <f>IF(C21&gt;0,VLOOKUP(C21,Программа!A$2:B$5124,2))</f>
        <v>Содействие доступу граждан к культурным ценностям</v>
      </c>
      <c r="C21" s="217" t="s">
        <v>512</v>
      </c>
      <c r="D21" s="151">
        <f>SUMIFS(Пр.10!G$10:G$1682,Пр.10!$D$10:$D$1682,C21)</f>
        <v>108338150.60000001</v>
      </c>
      <c r="E21" s="778">
        <f>SUMIFS(Пр.10!H$10:H$1682,Пр.10!$D$10:$D$1682,C21)</f>
        <v>98532</v>
      </c>
      <c r="F21" s="560">
        <f>SUMIFS(Пр.10!I$10:I$1682,Пр.10!$D$10:$D$1682,C21)</f>
        <v>108436682.60000001</v>
      </c>
    </row>
    <row r="22" spans="1:6" ht="32.25" thickBot="1" x14ac:dyDescent="0.3">
      <c r="A22" s="153" t="s">
        <v>582</v>
      </c>
      <c r="B22" s="577" t="str">
        <f>IF(C22&gt;0,VLOOKUP(C22,Программа!A$2:B$5124,2))</f>
        <v>Поддержка доступа граждан к информационно-библиотечным ресурсам</v>
      </c>
      <c r="C22" s="217" t="s">
        <v>517</v>
      </c>
      <c r="D22" s="151">
        <f>SUMIFS(Пр.10!G$10:G$1682,Пр.10!$D$10:$D$1682,C22)</f>
        <v>26887693</v>
      </c>
      <c r="E22" s="778">
        <f>SUMIFS(Пр.10!H$10:H$1682,Пр.10!$D$10:$D$1682,C22)</f>
        <v>-3003</v>
      </c>
      <c r="F22" s="560">
        <f>SUMIFS(Пр.10!I$10:I$1682,Пр.10!$D$10:$D$1682,C22)</f>
        <v>26884690</v>
      </c>
    </row>
    <row r="23" spans="1:6" ht="16.5" thickBot="1" x14ac:dyDescent="0.3">
      <c r="A23" s="154" t="s">
        <v>583</v>
      </c>
      <c r="B23" s="577" t="str">
        <f>IF(C23&gt;0,VLOOKUP(C23,Программа!A$2:B$5124,2))</f>
        <v>Обеспечение эффективности управления системой культуры</v>
      </c>
      <c r="C23" s="217" t="s">
        <v>520</v>
      </c>
      <c r="D23" s="151">
        <f>SUMIFS(Пр.10!G$10:G$1682,Пр.10!$D$10:$D$1682,C23)</f>
        <v>36732098</v>
      </c>
      <c r="E23" s="778">
        <f>SUMIFS(Пр.10!H$10:H$1682,Пр.10!$D$10:$D$1682,C23)</f>
        <v>872507.08</v>
      </c>
      <c r="F23" s="560">
        <f>SUMIFS(Пр.10!I$10:I$1682,Пр.10!$D$10:$D$1682,C23)</f>
        <v>37604605.079999998</v>
      </c>
    </row>
    <row r="24" spans="1:6" ht="16.5" thickBot="1" x14ac:dyDescent="0.3">
      <c r="A24" s="154"/>
      <c r="B24" s="577" t="str">
        <f>IF(C24&gt;0,VLOOKUP(C24,Программа!A$2:B$5124,2))</f>
        <v>Федеральный проект "Культурная среда"</v>
      </c>
      <c r="C24" s="217" t="s">
        <v>1567</v>
      </c>
      <c r="D24" s="151">
        <f>SUMIFS(Пр.10!G$10:G$1682,Пр.10!$D$10:$D$1682,C24)</f>
        <v>36187017.399999999</v>
      </c>
      <c r="E24" s="778">
        <f>SUMIFS(Пр.10!H$10:H$1682,Пр.10!$D$10:$D$1682,C24)</f>
        <v>0</v>
      </c>
      <c r="F24" s="560">
        <f>SUMIFS(Пр.10!I$10:I$1682,Пр.10!$D$10:$D$1682,C24)</f>
        <v>36187017.399999999</v>
      </c>
    </row>
    <row r="25" spans="1:6" s="140" customFormat="1" ht="48" hidden="1" thickBot="1" x14ac:dyDescent="0.25">
      <c r="A25" s="270" t="s">
        <v>584</v>
      </c>
      <c r="B25" s="488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52" t="s">
        <v>489</v>
      </c>
      <c r="D25" s="551">
        <f>SUMIFS(Пр.10!G$10:G$1682,Пр.10!$D$10:$D$1682,C25)</f>
        <v>0</v>
      </c>
      <c r="E25" s="778">
        <f>SUMIFS(Пр.10!H$10:H$1682,Пр.10!$D$10:$D$1682,C25)</f>
        <v>0</v>
      </c>
      <c r="F25" s="561">
        <f>SUMIFS(Пр.10!I$10:I$1682,Пр.10!$D$10:$D$1682,C25)</f>
        <v>0</v>
      </c>
    </row>
    <row r="26" spans="1:6" ht="16.5" hidden="1" thickBot="1" x14ac:dyDescent="0.25">
      <c r="A26" s="154" t="s">
        <v>585</v>
      </c>
      <c r="B26" s="492" t="str">
        <f>IF(C26&gt;0,VLOOKUP(C26,Программа!A$2:B$5124,2))</f>
        <v>Создание благоприятных условий для развития туризма</v>
      </c>
      <c r="C26" s="156" t="s">
        <v>491</v>
      </c>
      <c r="D26" s="402">
        <f>SUMIFS(Пр.10!G$10:G$1682,Пр.10!$D$10:$D$1682,C26)</f>
        <v>0</v>
      </c>
      <c r="E26" s="403">
        <f>SUMIFS(Пр.10!H$10:H$1682,Пр.10!$D$10:$D$1682,C26)</f>
        <v>0</v>
      </c>
      <c r="F26" s="780">
        <f>SUMIFS(Пр.10!I$10:I$1682,Пр.10!$D$10:$D$1682,C26)</f>
        <v>0</v>
      </c>
    </row>
    <row r="27" spans="1:6" s="139" customFormat="1" ht="48" thickBot="1" x14ac:dyDescent="0.25">
      <c r="A27" s="331" t="s">
        <v>586</v>
      </c>
      <c r="B27" s="411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49" t="s">
        <v>367</v>
      </c>
      <c r="D27" s="395">
        <f>SUMIFS(Пр.10!G$10:G$1682,Пр.10!$D$10:$D$1682,C27)</f>
        <v>1249492514</v>
      </c>
      <c r="E27" s="396">
        <f>SUMIFS(Пр.10!H$10:H$1682,Пр.10!$D$10:$D$1682,C27)</f>
        <v>-3875168.1499999994</v>
      </c>
      <c r="F27" s="550">
        <f>SUMIFS(Пр.10!I$10:I$1682,Пр.10!$D$10:$D$1682,C27)</f>
        <v>1245617345.8499999</v>
      </c>
    </row>
    <row r="28" spans="1:6" s="140" customFormat="1" ht="48" thickBot="1" x14ac:dyDescent="0.3">
      <c r="A28" s="270" t="s">
        <v>587</v>
      </c>
      <c r="B28" s="573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593" t="s">
        <v>369</v>
      </c>
      <c r="D28" s="775">
        <f>SUMIFS(Пр.10!G$10:G$1682,Пр.10!$D$10:$D$1682,C28)</f>
        <v>1192377977.54</v>
      </c>
      <c r="E28" s="776">
        <f>SUMIFS(Пр.10!H$10:H$1682,Пр.10!$D$10:$D$1682,C28)</f>
        <v>-4846082.1499999994</v>
      </c>
      <c r="F28" s="777">
        <f>SUMIFS(Пр.10!I$10:I$1682,Пр.10!$D$10:$D$1682,C28)</f>
        <v>1187531895.3899999</v>
      </c>
    </row>
    <row r="29" spans="1:6" ht="32.25" thickBot="1" x14ac:dyDescent="0.3">
      <c r="A29" s="153" t="s">
        <v>588</v>
      </c>
      <c r="B29" s="577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17" t="s">
        <v>370</v>
      </c>
      <c r="D29" s="151">
        <f>SUMIFS(Пр.10!G$10:G$1682,Пр.10!$D$10:$D$1682,C29)</f>
        <v>449682398.30000001</v>
      </c>
      <c r="E29" s="778">
        <f>SUMIFS(Пр.10!H$10:H$1682,Пр.10!$D$10:$D$1682,C29)</f>
        <v>264631.28000000003</v>
      </c>
      <c r="F29" s="560">
        <f>SUMIFS(Пр.10!I$10:I$1682,Пр.10!$D$10:$D$1682,C29)</f>
        <v>449947029.57999998</v>
      </c>
    </row>
    <row r="30" spans="1:6" ht="32.25" thickBot="1" x14ac:dyDescent="0.3">
      <c r="A30" s="153" t="s">
        <v>589</v>
      </c>
      <c r="B30" s="577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17" t="s">
        <v>409</v>
      </c>
      <c r="D30" s="151">
        <f>SUMIFS(Пр.10!G$10:G$1682,Пр.10!$D$10:$D$1682,C30)</f>
        <v>582306171.36000001</v>
      </c>
      <c r="E30" s="778">
        <f>SUMIFS(Пр.10!H$10:H$1682,Пр.10!$D$10:$D$1682,C30)</f>
        <v>-4875432.08</v>
      </c>
      <c r="F30" s="560">
        <f>SUMIFS(Пр.10!I$10:I$1682,Пр.10!$D$10:$D$1682,C30)</f>
        <v>577430739.27999997</v>
      </c>
    </row>
    <row r="31" spans="1:6" ht="32.25" thickBot="1" x14ac:dyDescent="0.3">
      <c r="A31" s="153" t="s">
        <v>590</v>
      </c>
      <c r="B31" s="577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17" t="s">
        <v>431</v>
      </c>
      <c r="D31" s="151">
        <f>SUMIFS(Пр.10!G$10:G$1682,Пр.10!$D$10:$D$1682,C31)</f>
        <v>67432510.879999995</v>
      </c>
      <c r="E31" s="778">
        <f>SUMIFS(Пр.10!H$10:H$1682,Пр.10!$D$10:$D$1682,C31)</f>
        <v>660776.35</v>
      </c>
      <c r="F31" s="560">
        <f>SUMIFS(Пр.10!I$10:I$1682,Пр.10!$D$10:$D$1682,C31)</f>
        <v>68093287.229999989</v>
      </c>
    </row>
    <row r="32" spans="1:6" ht="16.5" thickBot="1" x14ac:dyDescent="0.3">
      <c r="A32" s="154" t="s">
        <v>591</v>
      </c>
      <c r="B32" s="577" t="str">
        <f>IF(C32&gt;0,VLOOKUP(C32,Программа!A$2:B$5124,2))</f>
        <v>Повышение мотивации участников образовательного процесса</v>
      </c>
      <c r="C32" s="217" t="s">
        <v>411</v>
      </c>
      <c r="D32" s="151">
        <f>SUMIFS(Пр.10!G$10:G$1682,Пр.10!$D$10:$D$1682,C32)</f>
        <v>363000</v>
      </c>
      <c r="E32" s="778">
        <f>SUMIFS(Пр.10!H$10:H$1682,Пр.10!$D$10:$D$1682,C32)</f>
        <v>0</v>
      </c>
      <c r="F32" s="560">
        <f>SUMIFS(Пр.10!I$10:I$1682,Пр.10!$D$10:$D$1682,C32)</f>
        <v>363000</v>
      </c>
    </row>
    <row r="33" spans="1:6" ht="48" thickBot="1" x14ac:dyDescent="0.3">
      <c r="A33" s="153" t="s">
        <v>592</v>
      </c>
      <c r="B33" s="577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17" t="s">
        <v>388</v>
      </c>
      <c r="D33" s="151">
        <f>SUMIFS(Пр.10!G$10:G$1682,Пр.10!$D$10:$D$1682,C33)</f>
        <v>13059069</v>
      </c>
      <c r="E33" s="778">
        <f>SUMIFS(Пр.10!H$10:H$1682,Пр.10!$D$10:$D$1682,C33)</f>
        <v>-5950.01</v>
      </c>
      <c r="F33" s="560">
        <f>SUMIFS(Пр.10!I$10:I$1682,Пр.10!$D$10:$D$1682,C33)</f>
        <v>13053118.99</v>
      </c>
    </row>
    <row r="34" spans="1:6" ht="48" thickBot="1" x14ac:dyDescent="0.3">
      <c r="A34" s="154" t="s">
        <v>593</v>
      </c>
      <c r="B34" s="577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17" t="s">
        <v>416</v>
      </c>
      <c r="D34" s="151">
        <f>SUMIFS(Пр.10!G$10:G$1682,Пр.10!$D$10:$D$1682,C34)</f>
        <v>29500277</v>
      </c>
      <c r="E34" s="778">
        <f>SUMIFS(Пр.10!H$10:H$1682,Пр.10!$D$10:$D$1682,C34)</f>
        <v>-2415340.4699999997</v>
      </c>
      <c r="F34" s="560">
        <f>SUMIFS(Пр.10!I$10:I$1682,Пр.10!$D$10:$D$1682,C34)</f>
        <v>27084936.530000001</v>
      </c>
    </row>
    <row r="35" spans="1:6" ht="32.25" thickBot="1" x14ac:dyDescent="0.3">
      <c r="A35" s="154"/>
      <c r="B35" s="577" t="str">
        <f>IF(C35&gt;0,VLOOKUP(C35,Программа!A$2:B$5124,2))</f>
        <v>Обеспечение детей организованными формами отдыха и оздоровления</v>
      </c>
      <c r="C35" s="217" t="s">
        <v>1055</v>
      </c>
      <c r="D35" s="151">
        <f>SUMIFS(Пр.10!G$10:G$1682,Пр.10!$D$10:$D$1682,C35)</f>
        <v>6635862</v>
      </c>
      <c r="E35" s="778">
        <f>SUMIFS(Пр.10!H$10:H$1682,Пр.10!$D$10:$D$1682,C35)</f>
        <v>-289</v>
      </c>
      <c r="F35" s="560">
        <f>SUMIFS(Пр.10!I$10:I$1682,Пр.10!$D$10:$D$1682,C35)</f>
        <v>6635573</v>
      </c>
    </row>
    <row r="36" spans="1:6" ht="16.5" thickBot="1" x14ac:dyDescent="0.3">
      <c r="A36" s="154"/>
      <c r="B36" s="577" t="str">
        <f>IF(C36&gt;0,VLOOKUP(C36,Программа!A$2:B$5124,2))</f>
        <v>Обеспечение компенсационных выплат</v>
      </c>
      <c r="C36" s="217" t="s">
        <v>1060</v>
      </c>
      <c r="D36" s="151">
        <f>SUMIFS(Пр.10!G$10:G$1682,Пр.10!$D$10:$D$1682,C36)</f>
        <v>7260603</v>
      </c>
      <c r="E36" s="778">
        <f>SUMIFS(Пр.10!H$10:H$1682,Пр.10!$D$10:$D$1682,C36)</f>
        <v>-605950.79</v>
      </c>
      <c r="F36" s="560">
        <f>SUMIFS(Пр.10!I$10:I$1682,Пр.10!$D$10:$D$1682,C36)</f>
        <v>6654652.21</v>
      </c>
    </row>
    <row r="37" spans="1:6" ht="32.25" thickBot="1" x14ac:dyDescent="0.3">
      <c r="A37" s="154"/>
      <c r="B37" s="577" t="str">
        <f>IF(C37&gt;0,VLOOKUP(C37,Программа!A$2:B$5124,2))</f>
        <v>Обеспечение эффективности управления системой образования</v>
      </c>
      <c r="C37" s="217" t="s">
        <v>1057</v>
      </c>
      <c r="D37" s="151">
        <f>SUMIFS(Пр.10!G$10:G$1682,Пр.10!$D$10:$D$1682,C37)</f>
        <v>34018086</v>
      </c>
      <c r="E37" s="778">
        <f>SUMIFS(Пр.10!H$10:H$1682,Пр.10!$D$10:$D$1682,C37)</f>
        <v>2393025.5700000003</v>
      </c>
      <c r="F37" s="560">
        <f>SUMIFS(Пр.10!I$10:I$1682,Пр.10!$D$10:$D$1682,C37)</f>
        <v>36411111.57</v>
      </c>
    </row>
    <row r="38" spans="1:6" ht="16.5" thickBot="1" x14ac:dyDescent="0.3">
      <c r="A38" s="154"/>
      <c r="B38" s="577" t="str">
        <f>IF(C38&gt;0,VLOOKUP(C38,Программа!A$2:B$5124,2))</f>
        <v>Региональный проект "Современная школа"</v>
      </c>
      <c r="C38" s="217" t="s">
        <v>1600</v>
      </c>
      <c r="D38" s="151">
        <f>SUMIFS(Пр.10!G$10:G$1682,Пр.10!$D$10:$D$1682,C38)</f>
        <v>2120000</v>
      </c>
      <c r="E38" s="778">
        <f>SUMIFS(Пр.10!H$10:H$1682,Пр.10!$D$10:$D$1682,C38)</f>
        <v>-261553</v>
      </c>
      <c r="F38" s="560">
        <f>SUMIFS(Пр.10!I$10:I$1682,Пр.10!$D$10:$D$1682,C38)</f>
        <v>1858447</v>
      </c>
    </row>
    <row r="39" spans="1:6" ht="16.5" hidden="1" thickBot="1" x14ac:dyDescent="0.3">
      <c r="A39" s="154"/>
      <c r="B39" s="577" t="str">
        <f>IF(C39&gt;0,VLOOKUP(C39,Программа!A$2:B$5124,2))</f>
        <v>Региональный проект "Успех каждого ребенка"</v>
      </c>
      <c r="C39" s="217" t="s">
        <v>1428</v>
      </c>
      <c r="D39" s="151">
        <f>SUMIFS(Пр.10!G$10:G$1682,Пр.10!$D$10:$D$1682,C39)</f>
        <v>0</v>
      </c>
      <c r="E39" s="778">
        <f>SUMIFS(Пр.10!H$10:H$1682,Пр.10!$D$10:$D$1682,C39)</f>
        <v>0</v>
      </c>
      <c r="F39" s="560">
        <f>SUMIFS(Пр.10!I$10:I$1682,Пр.10!$D$10:$D$1682,C39)</f>
        <v>0</v>
      </c>
    </row>
    <row r="40" spans="1:6" s="140" customFormat="1" ht="48" thickBot="1" x14ac:dyDescent="0.3">
      <c r="A40" s="155" t="s">
        <v>594</v>
      </c>
      <c r="B40" s="579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591" t="s">
        <v>418</v>
      </c>
      <c r="D40" s="551">
        <f>SUMIFS(Пр.10!G$10:G$1682,Пр.10!$D$10:$D$1682,C40)</f>
        <v>5000</v>
      </c>
      <c r="E40" s="779">
        <f>SUMIFS(Пр.10!H$10:H$1682,Пр.10!$D$10:$D$1682,C40)</f>
        <v>0</v>
      </c>
      <c r="F40" s="561">
        <f>SUMIFS(Пр.10!I$10:I$1682,Пр.10!$D$10:$D$1682,C40)</f>
        <v>5000</v>
      </c>
    </row>
    <row r="41" spans="1:6" ht="32.25" thickBot="1" x14ac:dyDescent="0.3">
      <c r="A41" s="154"/>
      <c r="B41" s="577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17" t="s">
        <v>420</v>
      </c>
      <c r="D41" s="151">
        <f>SUMIFS(Пр.10!G$10:G$1682,Пр.10!$D$10:$D$1682,C41)</f>
        <v>5000</v>
      </c>
      <c r="E41" s="778">
        <f>SUMIFS(Пр.10!H$10:H$1682,Пр.10!$D$10:$D$1682,C41)</f>
        <v>0</v>
      </c>
      <c r="F41" s="560">
        <f>SUMIFS(Пр.10!I$10:I$1682,Пр.10!$D$10:$D$1682,C41)</f>
        <v>5000</v>
      </c>
    </row>
    <row r="42" spans="1:6" s="140" customFormat="1" ht="32.25" thickBot="1" x14ac:dyDescent="0.3">
      <c r="A42" s="155"/>
      <c r="B42" s="579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591" t="s">
        <v>386</v>
      </c>
      <c r="D42" s="551">
        <f>SUMIFS(Пр.10!G$10:G$1682,Пр.10!$D$10:$D$1682,C42)</f>
        <v>56359536.460000001</v>
      </c>
      <c r="E42" s="779">
        <f>SUMIFS(Пр.10!H$10:H$1682,Пр.10!$D$10:$D$1682,C42)</f>
        <v>970914</v>
      </c>
      <c r="F42" s="561">
        <f>SUMIFS(Пр.10!I$10:I$1682,Пр.10!$D$10:$D$1682,C42)</f>
        <v>57330450.460000001</v>
      </c>
    </row>
    <row r="43" spans="1:6" ht="63.75" thickBot="1" x14ac:dyDescent="0.3">
      <c r="A43" s="154"/>
      <c r="B43" s="577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17" t="s">
        <v>441</v>
      </c>
      <c r="D43" s="151">
        <f>SUMIFS(Пр.10!G$10:G$1682,Пр.10!$D$10:$D$1682,C43)</f>
        <v>45110678.460000001</v>
      </c>
      <c r="E43" s="778">
        <f>SUMIFS(Пр.10!H$10:H$1682,Пр.10!$D$10:$D$1682,C43)</f>
        <v>90914</v>
      </c>
      <c r="F43" s="560">
        <f>SUMIFS(Пр.10!I$10:I$1682,Пр.10!$D$10:$D$1682,C43)</f>
        <v>45201592.460000001</v>
      </c>
    </row>
    <row r="44" spans="1:6" ht="32.25" thickBot="1" x14ac:dyDescent="0.3">
      <c r="A44" s="154"/>
      <c r="B44" s="577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17" t="s">
        <v>387</v>
      </c>
      <c r="D44" s="151">
        <f>SUMIFS(Пр.10!G$10:G$1682,Пр.10!$D$10:$D$1682,C44)</f>
        <v>9495858</v>
      </c>
      <c r="E44" s="778">
        <f>SUMIFS(Пр.10!H$10:H$1682,Пр.10!$D$10:$D$1682,C44)</f>
        <v>880000</v>
      </c>
      <c r="F44" s="560">
        <f>SUMIFS(Пр.10!I$10:I$1682,Пр.10!$D$10:$D$1682,C44)</f>
        <v>10375858</v>
      </c>
    </row>
    <row r="45" spans="1:6" ht="16.5" thickBot="1" x14ac:dyDescent="0.3">
      <c r="A45" s="154"/>
      <c r="B45" s="581" t="str">
        <f>IF(C45&gt;0,VLOOKUP(C45,Программа!A$2:B$5124,2))</f>
        <v>Развитие сети плоскостных спортивных сооружений</v>
      </c>
      <c r="C45" s="495" t="s">
        <v>422</v>
      </c>
      <c r="D45" s="402">
        <f>SUMIFS(Пр.10!G$10:G$1682,Пр.10!$D$10:$D$1682,C45)</f>
        <v>1753000</v>
      </c>
      <c r="E45" s="403">
        <f>SUMIFS(Пр.10!H$10:H$1682,Пр.10!$D$10:$D$1682,C45)</f>
        <v>0</v>
      </c>
      <c r="F45" s="780">
        <f>SUMIFS(Пр.10!I$10:I$1682,Пр.10!$D$10:$D$1682,C45)</f>
        <v>1753000</v>
      </c>
    </row>
    <row r="46" spans="1:6" s="756" customFormat="1" ht="48" thickBot="1" x14ac:dyDescent="0.3">
      <c r="A46" s="155"/>
      <c r="B46" s="755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91" t="s">
        <v>1761</v>
      </c>
      <c r="D46" s="781">
        <f>SUMIFS(Пр.10!G$10:G$1682,Пр.10!$D$10:$D$1682,C46)</f>
        <v>750000</v>
      </c>
      <c r="E46" s="782">
        <f>SUMIFS(Пр.10!H$10:H$1682,Пр.10!$D$10:$D$1682,C46)</f>
        <v>0</v>
      </c>
      <c r="F46" s="780">
        <f>SUMIFS(Пр.10!I$10:I$1682,Пр.10!$D$10:$D$1682,C46)</f>
        <v>750000</v>
      </c>
    </row>
    <row r="47" spans="1:6" ht="48" thickBot="1" x14ac:dyDescent="0.3">
      <c r="A47" s="154"/>
      <c r="B47" s="581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495" t="s">
        <v>1760</v>
      </c>
      <c r="D47" s="402">
        <f>SUMIFS(Пр.10!G$10:G$1682,Пр.10!$D$10:$D$1682,C47)</f>
        <v>750000</v>
      </c>
      <c r="E47" s="403">
        <f>SUMIFS(Пр.10!H$10:H$1682,Пр.10!$D$10:$D$1682,C47)</f>
        <v>0</v>
      </c>
      <c r="F47" s="780">
        <f>SUMIFS(Пр.10!I$10:I$1682,Пр.10!$D$10:$D$1682,C47)</f>
        <v>750000</v>
      </c>
    </row>
    <row r="48" spans="1:6" s="139" customFormat="1" ht="32.25" thickBot="1" x14ac:dyDescent="0.25">
      <c r="A48" s="148"/>
      <c r="B48" s="411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32" t="s">
        <v>376</v>
      </c>
      <c r="D48" s="395">
        <f>SUMIFS(Пр.10!G$10:G$1682,Пр.10!$D$10:$D$1682,C48)</f>
        <v>577316295</v>
      </c>
      <c r="E48" s="396">
        <f>SUMIFS(Пр.10!H$10:H$1682,Пр.10!$D$10:$D$1682,C48)</f>
        <v>8536898</v>
      </c>
      <c r="F48" s="550">
        <f>SUMIFS(Пр.10!I$10:I$1682,Пр.10!$D$10:$D$1682,C48)</f>
        <v>585853193</v>
      </c>
    </row>
    <row r="49" spans="1:6" s="140" customFormat="1" ht="32.25" thickBot="1" x14ac:dyDescent="0.3">
      <c r="A49" s="155"/>
      <c r="B49" s="573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593" t="s">
        <v>446</v>
      </c>
      <c r="D49" s="775">
        <f>SUMIFS(Пр.10!G$10:G$1682,Пр.10!$D$10:$D$1682,C49)</f>
        <v>576790375</v>
      </c>
      <c r="E49" s="776">
        <f>SUMIFS(Пр.10!H$10:H$1682,Пр.10!$D$10:$D$1682,C49)</f>
        <v>8574352</v>
      </c>
      <c r="F49" s="777">
        <f>SUMIFS(Пр.10!I$10:I$1682,Пр.10!$D$10:$D$1682,C49)</f>
        <v>585364727</v>
      </c>
    </row>
    <row r="50" spans="1:6" ht="32.25" thickBot="1" x14ac:dyDescent="0.3">
      <c r="A50" s="154"/>
      <c r="B50" s="577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17" t="s">
        <v>448</v>
      </c>
      <c r="D50" s="151">
        <f>SUMIFS(Пр.10!G$10:G$1682,Пр.10!$D$10:$D$1682,C50)</f>
        <v>377590708</v>
      </c>
      <c r="E50" s="778">
        <f>SUMIFS(Пр.10!H$10:H$1682,Пр.10!$D$10:$D$1682,C50)</f>
        <v>5333340.5</v>
      </c>
      <c r="F50" s="560">
        <f>SUMIFS(Пр.10!I$10:I$1682,Пр.10!$D$10:$D$1682,C50)</f>
        <v>382924048.5</v>
      </c>
    </row>
    <row r="51" spans="1:6" ht="48" thickBot="1" x14ac:dyDescent="0.3">
      <c r="A51" s="154"/>
      <c r="B51" s="577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17" t="s">
        <v>451</v>
      </c>
      <c r="D51" s="151">
        <f>SUMIFS(Пр.10!G$10:G$1682,Пр.10!$D$10:$D$1682,C51)</f>
        <v>89229652</v>
      </c>
      <c r="E51" s="778">
        <f>SUMIFS(Пр.10!H$10:H$1682,Пр.10!$D$10:$D$1682,C51)</f>
        <v>-666095</v>
      </c>
      <c r="F51" s="560">
        <f>SUMIFS(Пр.10!I$10:I$1682,Пр.10!$D$10:$D$1682,C51)</f>
        <v>88563557</v>
      </c>
    </row>
    <row r="52" spans="1:6" ht="32.25" thickBot="1" x14ac:dyDescent="0.3">
      <c r="A52" s="154"/>
      <c r="B52" s="577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17" t="s">
        <v>466</v>
      </c>
      <c r="D52" s="151">
        <f>SUMIFS(Пр.10!G$10:G$1682,Пр.10!$D$10:$D$1682,C52)</f>
        <v>22704047</v>
      </c>
      <c r="E52" s="778">
        <f>SUMIFS(Пр.10!H$10:H$1682,Пр.10!$D$10:$D$1682,C52)</f>
        <v>607767</v>
      </c>
      <c r="F52" s="560">
        <f>SUMIFS(Пр.10!I$10:I$1682,Пр.10!$D$10:$D$1682,C52)</f>
        <v>23311814</v>
      </c>
    </row>
    <row r="53" spans="1:6" ht="32.25" thickBot="1" x14ac:dyDescent="0.3">
      <c r="A53" s="154"/>
      <c r="B53" s="577" t="str">
        <f>IF(C53&gt;0,VLOOKUP(C53,Программа!A$2:B$5124,2))</f>
        <v>Информационное обеспечение реализации мероприятий программы</v>
      </c>
      <c r="C53" s="217" t="s">
        <v>1167</v>
      </c>
      <c r="D53" s="151">
        <f>SUMIFS(Пр.10!G$10:G$1682,Пр.10!$D$10:$D$1682,C53)</f>
        <v>731000</v>
      </c>
      <c r="E53" s="778">
        <f>SUMIFS(Пр.10!H$10:H$1682,Пр.10!$D$10:$D$1682,C53)</f>
        <v>-277137.5</v>
      </c>
      <c r="F53" s="560">
        <f>SUMIFS(Пр.10!I$10:I$1682,Пр.10!$D$10:$D$1682,C53)</f>
        <v>453862.5</v>
      </c>
    </row>
    <row r="54" spans="1:6" ht="32.25" thickBot="1" x14ac:dyDescent="0.3">
      <c r="A54" s="154"/>
      <c r="B54" s="577" t="str">
        <f>IF(C54&gt;0,VLOOKUP(C54,Программа!A$2:B$5124,2))</f>
        <v>Федеральный проект "Финансовая поддержка семей при рождении детей"</v>
      </c>
      <c r="C54" s="217" t="s">
        <v>1323</v>
      </c>
      <c r="D54" s="151">
        <f>SUMIFS(Пр.10!G$10:G$1682,Пр.10!$D$10:$D$1682,C54)</f>
        <v>86534968</v>
      </c>
      <c r="E54" s="778">
        <f>SUMIFS(Пр.10!H$10:H$1682,Пр.10!$D$10:$D$1682,C54)</f>
        <v>3576477</v>
      </c>
      <c r="F54" s="560">
        <f>SUMIFS(Пр.10!I$10:I$1682,Пр.10!$D$10:$D$1682,C54)</f>
        <v>90111445</v>
      </c>
    </row>
    <row r="55" spans="1:6" ht="16.5" hidden="1" thickBot="1" x14ac:dyDescent="0.3">
      <c r="A55" s="154"/>
      <c r="B55" s="577" t="str">
        <f>IF(C55&gt;0,VLOOKUP(C55,Программа!A$2:B$5124,2))</f>
        <v>Федеральный проект "Старшее поколение"</v>
      </c>
      <c r="C55" s="217" t="s">
        <v>1324</v>
      </c>
      <c r="D55" s="151">
        <f>SUMIFS(Пр.10!G$10:G$1682,Пр.10!$D$10:$D$1682,C55)</f>
        <v>0</v>
      </c>
      <c r="E55" s="778">
        <f>SUMIFS(Пр.10!H$10:H$1682,Пр.10!$D$10:$D$1682,C55)</f>
        <v>0</v>
      </c>
      <c r="F55" s="560">
        <f>SUMIFS(Пр.10!I$10:I$1682,Пр.10!$D$10:$D$1682,C55)</f>
        <v>0</v>
      </c>
    </row>
    <row r="56" spans="1:6" s="140" customFormat="1" ht="32.25" thickBot="1" x14ac:dyDescent="0.3">
      <c r="A56" s="155"/>
      <c r="B56" s="579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591" t="s">
        <v>378</v>
      </c>
      <c r="D56" s="551">
        <f>SUMIFS(Пр.10!G$10:G$1682,Пр.10!$D$10:$D$1682,C56)</f>
        <v>525920</v>
      </c>
      <c r="E56" s="779">
        <f>SUMIFS(Пр.10!H$10:H$1682,Пр.10!$D$10:$D$1682,C56)</f>
        <v>-37454</v>
      </c>
      <c r="F56" s="561">
        <f>SUMIFS(Пр.10!I$10:I$1682,Пр.10!$D$10:$D$1682,C56)</f>
        <v>488466</v>
      </c>
    </row>
    <row r="57" spans="1:6" s="140" customFormat="1" ht="48" thickBot="1" x14ac:dyDescent="0.3">
      <c r="A57" s="155"/>
      <c r="B57" s="577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17" t="s">
        <v>379</v>
      </c>
      <c r="D57" s="151">
        <f>SUMIFS(Пр.10!G$10:G$1682,Пр.10!$D$10:$D$1682,C57)</f>
        <v>55400</v>
      </c>
      <c r="E57" s="778">
        <f>SUMIFS(Пр.10!H$10:H$1682,Пр.10!$D$10:$D$1682,C57)</f>
        <v>-6600</v>
      </c>
      <c r="F57" s="560">
        <f>SUMIFS(Пр.10!I$10:I$1682,Пр.10!$D$10:$D$1682,C57)</f>
        <v>48800</v>
      </c>
    </row>
    <row r="58" spans="1:6" s="140" customFormat="1" ht="48" thickBot="1" x14ac:dyDescent="0.3">
      <c r="A58" s="155"/>
      <c r="B58" s="577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17" t="s">
        <v>1341</v>
      </c>
      <c r="D58" s="151">
        <f>SUMIFS(Пр.10!G$10:G$1682,Пр.10!$D$10:$D$1682,C58)</f>
        <v>343105</v>
      </c>
      <c r="E58" s="778">
        <f>SUMIFS(Пр.10!H$10:H$1682,Пр.10!$D$10:$D$1682,C58)</f>
        <v>-20009</v>
      </c>
      <c r="F58" s="560">
        <f>SUMIFS(Пр.10!I$10:I$1682,Пр.10!$D$10:$D$1682,C58)</f>
        <v>323096</v>
      </c>
    </row>
    <row r="59" spans="1:6" ht="32.25" thickBot="1" x14ac:dyDescent="0.3">
      <c r="A59" s="154"/>
      <c r="B59" s="581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495" t="s">
        <v>1036</v>
      </c>
      <c r="D59" s="402">
        <f>SUMIFS(Пр.10!G$10:G$1682,Пр.10!$D$10:$D$1682,C59)</f>
        <v>127415</v>
      </c>
      <c r="E59" s="403">
        <f>SUMIFS(Пр.10!H$10:H$1682,Пр.10!$D$10:$D$1682,C59)</f>
        <v>-10845</v>
      </c>
      <c r="F59" s="783">
        <f>SUMIFS(Пр.10!I$10:I$1682,Пр.10!$D$10:$D$1682,C59)</f>
        <v>116570</v>
      </c>
    </row>
    <row r="60" spans="1:6" s="139" customFormat="1" ht="16.5" thickBot="1" x14ac:dyDescent="0.25">
      <c r="A60" s="148"/>
      <c r="B60" s="491" t="str">
        <f>IF(C60&gt;0,VLOOKUP(C60,Программа!A$2:B$5124,2))</f>
        <v>Муниципальная программа "Доступная среда "</v>
      </c>
      <c r="C60" s="149" t="s">
        <v>508</v>
      </c>
      <c r="D60" s="395">
        <f>SUMIFS(Пр.10!G$10:G$1682,Пр.10!$D$10:$D$1682,C60)</f>
        <v>34290</v>
      </c>
      <c r="E60" s="396">
        <f>SUMIFS(Пр.10!H$10:H$1682,Пр.10!$D$10:$D$1682,C60)</f>
        <v>0</v>
      </c>
      <c r="F60" s="550">
        <f>SUMIFS(Пр.10!I$10:I$1682,Пр.10!$D$10:$D$1682,C60)</f>
        <v>34290</v>
      </c>
    </row>
    <row r="61" spans="1:6" ht="63.75" thickBot="1" x14ac:dyDescent="0.25">
      <c r="A61" s="154"/>
      <c r="B61" s="494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58" t="s">
        <v>509</v>
      </c>
      <c r="D61" s="433">
        <f>SUMIFS(Пр.10!G$10:G$1682,Пр.10!$D$10:$D$1682,C61)</f>
        <v>34290</v>
      </c>
      <c r="E61" s="434">
        <f>SUMIFS(Пр.10!H$10:H$1682,Пр.10!$D$10:$D$1682,C61)</f>
        <v>0</v>
      </c>
      <c r="F61" s="784">
        <f>SUMIFS(Пр.10!I$10:I$1682,Пр.10!$D$10:$D$1682,C61)</f>
        <v>34290</v>
      </c>
    </row>
    <row r="62" spans="1:6" s="139" customFormat="1" ht="48" thickBot="1" x14ac:dyDescent="0.25">
      <c r="A62" s="148"/>
      <c r="B62" s="411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49" t="s">
        <v>525</v>
      </c>
      <c r="D62" s="395">
        <f>SUMIFS(Пр.10!G$10:G$1682,Пр.10!$D$10:$D$1682,C62)</f>
        <v>15824002</v>
      </c>
      <c r="E62" s="396">
        <f>SUMIFS(Пр.10!H$10:H$1682,Пр.10!$D$10:$D$1682,C62)</f>
        <v>-42206</v>
      </c>
      <c r="F62" s="550">
        <f>SUMIFS(Пр.10!I$10:I$1682,Пр.10!$D$10:$D$1682,C62)</f>
        <v>15781796</v>
      </c>
    </row>
    <row r="63" spans="1:6" s="140" customFormat="1" ht="63.75" hidden="1" thickBot="1" x14ac:dyDescent="0.25">
      <c r="A63" s="155"/>
      <c r="B63" s="490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57" t="s">
        <v>527</v>
      </c>
      <c r="D63" s="775">
        <f>SUMIFS(Пр.10!G$10:G$1682,Пр.10!$D$10:$D$1682,C63)</f>
        <v>0</v>
      </c>
      <c r="E63" s="401">
        <f>SUMIFS(Пр.10!H$10:H$1682,Пр.10!$D$10:$D$1682,C63)</f>
        <v>0</v>
      </c>
      <c r="F63" s="562">
        <f>SUMIFS(Пр.10!I$10:I$1682,Пр.10!$D$10:$D$1682,C63)</f>
        <v>0</v>
      </c>
    </row>
    <row r="64" spans="1:6" ht="63.75" hidden="1" thickBot="1" x14ac:dyDescent="0.25">
      <c r="A64" s="154"/>
      <c r="B64" s="489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13" t="s">
        <v>551</v>
      </c>
      <c r="D64" s="151">
        <f>SUMIFS(Пр.10!G$10:G$1682,Пр.10!$D$10:$D$1682,C64)</f>
        <v>0</v>
      </c>
      <c r="E64" s="778">
        <f>SUMIFS(Пр.10!H$10:H$1682,Пр.10!$D$10:$D$1682,C64)</f>
        <v>0</v>
      </c>
      <c r="F64" s="560">
        <f>SUMIFS(Пр.10!I$10:I$1682,Пр.10!$D$10:$D$1682,C64)</f>
        <v>0</v>
      </c>
    </row>
    <row r="65" spans="1:6" ht="32.25" hidden="1" thickBot="1" x14ac:dyDescent="0.25">
      <c r="A65" s="154"/>
      <c r="B65" s="489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13" t="s">
        <v>528</v>
      </c>
      <c r="D65" s="151">
        <f>SUMIFS(Пр.10!G$10:G$1682,Пр.10!$D$10:$D$1682,C65)</f>
        <v>0</v>
      </c>
      <c r="E65" s="778">
        <f>SUMIFS(Пр.10!H$10:H$1682,Пр.10!$D$10:$D$1682,C65)</f>
        <v>0</v>
      </c>
      <c r="F65" s="560">
        <f>SUMIFS(Пр.10!I$10:I$1682,Пр.10!$D$10:$D$1682,C65)</f>
        <v>0</v>
      </c>
    </row>
    <row r="66" spans="1:6" s="140" customFormat="1" ht="48" thickBot="1" x14ac:dyDescent="0.3">
      <c r="A66" s="155"/>
      <c r="B66" s="579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591" t="s">
        <v>554</v>
      </c>
      <c r="D66" s="551">
        <f>SUMIFS(Пр.10!G$10:G$1682,Пр.10!$D$10:$D$1682,C66)</f>
        <v>3591304</v>
      </c>
      <c r="E66" s="779">
        <f>SUMIFS(Пр.10!H$10:H$1682,Пр.10!$D$10:$D$1682,C66)</f>
        <v>0</v>
      </c>
      <c r="F66" s="561">
        <f>SUMIFS(Пр.10!I$10:I$1682,Пр.10!$D$10:$D$1682,C66)</f>
        <v>3591304</v>
      </c>
    </row>
    <row r="67" spans="1:6" ht="32.25" hidden="1" thickBot="1" x14ac:dyDescent="0.3">
      <c r="A67" s="154"/>
      <c r="B67" s="577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17" t="s">
        <v>555</v>
      </c>
      <c r="D67" s="151">
        <f>SUMIFS(Пр.10!G$10:G$1682,Пр.10!$D$10:$D$1682,C67)</f>
        <v>0</v>
      </c>
      <c r="E67" s="778">
        <f>SUMIFS(Пр.10!H$10:H$1682,Пр.10!$D$10:$D$1682,C67)</f>
        <v>0</v>
      </c>
      <c r="F67" s="560">
        <f>SUMIFS(Пр.10!I$10:I$1682,Пр.10!$D$10:$D$1682,C67)</f>
        <v>0</v>
      </c>
    </row>
    <row r="68" spans="1:6" ht="48" thickBot="1" x14ac:dyDescent="0.3">
      <c r="A68" s="154"/>
      <c r="B68" s="577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17" t="s">
        <v>595</v>
      </c>
      <c r="D68" s="151">
        <f>SUMIFS(Пр.10!G$10:G$1682,Пр.10!$D$10:$D$1682,C68)</f>
        <v>3591304</v>
      </c>
      <c r="E68" s="778">
        <f>SUMIFS(Пр.10!H$10:H$1682,Пр.10!$D$10:$D$1682,C68)</f>
        <v>0</v>
      </c>
      <c r="F68" s="560">
        <f>SUMIFS(Пр.10!I$10:I$1682,Пр.10!$D$10:$D$1682,C68)</f>
        <v>3591304</v>
      </c>
    </row>
    <row r="69" spans="1:6" s="140" customFormat="1" ht="48" thickBot="1" x14ac:dyDescent="0.3">
      <c r="A69" s="155"/>
      <c r="B69" s="579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591" t="s">
        <v>558</v>
      </c>
      <c r="D69" s="551">
        <f>SUMIFS(Пр.10!G$10:G$1682,Пр.10!$D$10:$D$1682,C69)</f>
        <v>1464234</v>
      </c>
      <c r="E69" s="778">
        <f>SUMIFS(Пр.10!H$10:H$1682,Пр.10!$D$10:$D$1682,C69)</f>
        <v>0</v>
      </c>
      <c r="F69" s="561">
        <f>SUMIFS(Пр.10!I$10:I$1682,Пр.10!$D$10:$D$1682,C69)</f>
        <v>1464234</v>
      </c>
    </row>
    <row r="70" spans="1:6" ht="48" thickBot="1" x14ac:dyDescent="0.3">
      <c r="A70" s="154"/>
      <c r="B70" s="577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17" t="s">
        <v>559</v>
      </c>
      <c r="D70" s="151">
        <f>SUMIFS(Пр.10!G$10:G$1682,Пр.10!$D$10:$D$1682,C70)</f>
        <v>1464234</v>
      </c>
      <c r="E70" s="778">
        <f>SUMIFS(Пр.10!H$10:H$1682,Пр.10!$D$10:$D$1682,C70)</f>
        <v>0</v>
      </c>
      <c r="F70" s="560">
        <f>SUMIFS(Пр.10!I$10:I$1682,Пр.10!$D$10:$D$1682,C70)</f>
        <v>1464234</v>
      </c>
    </row>
    <row r="71" spans="1:6" ht="16.5" hidden="1" thickBot="1" x14ac:dyDescent="0.3">
      <c r="A71" s="154"/>
      <c r="B71" s="577" t="str">
        <f>IF(C71&gt;0,VLOOKUP(C71,Программа!A$2:B$5124,2))</f>
        <v>Федеральный проект "Оздоровление Волги"</v>
      </c>
      <c r="C71" s="217" t="s">
        <v>1374</v>
      </c>
      <c r="D71" s="151">
        <f>SUMIFS(Пр.10!G$10:G$1682,Пр.10!$D$10:$D$1682,C71)</f>
        <v>0</v>
      </c>
      <c r="E71" s="778">
        <f>SUMIFS(Пр.10!H$10:H$1682,Пр.10!$D$10:$D$1682,C71)</f>
        <v>0</v>
      </c>
      <c r="F71" s="560">
        <f>SUMIFS(Пр.10!I$10:I$1682,Пр.10!$D$10:$D$1682,C71)</f>
        <v>0</v>
      </c>
    </row>
    <row r="72" spans="1:6" s="140" customFormat="1" ht="48" thickBot="1" x14ac:dyDescent="0.3">
      <c r="A72" s="155"/>
      <c r="B72" s="579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591" t="s">
        <v>561</v>
      </c>
      <c r="D72" s="551">
        <f>SUMIFS(Пр.10!G$10:G$1682,Пр.10!$D$10:$D$1682,C72)</f>
        <v>10768464</v>
      </c>
      <c r="E72" s="779">
        <f>SUMIFS(Пр.10!H$10:H$1682,Пр.10!$D$10:$D$1682,C72)</f>
        <v>-42206</v>
      </c>
      <c r="F72" s="561">
        <f>SUMIFS(Пр.10!I$10:I$1682,Пр.10!$D$10:$D$1682,C72)</f>
        <v>10726258</v>
      </c>
    </row>
    <row r="73" spans="1:6" ht="37.15" customHeight="1" thickBot="1" x14ac:dyDescent="0.3">
      <c r="A73" s="154"/>
      <c r="B73" s="577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17" t="s">
        <v>563</v>
      </c>
      <c r="D73" s="151">
        <f>SUMIFS(Пр.10!G$10:G$1682,Пр.10!$D$10:$D$1682,C73)</f>
        <v>768464</v>
      </c>
      <c r="E73" s="778">
        <f>SUMIFS(Пр.10!H$10:H$1682,Пр.10!$D$10:$D$1682,C73)</f>
        <v>-42206</v>
      </c>
      <c r="F73" s="560">
        <f>SUMIFS(Пр.10!I$10:I$1682,Пр.10!$D$10:$D$1682,C73)</f>
        <v>726258</v>
      </c>
    </row>
    <row r="74" spans="1:6" ht="32.25" hidden="1" customHeight="1" thickBot="1" x14ac:dyDescent="0.3">
      <c r="A74" s="154"/>
      <c r="B74" s="577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17" t="s">
        <v>565</v>
      </c>
      <c r="D74" s="151">
        <f>SUMIFS(Пр.10!G$10:G$1682,Пр.10!$D$10:$D$1682,C74)</f>
        <v>0</v>
      </c>
      <c r="E74" s="778">
        <f>SUMIFS(Пр.10!H$10:H$1682,Пр.10!$D$10:$D$1682,C74)</f>
        <v>0</v>
      </c>
      <c r="F74" s="560">
        <f>SUMIFS(Пр.10!I$10:I$1682,Пр.10!$D$10:$D$1682,C74)</f>
        <v>0</v>
      </c>
    </row>
    <row r="75" spans="1:6" ht="58.9" hidden="1" customHeight="1" thickBot="1" x14ac:dyDescent="0.3">
      <c r="A75" s="154"/>
      <c r="B75" s="577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17" t="s">
        <v>567</v>
      </c>
      <c r="D75" s="151">
        <f>SUMIFS(Пр.10!G$10:G$1682,Пр.10!$D$10:$D$1682,C75)</f>
        <v>0</v>
      </c>
      <c r="E75" s="778">
        <f>SUMIFS(Пр.10!H$10:H$1682,Пр.10!$D$10:$D$1682,C75)</f>
        <v>0</v>
      </c>
      <c r="F75" s="560">
        <f>SUMIFS(Пр.10!I$10:I$1682,Пр.10!$D$10:$D$1682,C75)</f>
        <v>0</v>
      </c>
    </row>
    <row r="76" spans="1:6" ht="54" hidden="1" customHeight="1" thickBot="1" x14ac:dyDescent="0.3">
      <c r="A76" s="154"/>
      <c r="B76" s="218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17" t="s">
        <v>1380</v>
      </c>
      <c r="D76" s="151">
        <f>SUMIFS(Пр.10!G$10:G$1682,Пр.10!$D$10:$D$1682,C76)</f>
        <v>0</v>
      </c>
      <c r="E76" s="778">
        <f>SUMIFS(Пр.10!H$10:H$1682,Пр.10!$D$10:$D$1682,C76)</f>
        <v>0</v>
      </c>
      <c r="F76" s="560">
        <f>SUMIFS(Пр.10!I$10:I$1682,Пр.10!$D$10:$D$1682,C76)</f>
        <v>0</v>
      </c>
    </row>
    <row r="77" spans="1:6" ht="72" customHeight="1" thickBot="1" x14ac:dyDescent="0.3">
      <c r="A77" s="154"/>
      <c r="B77" s="733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495" t="s">
        <v>1698</v>
      </c>
      <c r="D77" s="402">
        <f>SUMIFS(Пр.10!G$10:G$1682,Пр.10!$D$10:$D$1682,C77)</f>
        <v>10000000</v>
      </c>
      <c r="E77" s="403">
        <f>SUMIFS(Пр.10!H$10:H$1682,Пр.10!$D$10:$D$1682,C77)</f>
        <v>0</v>
      </c>
      <c r="F77" s="783">
        <f>SUMIFS(Пр.10!I$10:I$1682,Пр.10!$D$10:$D$1682,C77)</f>
        <v>10000000</v>
      </c>
    </row>
    <row r="78" spans="1:6" s="139" customFormat="1" ht="48" thickBot="1" x14ac:dyDescent="0.25">
      <c r="A78" s="148"/>
      <c r="B78" s="491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49" t="s">
        <v>529</v>
      </c>
      <c r="D78" s="395">
        <f>SUMIFS(Пр.10!G$10:G$1682,Пр.10!$D$10:$D$1682,C78)</f>
        <v>2262523</v>
      </c>
      <c r="E78" s="396">
        <f>SUMIFS(Пр.10!H$10:H$1682,Пр.10!$D$10:$D$1682,C78)</f>
        <v>0</v>
      </c>
      <c r="F78" s="550">
        <f>SUMIFS(Пр.10!I$10:I$1682,Пр.10!$D$10:$D$1682,C78)</f>
        <v>2262523</v>
      </c>
    </row>
    <row r="79" spans="1:6" ht="32.25" thickBot="1" x14ac:dyDescent="0.3">
      <c r="A79" s="154"/>
      <c r="B79" s="588" t="str">
        <f>IF(C79&gt;0,VLOOKUP(C79,Программа!A$2:B$5124,2))</f>
        <v>Повышение качества управления имуществом и земельными ресурсами</v>
      </c>
      <c r="C79" s="590" t="s">
        <v>530</v>
      </c>
      <c r="D79" s="433">
        <f>SUMIFS(Пр.10!G$10:G$1682,Пр.10!$D$10:$D$1682,C79)</f>
        <v>2262523</v>
      </c>
      <c r="E79" s="434">
        <f>SUMIFS(Пр.10!H$10:H$1682,Пр.10!$D$10:$D$1682,C79)</f>
        <v>0</v>
      </c>
      <c r="F79" s="562">
        <f>SUMIFS(Пр.10!I$10:I$1682,Пр.10!$D$10:$D$1682,C79)</f>
        <v>2262523</v>
      </c>
    </row>
    <row r="80" spans="1:6" s="139" customFormat="1" ht="32.25" hidden="1" thickBot="1" x14ac:dyDescent="0.25">
      <c r="A80" s="148"/>
      <c r="B80" s="491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49" t="s">
        <v>540</v>
      </c>
      <c r="D80" s="395">
        <f>SUMIFS(Пр.10!G$10:G$1682,Пр.10!$D$10:$D$1682,C80)</f>
        <v>0</v>
      </c>
      <c r="E80" s="396">
        <f>SUMIFS(Пр.10!H$10:H$1682,Пр.10!$D$10:$D$1682,C80)</f>
        <v>0</v>
      </c>
      <c r="F80" s="785">
        <f>SUMIFS(Пр.10!I$10:I$1682,Пр.10!$D$10:$D$1682,C80)</f>
        <v>0</v>
      </c>
    </row>
    <row r="81" spans="1:6" s="140" customFormat="1" ht="48" hidden="1" thickBot="1" x14ac:dyDescent="0.25">
      <c r="A81" s="155"/>
      <c r="B81" s="490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57" t="s">
        <v>542</v>
      </c>
      <c r="D81" s="775">
        <f>SUMIFS(Пр.10!G$10:G$1682,Пр.10!$D$10:$D$1682,C81)</f>
        <v>0</v>
      </c>
      <c r="E81" s="401">
        <f>SUMIFS(Пр.10!H$10:H$1682,Пр.10!$D$10:$D$1682,C81)</f>
        <v>0</v>
      </c>
      <c r="F81" s="561">
        <f>SUMIFS(Пр.10!I$10:I$1682,Пр.10!$D$10:$D$1682,C81)</f>
        <v>0</v>
      </c>
    </row>
    <row r="82" spans="1:6" ht="32.25" hidden="1" thickBot="1" x14ac:dyDescent="0.25">
      <c r="A82" s="154"/>
      <c r="B82" s="489" t="str">
        <f>IF(C82&gt;0,VLOOKUP(C82,Программа!A$2:B$5124,2))</f>
        <v>Повышение безопасности дорожного движения на автомобильных дорогах</v>
      </c>
      <c r="C82" s="113" t="s">
        <v>544</v>
      </c>
      <c r="D82" s="151">
        <f>SUMIFS(Пр.10!G$10:G$1682,Пр.10!$D$10:$D$1682,C82)</f>
        <v>0</v>
      </c>
      <c r="E82" s="778">
        <f>SUMIFS(Пр.10!H$10:H$1682,Пр.10!$D$10:$D$1682,C82)</f>
        <v>0</v>
      </c>
      <c r="F82" s="560">
        <f>SUMIFS(Пр.10!I$10:I$1682,Пр.10!$D$10:$D$1682,C82)</f>
        <v>0</v>
      </c>
    </row>
    <row r="83" spans="1:6" s="140" customFormat="1" ht="48" hidden="1" thickBot="1" x14ac:dyDescent="0.25">
      <c r="A83" s="155"/>
      <c r="B83" s="488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52" t="s">
        <v>547</v>
      </c>
      <c r="D83" s="551">
        <f>SUMIFS(Пр.10!G$10:G$1682,Пр.10!$D$10:$D$1682,C83)</f>
        <v>0</v>
      </c>
      <c r="E83" s="778">
        <f>SUMIFS(Пр.10!H$10:H$1682,Пр.10!$D$10:$D$1682,C83)</f>
        <v>0</v>
      </c>
      <c r="F83" s="561">
        <f>SUMIFS(Пр.10!I$10:I$1682,Пр.10!$D$10:$D$1682,C83)</f>
        <v>0</v>
      </c>
    </row>
    <row r="84" spans="1:6" ht="32.25" hidden="1" thickBot="1" x14ac:dyDescent="0.25">
      <c r="A84" s="154"/>
      <c r="B84" s="492" t="str">
        <f>IF(C84&gt;0,VLOOKUP(C84,Программа!A$2:B$5124,2))</f>
        <v>Приведение  в нормативное состояние автомобильных дорог общего пользования</v>
      </c>
      <c r="C84" s="156" t="s">
        <v>549</v>
      </c>
      <c r="D84" s="402">
        <f>SUMIFS(Пр.10!G$10:G$1682,Пр.10!$D$10:$D$1682,C84)</f>
        <v>0</v>
      </c>
      <c r="E84" s="403">
        <f>SUMIFS(Пр.10!H$10:H$1682,Пр.10!$D$10:$D$1682,C84)</f>
        <v>0</v>
      </c>
      <c r="F84" s="783">
        <f>SUMIFS(Пр.10!I$10:I$1682,Пр.10!$D$10:$D$1682,C84)</f>
        <v>0</v>
      </c>
    </row>
    <row r="85" spans="1:6" s="139" customFormat="1" ht="48" hidden="1" thickBot="1" x14ac:dyDescent="0.25">
      <c r="A85" s="148"/>
      <c r="B85" s="491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49" t="s">
        <v>598</v>
      </c>
      <c r="D85" s="395">
        <f>SUMIFS(Пр.10!G$10:G$1682,Пр.10!$D$10:$D$1682,C85)</f>
        <v>0</v>
      </c>
      <c r="E85" s="396">
        <f>SUMIFS(Пр.10!H$10:H$1682,Пр.10!$D$10:$D$1682,C85)</f>
        <v>0</v>
      </c>
      <c r="F85" s="550">
        <f>SUMIFS(Пр.10!I$10:I$1682,Пр.10!$D$10:$D$1682,C85)</f>
        <v>0</v>
      </c>
    </row>
    <row r="86" spans="1:6" s="140" customFormat="1" ht="63.75" hidden="1" thickBot="1" x14ac:dyDescent="0.25">
      <c r="A86" s="155"/>
      <c r="B86" s="493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57" t="s">
        <v>600</v>
      </c>
      <c r="D86" s="400">
        <f>SUMIFS(Пр.10!G$10:G$1682,Пр.10!$D$10:$D$1682,C86)</f>
        <v>0</v>
      </c>
      <c r="E86" s="401">
        <f>SUMIFS(Пр.10!H$10:H$1682,Пр.10!$D$10:$D$1682,C86)</f>
        <v>0</v>
      </c>
      <c r="F86" s="562">
        <f>SUMIFS(Пр.10!I$10:I$1682,Пр.10!$D$10:$D$1682,C86)</f>
        <v>0</v>
      </c>
    </row>
    <row r="87" spans="1:6" ht="79.5" hidden="1" thickBot="1" x14ac:dyDescent="0.25">
      <c r="A87" s="154"/>
      <c r="B87" s="489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13" t="s">
        <v>602</v>
      </c>
      <c r="D87" s="151">
        <f>SUMIFS(Пр.10!G$10:G$1682,Пр.10!$D$10:$D$1682,C87)</f>
        <v>0</v>
      </c>
      <c r="E87" s="778">
        <f>SUMIFS(Пр.10!H$10:H$1682,Пр.10!$D$10:$D$1682,C87)</f>
        <v>0</v>
      </c>
      <c r="F87" s="560">
        <f>SUMIFS(Пр.10!I$10:I$1682,Пр.10!$D$10:$D$1682,C87)</f>
        <v>0</v>
      </c>
    </row>
    <row r="88" spans="1:6" s="140" customFormat="1" ht="48" hidden="1" thickBot="1" x14ac:dyDescent="0.25">
      <c r="A88" s="155"/>
      <c r="B88" s="489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52" t="s">
        <v>604</v>
      </c>
      <c r="D88" s="151">
        <f>SUMIFS(Пр.10!G$10:G$1682,Пр.10!$D$10:$D$1682,C88)</f>
        <v>0</v>
      </c>
      <c r="E88" s="778">
        <f>SUMIFS(Пр.10!H$10:H$1682,Пр.10!$D$10:$D$1682,C88)</f>
        <v>0</v>
      </c>
      <c r="F88" s="560">
        <f>SUMIFS(Пр.10!I$10:I$1682,Пр.10!$D$10:$D$1682,C88)</f>
        <v>0</v>
      </c>
    </row>
    <row r="89" spans="1:6" ht="48" hidden="1" thickBot="1" x14ac:dyDescent="0.25">
      <c r="A89" s="154"/>
      <c r="B89" s="489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13" t="s">
        <v>606</v>
      </c>
      <c r="D89" s="151">
        <f>SUMIFS(Пр.10!G$10:G$1682,Пр.10!$D$10:$D$1682,C89)</f>
        <v>0</v>
      </c>
      <c r="E89" s="778">
        <f>SUMIFS(Пр.10!H$10:H$1682,Пр.10!$D$10:$D$1682,C89)</f>
        <v>0</v>
      </c>
      <c r="F89" s="560">
        <f>SUMIFS(Пр.10!I$10:I$1682,Пр.10!$D$10:$D$1682,C89)</f>
        <v>0</v>
      </c>
    </row>
    <row r="90" spans="1:6" s="140" customFormat="1" ht="63.75" hidden="1" thickBot="1" x14ac:dyDescent="0.25">
      <c r="A90" s="155"/>
      <c r="B90" s="489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52" t="s">
        <v>608</v>
      </c>
      <c r="D90" s="151">
        <f>SUMIFS(Пр.10!G$10:G$1682,Пр.10!$D$10:$D$1682,C90)</f>
        <v>0</v>
      </c>
      <c r="E90" s="778">
        <f>SUMIFS(Пр.10!H$10:H$1682,Пр.10!$D$10:$D$1682,C90)</f>
        <v>0</v>
      </c>
      <c r="F90" s="560">
        <f>SUMIFS(Пр.10!I$10:I$1682,Пр.10!$D$10:$D$1682,C90)</f>
        <v>0</v>
      </c>
    </row>
    <row r="91" spans="1:6" ht="48" hidden="1" thickBot="1" x14ac:dyDescent="0.25">
      <c r="A91" s="154"/>
      <c r="B91" s="489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13" t="s">
        <v>610</v>
      </c>
      <c r="D91" s="151">
        <f>SUMIFS(Пр.10!G$10:G$1682,Пр.10!$D$10:$D$1682,C91)</f>
        <v>0</v>
      </c>
      <c r="E91" s="778">
        <f>SUMIFS(Пр.10!H$10:H$1682,Пр.10!$D$10:$D$1682,C91)</f>
        <v>0</v>
      </c>
      <c r="F91" s="560">
        <f>SUMIFS(Пр.10!I$10:I$1682,Пр.10!$D$10:$D$1682,C91)</f>
        <v>0</v>
      </c>
    </row>
    <row r="92" spans="1:6" s="140" customFormat="1" ht="48" hidden="1" thickBot="1" x14ac:dyDescent="0.25">
      <c r="A92" s="155"/>
      <c r="B92" s="489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52" t="s">
        <v>612</v>
      </c>
      <c r="D92" s="151">
        <f>SUMIFS(Пр.10!G$10:G$1682,Пр.10!$D$10:$D$1682,C92)</f>
        <v>0</v>
      </c>
      <c r="E92" s="778">
        <f>SUMIFS(Пр.10!H$10:H$1682,Пр.10!$D$10:$D$1682,C92)</f>
        <v>0</v>
      </c>
      <c r="F92" s="560">
        <f>SUMIFS(Пр.10!I$10:I$1682,Пр.10!$D$10:$D$1682,C92)</f>
        <v>0</v>
      </c>
    </row>
    <row r="93" spans="1:6" ht="32.25" hidden="1" thickBot="1" x14ac:dyDescent="0.25">
      <c r="A93" s="154"/>
      <c r="B93" s="489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13" t="s">
        <v>614</v>
      </c>
      <c r="D93" s="151">
        <f>SUMIFS(Пр.10!G$10:G$1682,Пр.10!$D$10:$D$1682,C93)</f>
        <v>0</v>
      </c>
      <c r="E93" s="778">
        <f>SUMIFS(Пр.10!H$10:H$1682,Пр.10!$D$10:$D$1682,C93)</f>
        <v>0</v>
      </c>
      <c r="F93" s="560">
        <f>SUMIFS(Пр.10!I$10:I$1682,Пр.10!$D$10:$D$1682,C93)</f>
        <v>0</v>
      </c>
    </row>
    <row r="94" spans="1:6" ht="16.5" hidden="1" thickBot="1" x14ac:dyDescent="0.25">
      <c r="A94" s="154"/>
      <c r="B94" s="492" t="str">
        <f>IF(C94&gt;0,VLOOKUP(C94,Программа!A$2:B$5124,2))</f>
        <v>Федеральный проект "Дорожная сеть"</v>
      </c>
      <c r="C94" s="156" t="s">
        <v>1367</v>
      </c>
      <c r="D94" s="402">
        <f>SUMIFS(Пр.10!G$10:G$1682,Пр.10!$D$10:$D$1682,C94)</f>
        <v>0</v>
      </c>
      <c r="E94" s="403">
        <f>SUMIFS(Пр.10!H$10:H$1682,Пр.10!$D$10:$D$1682,C94)</f>
        <v>0</v>
      </c>
      <c r="F94" s="783">
        <f>SUMIFS(Пр.10!I$10:I$1682,Пр.10!$D$10:$D$1682,C94)</f>
        <v>0</v>
      </c>
    </row>
    <row r="95" spans="1:6" s="139" customFormat="1" ht="63.75" hidden="1" thickBot="1" x14ac:dyDescent="0.25">
      <c r="A95" s="148"/>
      <c r="B95" s="411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49" t="s">
        <v>337</v>
      </c>
      <c r="D95" s="395">
        <f>SUMIFS(Пр.10!G$10:G$1682,Пр.10!$D$10:$D$1682,C95)</f>
        <v>0</v>
      </c>
      <c r="E95" s="396">
        <f>SUMIFS(Пр.10!H$10:H$1682,Пр.10!$D$10:$D$1682,C95)</f>
        <v>0</v>
      </c>
      <c r="F95" s="550">
        <f>SUMIFS(Пр.10!I$10:I$1682,Пр.10!$D$10:$D$1682,C95)</f>
        <v>0</v>
      </c>
    </row>
    <row r="96" spans="1:6" s="140" customFormat="1" ht="48" hidden="1" thickBot="1" x14ac:dyDescent="0.25">
      <c r="A96" s="155"/>
      <c r="B96" s="490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57" t="s">
        <v>347</v>
      </c>
      <c r="D96" s="775">
        <f>SUMIFS(Пр.10!G$10:G$1682,Пр.10!$D$10:$D$1682,C96)</f>
        <v>0</v>
      </c>
      <c r="E96" s="401">
        <f>SUMIFS(Пр.10!H$10:H$1682,Пр.10!$D$10:$D$1682,C96)</f>
        <v>0</v>
      </c>
      <c r="F96" s="562">
        <f>SUMIFS(Пр.10!I$10:I$1682,Пр.10!$D$10:$D$1682,C96)</f>
        <v>0</v>
      </c>
    </row>
    <row r="97" spans="1:6" ht="48" hidden="1" thickBot="1" x14ac:dyDescent="0.25">
      <c r="A97" s="154"/>
      <c r="B97" s="489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13" t="s">
        <v>349</v>
      </c>
      <c r="D97" s="151">
        <f>SUMIFS(Пр.10!G$10:G$1682,Пр.10!$D$10:$D$1682,C97)</f>
        <v>0</v>
      </c>
      <c r="E97" s="778">
        <f>SUMIFS(Пр.10!H$10:H$1682,Пр.10!$D$10:$D$1682,C97)</f>
        <v>0</v>
      </c>
      <c r="F97" s="560">
        <f>SUMIFS(Пр.10!I$10:I$1682,Пр.10!$D$10:$D$1682,C97)</f>
        <v>0</v>
      </c>
    </row>
    <row r="98" spans="1:6" ht="32.25" hidden="1" thickBot="1" x14ac:dyDescent="0.25">
      <c r="A98" s="154"/>
      <c r="B98" s="489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13" t="s">
        <v>351</v>
      </c>
      <c r="D98" s="151">
        <f>SUMIFS(Пр.10!G$10:G$1682,Пр.10!$D$10:$D$1682,C98)</f>
        <v>0</v>
      </c>
      <c r="E98" s="778">
        <f>SUMIFS(Пр.10!H$10:H$1682,Пр.10!$D$10:$D$1682,C98)</f>
        <v>0</v>
      </c>
      <c r="F98" s="560">
        <f>SUMIFS(Пр.10!I$10:I$1682,Пр.10!$D$10:$D$1682,C98)</f>
        <v>0</v>
      </c>
    </row>
    <row r="99" spans="1:6" s="140" customFormat="1" ht="48" hidden="1" thickBot="1" x14ac:dyDescent="0.3">
      <c r="A99" s="155"/>
      <c r="B99" s="579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591" t="s">
        <v>353</v>
      </c>
      <c r="D99" s="551">
        <f>SUMIFS(Пр.10!G$10:G$1682,Пр.10!$D$10:$D$1682,C99)</f>
        <v>0</v>
      </c>
      <c r="E99" s="779">
        <f>SUMIFS(Пр.10!H$10:H$1682,Пр.10!$D$10:$D$1682,C99)</f>
        <v>0</v>
      </c>
      <c r="F99" s="561">
        <f>SUMIFS(Пр.10!I$10:I$1682,Пр.10!$D$10:$D$1682,C99)</f>
        <v>0</v>
      </c>
    </row>
    <row r="100" spans="1:6" ht="32.25" hidden="1" thickBot="1" x14ac:dyDescent="0.3">
      <c r="A100" s="154"/>
      <c r="B100" s="577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17" t="s">
        <v>355</v>
      </c>
      <c r="D100" s="151">
        <f>SUMIFS(Пр.10!G$10:G$1682,Пр.10!$D$10:$D$1682,C100)</f>
        <v>0</v>
      </c>
      <c r="E100" s="778">
        <f>SUMIFS(Пр.10!H$10:H$1682,Пр.10!$D$10:$D$1682,C100)</f>
        <v>0</v>
      </c>
      <c r="F100" s="560">
        <f>SUMIFS(Пр.10!I$10:I$1682,Пр.10!$D$10:$D$1682,C100)</f>
        <v>0</v>
      </c>
    </row>
    <row r="101" spans="1:6" s="140" customFormat="1" ht="48" hidden="1" thickBot="1" x14ac:dyDescent="0.3">
      <c r="A101" s="155"/>
      <c r="B101" s="579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591" t="s">
        <v>338</v>
      </c>
      <c r="D101" s="551">
        <f>SUMIFS(Пр.10!G$10:G$1682,Пр.10!$D$10:$D$1682,C101)</f>
        <v>0</v>
      </c>
      <c r="E101" s="779">
        <f>SUMIFS(Пр.10!H$10:H$1682,Пр.10!$D$10:$D$1682,C101)</f>
        <v>0</v>
      </c>
      <c r="F101" s="561">
        <f>SUMIFS(Пр.10!I$10:I$1682,Пр.10!$D$10:$D$1682,C101)</f>
        <v>0</v>
      </c>
    </row>
    <row r="102" spans="1:6" ht="48" hidden="1" thickBot="1" x14ac:dyDescent="0.3">
      <c r="A102" s="154"/>
      <c r="B102" s="577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17" t="s">
        <v>340</v>
      </c>
      <c r="D102" s="151">
        <f>SUMIFS(Пр.10!G$10:G$1682,Пр.10!$D$10:$D$1682,C102)</f>
        <v>0</v>
      </c>
      <c r="E102" s="778">
        <f>SUMIFS(Пр.10!H$10:H$1682,Пр.10!$D$10:$D$1682,C102)</f>
        <v>0</v>
      </c>
      <c r="F102" s="560">
        <f>SUMIFS(Пр.10!I$10:I$1682,Пр.10!$D$10:$D$1682,C102)</f>
        <v>0</v>
      </c>
    </row>
    <row r="103" spans="1:6" ht="16.5" hidden="1" thickBot="1" x14ac:dyDescent="0.3">
      <c r="A103" s="154"/>
      <c r="B103" s="577" t="str">
        <f>IF(C103&gt;0,VLOOKUP(C103,Программа!A$2:B$5124,2))</f>
        <v xml:space="preserve">Кадровое обеспечение агропромышленного комплекса </v>
      </c>
      <c r="C103" s="217" t="s">
        <v>342</v>
      </c>
      <c r="D103" s="151">
        <f>SUMIFS(Пр.10!G$10:G$1682,Пр.10!$D$10:$D$1682,C103)</f>
        <v>0</v>
      </c>
      <c r="E103" s="778">
        <f>SUMIFS(Пр.10!H$10:H$1682,Пр.10!$D$10:$D$1682,C103)</f>
        <v>0</v>
      </c>
      <c r="F103" s="560">
        <f>SUMIFS(Пр.10!I$10:I$1682,Пр.10!$D$10:$D$1682,C103)</f>
        <v>0</v>
      </c>
    </row>
    <row r="104" spans="1:6" ht="63.75" hidden="1" thickBot="1" x14ac:dyDescent="0.3">
      <c r="A104" s="154"/>
      <c r="B104" s="218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17" t="s">
        <v>345</v>
      </c>
      <c r="D104" s="151">
        <f>SUMIFS(Пр.10!G$10:G$1682,Пр.10!$D$10:$D$1682,C104)</f>
        <v>0</v>
      </c>
      <c r="E104" s="151">
        <f>SUMIFS(Пр.10!H$10:H$1682,Пр.10!$D$10:$D$1682,C104)</f>
        <v>0</v>
      </c>
      <c r="F104" s="151">
        <f>SUMIFS(Пр.10!I$10:I$1682,Пр.10!$D$10:$D$1682,C104)</f>
        <v>0</v>
      </c>
    </row>
    <row r="105" spans="1:6" ht="48" hidden="1" thickBot="1" x14ac:dyDescent="0.3">
      <c r="A105" s="154"/>
      <c r="B105" s="579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591" t="s">
        <v>1449</v>
      </c>
      <c r="D105" s="551">
        <f>SUMIFS(Пр.10!G$10:G$1682,Пр.10!$D$10:$D$1682,C105)</f>
        <v>0</v>
      </c>
      <c r="E105" s="779">
        <f>SUMIFS(Пр.10!H$10:H$1682,Пр.10!$D$10:$D$1682,C105)</f>
        <v>0</v>
      </c>
      <c r="F105" s="561">
        <f>SUMIFS(Пр.10!I$10:I$1682,Пр.10!$D$10:$D$1682,C105)</f>
        <v>0</v>
      </c>
    </row>
    <row r="106" spans="1:6" ht="48" hidden="1" thickBot="1" x14ac:dyDescent="0.3">
      <c r="A106" s="154"/>
      <c r="B106" s="581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495" t="s">
        <v>1450</v>
      </c>
      <c r="D106" s="402">
        <f>SUMIFS(Пр.10!G$10:G$1682,Пр.10!$D$10:$D$1682,C106)</f>
        <v>0</v>
      </c>
      <c r="E106" s="403">
        <f>SUMIFS(Пр.10!H$10:H$1682,Пр.10!$D$10:$D$1682,C106)</f>
        <v>0</v>
      </c>
      <c r="F106" s="783">
        <f>SUMIFS(Пр.10!I$10:I$1682,Пр.10!$D$10:$D$1682,C106)</f>
        <v>0</v>
      </c>
    </row>
    <row r="107" spans="1:6" s="139" customFormat="1" ht="63.75" thickBot="1" x14ac:dyDescent="0.25">
      <c r="A107" s="148"/>
      <c r="B107" s="411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49" t="s">
        <v>318</v>
      </c>
      <c r="D107" s="395">
        <f>SUMIFS(Пр.10!G$10:G$1682,Пр.10!$D$10:$D$1682,C107)</f>
        <v>350000</v>
      </c>
      <c r="E107" s="396">
        <f>SUMIFS(Пр.10!H$10:H$1682,Пр.10!$D$10:$D$1682,C107)</f>
        <v>0</v>
      </c>
      <c r="F107" s="550">
        <f>SUMIFS(Пр.10!I$10:I$1682,Пр.10!$D$10:$D$1682,C107)</f>
        <v>350000</v>
      </c>
    </row>
    <row r="108" spans="1:6" ht="16.5" hidden="1" thickBot="1" x14ac:dyDescent="0.25">
      <c r="A108" s="154"/>
      <c r="B108" s="493">
        <f>IF(C108&gt;0,VLOOKUP(C108,Программа!A$2:B$5124,2))</f>
        <v>0</v>
      </c>
      <c r="C108" s="159" t="s">
        <v>484</v>
      </c>
      <c r="D108" s="400">
        <f>SUMIFS(Пр.10!G$10:G$1682,Пр.10!$D$10:$D$1682,C108)</f>
        <v>0</v>
      </c>
      <c r="E108" s="401">
        <f>SUMIFS(Пр.10!H$10:H$1682,Пр.10!$D$10:$D$1682,C108)</f>
        <v>0</v>
      </c>
      <c r="F108" s="562">
        <f>SUMIFS(Пр.10!I$10:I$1682,Пр.10!$D$10:$D$1682,C108)</f>
        <v>0</v>
      </c>
    </row>
    <row r="109" spans="1:6" ht="63.75" thickBot="1" x14ac:dyDescent="0.3">
      <c r="A109" s="154"/>
      <c r="B109" s="577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17" t="s">
        <v>481</v>
      </c>
      <c r="D109" s="151">
        <f>SUMIFS(Пр.10!G$10:G$1682,Пр.10!$D$10:$D$1682,C109)</f>
        <v>350000</v>
      </c>
      <c r="E109" s="778">
        <f>SUMIFS(Пр.10!H$10:H$1682,Пр.10!$D$10:$D$1682,C109)</f>
        <v>0</v>
      </c>
      <c r="F109" s="560">
        <f>SUMIFS(Пр.10!I$10:I$1682,Пр.10!$D$10:$D$1682,C109)</f>
        <v>350000</v>
      </c>
    </row>
    <row r="110" spans="1:6" s="140" customFormat="1" ht="63.75" hidden="1" thickBot="1" x14ac:dyDescent="0.25">
      <c r="A110" s="155"/>
      <c r="B110" s="488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52" t="s">
        <v>475</v>
      </c>
      <c r="D110" s="551">
        <f>SUMIFS(Пр.10!G$10:G$1682,Пр.10!$D$10:$D$1682,C110)</f>
        <v>0</v>
      </c>
      <c r="E110" s="778">
        <f>SUMIFS(Пр.10!H$10:H$1682,Пр.10!$D$10:$D$1682,C110)</f>
        <v>0</v>
      </c>
      <c r="F110" s="560">
        <f>SUMIFS(Пр.10!I$10:I$1682,Пр.10!$D$10:$D$1682,C110)</f>
        <v>0</v>
      </c>
    </row>
    <row r="111" spans="1:6" ht="63.75" hidden="1" thickBot="1" x14ac:dyDescent="0.25">
      <c r="A111" s="154"/>
      <c r="B111" s="49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56" t="s">
        <v>476</v>
      </c>
      <c r="D111" s="402">
        <f>SUMIFS(Пр.10!G$10:G$1682,Пр.10!$D$10:$D$1682,C111)</f>
        <v>0</v>
      </c>
      <c r="E111" s="403">
        <f>SUMIFS(Пр.10!H$10:H$1682,Пр.10!$D$10:$D$1682,C111)</f>
        <v>0</v>
      </c>
      <c r="F111" s="783">
        <f>SUMIFS(Пр.10!I$10:I$1682,Пр.10!$D$10:$D$1682,C111)</f>
        <v>0</v>
      </c>
    </row>
    <row r="112" spans="1:6" s="139" customFormat="1" ht="79.5" thickBot="1" x14ac:dyDescent="0.25">
      <c r="A112" s="148"/>
      <c r="B112" s="629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630" t="s">
        <v>322</v>
      </c>
      <c r="D112" s="786">
        <f>SUMIFS(Пр.10!G$10:G$1682,Пр.10!$D$10:$D$1682,C112)</f>
        <v>5353616</v>
      </c>
      <c r="E112" s="787">
        <f>SUMIFS(Пр.10!H$10:H$1682,Пр.10!$D$10:$D$1682,C112)</f>
        <v>-493431</v>
      </c>
      <c r="F112" s="631">
        <f>SUMIFS(Пр.10!I$10:I$1682,Пр.10!$D$10:$D$1682,C112)</f>
        <v>4860185</v>
      </c>
    </row>
    <row r="113" spans="1:6" ht="48" thickBot="1" x14ac:dyDescent="0.3">
      <c r="A113" s="154"/>
      <c r="B113" s="632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633" t="s">
        <v>323</v>
      </c>
      <c r="D113" s="788">
        <f>SUMIFS(Пр.10!G$10:G$1682,Пр.10!$D$10:$D$1682,C113)</f>
        <v>118651</v>
      </c>
      <c r="E113" s="788">
        <f>SUMIFS(Пр.10!H$10:H$1682,Пр.10!$D$10:$D$1682,C113)</f>
        <v>0</v>
      </c>
      <c r="F113" s="789">
        <f>SUMIFS(Пр.10!I$10:I$1682,Пр.10!$D$10:$D$1682,C113)</f>
        <v>118651</v>
      </c>
    </row>
    <row r="114" spans="1:6" ht="63.75" thickBot="1" x14ac:dyDescent="0.3">
      <c r="A114" s="154"/>
      <c r="B114" s="63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635" t="s">
        <v>1516</v>
      </c>
      <c r="D114" s="790">
        <f>SUMIFS(Пр.10!G$10:G$1682,Пр.10!$D$10:$D$1682,C114)</f>
        <v>5234965</v>
      </c>
      <c r="E114" s="790">
        <f>SUMIFS(Пр.10!H$10:H$1682,Пр.10!$D$10:$D$1682,C114)</f>
        <v>-493431</v>
      </c>
      <c r="F114" s="791">
        <f>SUMIFS(Пр.10!I$10:I$1682,Пр.10!$D$10:$D$1682,C114)</f>
        <v>4741534</v>
      </c>
    </row>
    <row r="115" spans="1:6" s="139" customFormat="1" ht="48" thickBot="1" x14ac:dyDescent="0.25">
      <c r="A115" s="148"/>
      <c r="B115" s="411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49" t="s">
        <v>326</v>
      </c>
      <c r="D115" s="395">
        <f>SUMIFS(Пр.10!G$10:G$1682,Пр.10!$D$10:$D$1682,C115)</f>
        <v>2932898</v>
      </c>
      <c r="E115" s="792">
        <f>SUMIFS(Пр.10!H$10:H$1682,Пр.10!$D$10:$D$1682,C115)</f>
        <v>-37174</v>
      </c>
      <c r="F115" s="550">
        <f>SUMIFS(Пр.10!I$10:I$1682,Пр.10!$D$10:$D$1682,C115)</f>
        <v>2895724</v>
      </c>
    </row>
    <row r="116" spans="1:6" ht="16.5" thickBot="1" x14ac:dyDescent="0.3">
      <c r="A116" s="154"/>
      <c r="B116" s="583" t="str">
        <f>IF(C116&gt;0,VLOOKUP(C116,Программа!A$2:B$5124,2))</f>
        <v>Бесперебойное функционирование информационных систем</v>
      </c>
      <c r="C116" s="584" t="s">
        <v>360</v>
      </c>
      <c r="D116" s="400">
        <f>SUMIFS(Пр.10!G$10:G$1682,Пр.10!$D$10:$D$1682,C116)</f>
        <v>2157933</v>
      </c>
      <c r="E116" s="401">
        <f>SUMIFS(Пр.10!H$10:H$1682,Пр.10!$D$10:$D$1682,C116)</f>
        <v>-106174</v>
      </c>
      <c r="F116" s="562">
        <f>SUMIFS(Пр.10!I$10:I$1682,Пр.10!$D$10:$D$1682,C116)</f>
        <v>2051759</v>
      </c>
    </row>
    <row r="117" spans="1:6" ht="48" thickBot="1" x14ac:dyDescent="0.3">
      <c r="A117" s="154"/>
      <c r="B117" s="581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495" t="s">
        <v>328</v>
      </c>
      <c r="D117" s="402">
        <f>SUMIFS(Пр.10!G$10:G$1682,Пр.10!$D$10:$D$1682,C117)</f>
        <v>774965</v>
      </c>
      <c r="E117" s="403">
        <f>SUMIFS(Пр.10!H$10:H$1682,Пр.10!$D$10:$D$1682,C117)</f>
        <v>69000</v>
      </c>
      <c r="F117" s="783">
        <f>SUMIFS(Пр.10!I$10:I$1682,Пр.10!$D$10:$D$1682,C117)</f>
        <v>843965</v>
      </c>
    </row>
    <row r="118" spans="1:6" s="139" customFormat="1" ht="63.75" thickBot="1" x14ac:dyDescent="0.25">
      <c r="A118" s="148"/>
      <c r="B118" s="411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49" t="s">
        <v>330</v>
      </c>
      <c r="D118" s="395">
        <f>SUMIFS(Пр.10!G$10:G$1682,Пр.10!$D$10:$D$1682,C118)</f>
        <v>2024056</v>
      </c>
      <c r="E118" s="396">
        <f>SUMIFS(Пр.10!H$10:H$1682,Пр.10!$D$10:$D$1682,C118)</f>
        <v>0</v>
      </c>
      <c r="F118" s="550">
        <f>SUMIFS(Пр.10!I$10:I$1682,Пр.10!$D$10:$D$1682,C118)</f>
        <v>2024056</v>
      </c>
    </row>
    <row r="119" spans="1:6" ht="63.75" thickBot="1" x14ac:dyDescent="0.25">
      <c r="A119" s="154"/>
      <c r="B119" s="493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59" t="s">
        <v>1684</v>
      </c>
      <c r="D119" s="400">
        <f>SUMIFS(Пр.10!G$10:G$1682,Пр.10!$D$10:$D$1682,C119)</f>
        <v>2024056</v>
      </c>
      <c r="E119" s="401">
        <f>SUMIFS(Пр.10!H$10:H$1682,Пр.10!$D$10:$D$1682,C119)</f>
        <v>0</v>
      </c>
      <c r="F119" s="562">
        <f>SUMIFS(Пр.10!I$10:I$1682,Пр.10!$D$10:$D$1682,C119)</f>
        <v>2024056</v>
      </c>
    </row>
    <row r="120" spans="1:6" ht="63.75" hidden="1" thickBot="1" x14ac:dyDescent="0.25">
      <c r="A120" s="153" t="s">
        <v>615</v>
      </c>
      <c r="B120" s="49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56" t="s">
        <v>616</v>
      </c>
      <c r="D120" s="402">
        <f>SUMIFS(Пр.10!G$10:G$1682,Пр.10!$D$10:$D$1682,C120)</f>
        <v>0</v>
      </c>
      <c r="E120" s="403">
        <f>SUMIFS(Пр.10!H$10:H$1682,Пр.10!$D$10:$D$1682,C120)</f>
        <v>0</v>
      </c>
      <c r="F120" s="783">
        <f>SUMIFS(Пр.10!I$10:I$1682,Пр.10!$D$10:$D$1682,C120)</f>
        <v>0</v>
      </c>
    </row>
    <row r="121" spans="1:6" s="139" customFormat="1" ht="48" thickBot="1" x14ac:dyDescent="0.25">
      <c r="A121" s="148" t="s">
        <v>617</v>
      </c>
      <c r="B121" s="491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49" t="s">
        <v>426</v>
      </c>
      <c r="D121" s="395">
        <f>SUMIFS(Пр.10!G$10:G$1682,Пр.10!$D$10:$D$1682,C121)</f>
        <v>403700</v>
      </c>
      <c r="E121" s="396">
        <f>SUMIFS(Пр.10!H$10:H$1682,Пр.10!$D$10:$D$1682,C121)</f>
        <v>-313</v>
      </c>
      <c r="F121" s="550">
        <f>SUMIFS(Пр.10!I$10:I$1682,Пр.10!$D$10:$D$1682,C121)</f>
        <v>403387</v>
      </c>
    </row>
    <row r="122" spans="1:6" ht="16.5" thickBot="1" x14ac:dyDescent="0.25">
      <c r="A122" s="153" t="s">
        <v>618</v>
      </c>
      <c r="B122" s="494" t="str">
        <f>IF(C122&gt;0,VLOOKUP(C122,Программа!A$2:B$5124,2))</f>
        <v>Реализация мероприятий по профилактике правонарушений</v>
      </c>
      <c r="C122" s="158" t="s">
        <v>428</v>
      </c>
      <c r="D122" s="433">
        <f>SUMIFS(Пр.10!G$10:G$1682,Пр.10!$D$10:$D$1682,C122)</f>
        <v>279000</v>
      </c>
      <c r="E122" s="434">
        <f>SUMIFS(Пр.10!H$10:H$1682,Пр.10!$D$10:$D$1682,C122)</f>
        <v>-22</v>
      </c>
      <c r="F122" s="784">
        <f>SUMIFS(Пр.10!I$10:I$1682,Пр.10!$D$10:$D$1682,C122)</f>
        <v>278978</v>
      </c>
    </row>
    <row r="123" spans="1:6" ht="16.5" thickBot="1" x14ac:dyDescent="0.25">
      <c r="A123" s="153"/>
      <c r="B123" s="557" t="str">
        <f>IF(C123&gt;0,VLOOKUP(C123,Программа!A$2:B$5124,2))</f>
        <v>Воспрепятствование проявлениям терроризма и экстремизма</v>
      </c>
      <c r="C123" s="360" t="s">
        <v>1778</v>
      </c>
      <c r="D123" s="790">
        <f>SUMIFS(Пр.10!G$10:G$1682,Пр.10!$D$10:$D$1682,C123)</f>
        <v>124700</v>
      </c>
      <c r="E123" s="791">
        <f>SUMIFS(Пр.10!H$10:H$1682,Пр.10!$D$10:$D$1682,C123)</f>
        <v>-291</v>
      </c>
      <c r="F123" s="793">
        <f>SUMIFS(Пр.10!I$10:I$1682,Пр.10!$D$10:$D$1682,C123)</f>
        <v>124409</v>
      </c>
    </row>
    <row r="124" spans="1:6" s="139" customFormat="1" ht="48" thickBot="1" x14ac:dyDescent="0.25">
      <c r="A124" s="148" t="s">
        <v>619</v>
      </c>
      <c r="B124" s="411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49" t="s">
        <v>533</v>
      </c>
      <c r="D124" s="395">
        <f>SUMIFS(Пр.10!G$10:G$1682,Пр.10!$D$10:$D$1682,C124)</f>
        <v>21354246</v>
      </c>
      <c r="E124" s="396">
        <f>SUMIFS(Пр.10!H$10:H$1682,Пр.10!$D$10:$D$1682,C124)</f>
        <v>55305</v>
      </c>
      <c r="F124" s="550">
        <f>SUMIFS(Пр.10!I$10:I$1682,Пр.10!$D$10:$D$1682,C124)</f>
        <v>21409551</v>
      </c>
    </row>
    <row r="125" spans="1:6" ht="48" thickBot="1" x14ac:dyDescent="0.3">
      <c r="A125" s="154" t="s">
        <v>620</v>
      </c>
      <c r="B125" s="583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584" t="s">
        <v>539</v>
      </c>
      <c r="D125" s="400">
        <f>SUMIFS(Пр.10!G$10:G$1682,Пр.10!$D$10:$D$1682,C125)</f>
        <v>21354246</v>
      </c>
      <c r="E125" s="401">
        <f>SUMIFS(Пр.10!H$10:H$1682,Пр.10!$D$10:$D$1682,C125)</f>
        <v>55305</v>
      </c>
      <c r="F125" s="562">
        <f>SUMIFS(Пр.10!I$10:I$1682,Пр.10!$D$10:$D$1682,C125)</f>
        <v>21409551</v>
      </c>
    </row>
    <row r="126" spans="1:6" ht="32.25" hidden="1" thickBot="1" x14ac:dyDescent="0.3">
      <c r="A126" s="154" t="s">
        <v>1307</v>
      </c>
      <c r="B126" s="581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495" t="s">
        <v>1194</v>
      </c>
      <c r="D126" s="402">
        <f>SUMIFS(Пр.10!G$10:G$1682,Пр.10!$D$10:$D$1682,C126)</f>
        <v>0</v>
      </c>
      <c r="E126" s="403">
        <f>SUMIFS(Пр.10!H$10:H$1682,Пр.10!$D$10:$D$1682,C126)</f>
        <v>0</v>
      </c>
      <c r="F126" s="560">
        <f>SUMIFS(Пр.10!I$10:I$1682,Пр.10!$D$10:$D$1682,C126)</f>
        <v>0</v>
      </c>
    </row>
    <row r="127" spans="1:6" s="139" customFormat="1" ht="32.25" hidden="1" thickBot="1" x14ac:dyDescent="0.25">
      <c r="A127" s="331" t="s">
        <v>70</v>
      </c>
      <c r="B127" s="491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364" t="s">
        <v>622</v>
      </c>
      <c r="D127" s="395">
        <f>SUMIFS(Пр.10!G$10:G$1682,Пр.10!$D$10:$D$1682,C127)</f>
        <v>0</v>
      </c>
      <c r="E127" s="396">
        <f>SUMIFS(Пр.10!H$10:H$1682,Пр.10!$D$10:$D$1682,C127)</f>
        <v>0</v>
      </c>
      <c r="F127" s="785">
        <f>SUMIFS(Пр.10!I$10:I$1682,Пр.10!$D$10:$D$1682,C127)</f>
        <v>0</v>
      </c>
    </row>
    <row r="128" spans="1:6" s="140" customFormat="1" ht="48" hidden="1" thickBot="1" x14ac:dyDescent="0.25">
      <c r="A128" s="155" t="s">
        <v>623</v>
      </c>
      <c r="B128" s="490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365" t="s">
        <v>625</v>
      </c>
      <c r="D128" s="775">
        <f>SUMIFS(Пр.10!G$10:G$1682,Пр.10!$D$10:$D$1682,C128)</f>
        <v>0</v>
      </c>
      <c r="E128" s="401">
        <f>SUMIFS(Пр.10!H$10:H$1682,Пр.10!$D$10:$D$1682,C128)</f>
        <v>0</v>
      </c>
      <c r="F128" s="560">
        <f>SUMIFS(Пр.10!I$10:I$1682,Пр.10!$D$10:$D$1682,C128)</f>
        <v>0</v>
      </c>
    </row>
    <row r="129" spans="1:6" ht="32.25" hidden="1" thickBot="1" x14ac:dyDescent="0.25">
      <c r="A129" s="154" t="s">
        <v>626</v>
      </c>
      <c r="B129" s="489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366" t="s">
        <v>628</v>
      </c>
      <c r="D129" s="151">
        <f>SUMIFS(Пр.10!G$10:G$1682,Пр.10!$D$10:$D$1682,C129)</f>
        <v>0</v>
      </c>
      <c r="E129" s="778">
        <f>SUMIFS(Пр.10!H$10:H$1682,Пр.10!$D$10:$D$1682,C129)</f>
        <v>0</v>
      </c>
      <c r="F129" s="560">
        <f>SUMIFS(Пр.10!I$10:I$1682,Пр.10!$D$10:$D$1682,C129)</f>
        <v>0</v>
      </c>
    </row>
    <row r="130" spans="1:6" s="140" customFormat="1" ht="48" hidden="1" thickBot="1" x14ac:dyDescent="0.25">
      <c r="A130" s="155" t="s">
        <v>629</v>
      </c>
      <c r="B130" s="488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19" t="s">
        <v>631</v>
      </c>
      <c r="D130" s="551">
        <f>SUMIFS(Пр.10!G$10:G$1682,Пр.10!$D$10:$D$1682,C130)</f>
        <v>0</v>
      </c>
      <c r="E130" s="778">
        <f>SUMIFS(Пр.10!H$10:H$1682,Пр.10!$D$10:$D$1682,C130)</f>
        <v>0</v>
      </c>
      <c r="F130" s="561">
        <f>SUMIFS(Пр.10!I$10:I$1682,Пр.10!$D$10:$D$1682,C130)</f>
        <v>0</v>
      </c>
    </row>
    <row r="131" spans="1:6" ht="32.25" hidden="1" thickBot="1" x14ac:dyDescent="0.25">
      <c r="A131" s="153" t="s">
        <v>43</v>
      </c>
      <c r="B131" s="489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366" t="s">
        <v>633</v>
      </c>
      <c r="D131" s="151">
        <f>SUMIFS(Пр.10!G$10:G$1682,Пр.10!$D$10:$D$1682,C131)</f>
        <v>0</v>
      </c>
      <c r="E131" s="778">
        <f>SUMIFS(Пр.10!H$10:H$1682,Пр.10!$D$10:$D$1682,C131)</f>
        <v>0</v>
      </c>
      <c r="F131" s="560">
        <f>SUMIFS(Пр.10!I$10:I$1682,Пр.10!$D$10:$D$1682,C131)</f>
        <v>0</v>
      </c>
    </row>
    <row r="132" spans="1:6" ht="32.25" hidden="1" thickBot="1" x14ac:dyDescent="0.25">
      <c r="A132" s="154" t="s">
        <v>634</v>
      </c>
      <c r="B132" s="489" t="str">
        <f>IF(C132&gt;0,VLOOKUP(C132,Программа!A$2:B$5124,2))</f>
        <v>Обеспечение мероприятий по ремонту общедомового имущества</v>
      </c>
      <c r="C132" s="366" t="s">
        <v>636</v>
      </c>
      <c r="D132" s="151">
        <f>SUMIFS(Пр.10!G$10:G$1682,Пр.10!$D$10:$D$1682,C132)</f>
        <v>0</v>
      </c>
      <c r="E132" s="778">
        <f>SUMIFS(Пр.10!H$10:H$1682,Пр.10!$D$10:$D$1682,C132)</f>
        <v>0</v>
      </c>
      <c r="F132" s="560">
        <f>SUMIFS(Пр.10!I$10:I$1682,Пр.10!$D$10:$D$1682,C132)</f>
        <v>0</v>
      </c>
    </row>
    <row r="133" spans="1:6" ht="32.25" hidden="1" thickBot="1" x14ac:dyDescent="0.25">
      <c r="A133" s="153" t="s">
        <v>53</v>
      </c>
      <c r="B133" s="489" t="str">
        <f>IF(C133&gt;0,VLOOKUP(C133,Программа!A$2:B$5124,2))</f>
        <v>Обеспечение мероприятий по ремонту муниципальных квартир</v>
      </c>
      <c r="C133" s="366" t="s">
        <v>637</v>
      </c>
      <c r="D133" s="151">
        <f>SUMIFS(Пр.10!G$10:G$1682,Пр.10!$D$10:$D$1682,C133)</f>
        <v>0</v>
      </c>
      <c r="E133" s="778">
        <f>SUMIFS(Пр.10!H$10:H$1682,Пр.10!$D$10:$D$1682,C133)</f>
        <v>0</v>
      </c>
      <c r="F133" s="560">
        <f>SUMIFS(Пр.10!I$10:I$1682,Пр.10!$D$10:$D$1682,C133)</f>
        <v>0</v>
      </c>
    </row>
    <row r="134" spans="1:6" ht="16.5" hidden="1" thickBot="1" x14ac:dyDescent="0.25">
      <c r="A134" s="153"/>
      <c r="B134" s="492" t="str">
        <f>IF(C134&gt;0,VLOOKUP(C134,Программа!A$2:B$5124,2))</f>
        <v>Обеспечение мероприятий по обследованию жилых домов</v>
      </c>
      <c r="C134" s="367" t="s">
        <v>1196</v>
      </c>
      <c r="D134" s="402">
        <f>SUMIFS(Пр.10!G$10:G$1682,Пр.10!$D$10:$D$1682,C134)</f>
        <v>0</v>
      </c>
      <c r="E134" s="403">
        <f>SUMIFS(Пр.10!H$10:H$1682,Пр.10!$D$10:$D$1682,C134)</f>
        <v>0</v>
      </c>
      <c r="F134" s="783">
        <f>SUMIFS(Пр.10!I$10:I$1682,Пр.10!$D$10:$D$1682,C134)</f>
        <v>0</v>
      </c>
    </row>
    <row r="135" spans="1:6" s="139" customFormat="1" ht="48" thickBot="1" x14ac:dyDescent="0.25">
      <c r="A135" s="148"/>
      <c r="B135" s="411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364" t="s">
        <v>640</v>
      </c>
      <c r="D135" s="395">
        <f>SUMIFS(Пр.10!G$10:G$1682,Пр.10!$D$10:$D$1682,C135)</f>
        <v>52955833</v>
      </c>
      <c r="E135" s="396">
        <f>SUMIFS(Пр.10!H$10:H$1682,Пр.10!$D$10:$D$1682,C135)</f>
        <v>3315000</v>
      </c>
      <c r="F135" s="550">
        <f>SUMIFS(Пр.10!I$10:I$1682,Пр.10!$D$10:$D$1682,C135)</f>
        <v>56270833</v>
      </c>
    </row>
    <row r="136" spans="1:6" s="140" customFormat="1" ht="48" thickBot="1" x14ac:dyDescent="0.3">
      <c r="A136" s="155"/>
      <c r="B136" s="573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574" t="s">
        <v>642</v>
      </c>
      <c r="D136" s="775">
        <f>SUMIFS(Пр.10!G$10:G$1682,Пр.10!$D$10:$D$1682,C136)</f>
        <v>478940</v>
      </c>
      <c r="E136" s="776">
        <f>SUMIFS(Пр.10!H$10:H$1682,Пр.10!$D$10:$D$1682,C136)</f>
        <v>0</v>
      </c>
      <c r="F136" s="562">
        <f>SUMIFS(Пр.10!I$10:I$1682,Пр.10!$D$10:$D$1682,C136)</f>
        <v>478940</v>
      </c>
    </row>
    <row r="137" spans="1:6" ht="32.25" thickBot="1" x14ac:dyDescent="0.3">
      <c r="A137" s="154"/>
      <c r="B137" s="577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60" t="s">
        <v>644</v>
      </c>
      <c r="D137" s="151">
        <f>SUMIFS(Пр.10!G$10:G$1682,Пр.10!$D$10:$D$1682,C137)</f>
        <v>478940</v>
      </c>
      <c r="E137" s="778">
        <f>SUMIFS(Пр.10!H$10:H$1682,Пр.10!$D$10:$D$1682,C137)</f>
        <v>0</v>
      </c>
      <c r="F137" s="560">
        <f>SUMIFS(Пр.10!I$10:I$1682,Пр.10!$D$10:$D$1682,C137)</f>
        <v>478940</v>
      </c>
    </row>
    <row r="138" spans="1:6" s="140" customFormat="1" ht="48" thickBot="1" x14ac:dyDescent="0.3">
      <c r="A138" s="155"/>
      <c r="B138" s="579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61" t="s">
        <v>645</v>
      </c>
      <c r="D138" s="551">
        <f>SUMIFS(Пр.10!G$10:G$1682,Пр.10!$D$10:$D$1682,C138)</f>
        <v>34629115</v>
      </c>
      <c r="E138" s="779">
        <f>SUMIFS(Пр.10!H$10:H$1682,Пр.10!$D$10:$D$1682,C138)</f>
        <v>1815000</v>
      </c>
      <c r="F138" s="560">
        <f>SUMIFS(Пр.10!I$10:I$1682,Пр.10!$D$10:$D$1682,C138)</f>
        <v>36444115</v>
      </c>
    </row>
    <row r="139" spans="1:6" ht="32.25" thickBot="1" x14ac:dyDescent="0.3">
      <c r="A139" s="154"/>
      <c r="B139" s="577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60" t="s">
        <v>647</v>
      </c>
      <c r="D139" s="151">
        <f>SUMIFS(Пр.10!G$10:G$1682,Пр.10!$D$10:$D$1682,C139)</f>
        <v>28684500</v>
      </c>
      <c r="E139" s="778">
        <f>SUMIFS(Пр.10!H$10:H$1682,Пр.10!$D$10:$D$1682,C139)</f>
        <v>1815000</v>
      </c>
      <c r="F139" s="560">
        <f>SUMIFS(Пр.10!I$10:I$1682,Пр.10!$D$10:$D$1682,C139)</f>
        <v>30499500</v>
      </c>
    </row>
    <row r="140" spans="1:6" ht="31.9" customHeight="1" thickBot="1" x14ac:dyDescent="0.3">
      <c r="A140" s="154"/>
      <c r="B140" s="577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60" t="s">
        <v>649</v>
      </c>
      <c r="D140" s="151">
        <f>SUMIFS(Пр.10!G$10:G$1682,Пр.10!$D$10:$D$1682,C140)</f>
        <v>4947971</v>
      </c>
      <c r="E140" s="778">
        <f>SUMIFS(Пр.10!H$10:H$1682,Пр.10!$D$10:$D$1682,C140)</f>
        <v>0</v>
      </c>
      <c r="F140" s="560">
        <f>SUMIFS(Пр.10!I$10:I$1682,Пр.10!$D$10:$D$1682,C140)</f>
        <v>4947971</v>
      </c>
    </row>
    <row r="141" spans="1:6" ht="32.25" customHeight="1" thickBot="1" x14ac:dyDescent="0.3">
      <c r="A141" s="154"/>
      <c r="B141" s="577" t="str">
        <f>IF(C141&gt;0,VLOOKUP(C141,Программа!A$2:B$5124,2))</f>
        <v>Обеспечение мероприятий по благоустройству воинских захоронений</v>
      </c>
      <c r="C141" s="160" t="s">
        <v>650</v>
      </c>
      <c r="D141" s="151">
        <f>SUMIFS(Пр.10!G$10:G$1682,Пр.10!$D$10:$D$1682,C141)</f>
        <v>996644</v>
      </c>
      <c r="E141" s="778">
        <f>SUMIFS(Пр.10!H$10:H$1682,Пр.10!$D$10:$D$1682,C141)</f>
        <v>0</v>
      </c>
      <c r="F141" s="560">
        <f>SUMIFS(Пр.10!I$10:I$1682,Пр.10!$D$10:$D$1682,C141)</f>
        <v>996644</v>
      </c>
    </row>
    <row r="142" spans="1:6" ht="53.25" hidden="1" customHeight="1" thickBot="1" x14ac:dyDescent="0.3">
      <c r="A142" s="154"/>
      <c r="B142" s="577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60" t="s">
        <v>1580</v>
      </c>
      <c r="D142" s="151">
        <f>SUMIFS(Пр.10!G$10:G$1682,Пр.10!$D$10:$D$1682,C142)</f>
        <v>0</v>
      </c>
      <c r="E142" s="778">
        <f>SUMIFS(Пр.10!H$10:H$1682,Пр.10!$D$10:$D$1682,C142)</f>
        <v>0</v>
      </c>
      <c r="F142" s="560">
        <f>SUMIFS(Пр.10!I$10:I$1682,Пр.10!$D$10:$D$1682,C142)</f>
        <v>0</v>
      </c>
    </row>
    <row r="143" spans="1:6" ht="79.5" thickBot="1" x14ac:dyDescent="0.3">
      <c r="A143" s="154"/>
      <c r="B143" s="579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61" t="s">
        <v>1389</v>
      </c>
      <c r="D143" s="151">
        <f>SUMIFS(Пр.10!G$10:G$1682,Пр.10!$D$10:$D$1682,C143)</f>
        <v>14647778</v>
      </c>
      <c r="E143" s="779">
        <f>SUMIFS(Пр.10!H$10:H$1682,Пр.10!$D$10:$D$1682,C143)</f>
        <v>1500000</v>
      </c>
      <c r="F143" s="560">
        <f>SUMIFS(Пр.10!I$10:I$1682,Пр.10!$D$10:$D$1682,C143)</f>
        <v>16147778</v>
      </c>
    </row>
    <row r="144" spans="1:6" ht="32.25" thickBot="1" x14ac:dyDescent="0.3">
      <c r="A144" s="154"/>
      <c r="B144" s="577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61" t="s">
        <v>1390</v>
      </c>
      <c r="D144" s="151">
        <f>SUMIFS(Пр.10!G$10:G$1682,Пр.10!$D$10:$D$1682,C144)</f>
        <v>14647778</v>
      </c>
      <c r="E144" s="778">
        <f>SUMIFS(Пр.10!H$10:H$1682,Пр.10!$D$10:$D$1682,C144)</f>
        <v>1500000</v>
      </c>
      <c r="F144" s="560">
        <f>SUMIFS(Пр.10!I$10:I$1682,Пр.10!$D$10:$D$1682,C144)</f>
        <v>16147778</v>
      </c>
    </row>
    <row r="145" spans="1:6" ht="48" thickBot="1" x14ac:dyDescent="0.3">
      <c r="A145" s="154"/>
      <c r="B145" s="579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61" t="s">
        <v>1391</v>
      </c>
      <c r="D145" s="151">
        <f>SUMIFS(Пр.10!G$10:G$1682,Пр.10!$D$10:$D$1682,C145)</f>
        <v>3200000</v>
      </c>
      <c r="E145" s="779">
        <f>SUMIFS(Пр.10!H$10:H$1682,Пр.10!$D$10:$D$1682,C145)</f>
        <v>0</v>
      </c>
      <c r="F145" s="560">
        <f>SUMIFS(Пр.10!I$10:I$1682,Пр.10!$D$10:$D$1682,C145)</f>
        <v>3200000</v>
      </c>
    </row>
    <row r="146" spans="1:6" ht="32.25" thickBot="1" x14ac:dyDescent="0.3">
      <c r="A146" s="154"/>
      <c r="B146" s="581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582" t="s">
        <v>1392</v>
      </c>
      <c r="D146" s="151">
        <f>SUMIFS(Пр.10!G$10:G$1682,Пр.10!$D$10:$D$1682,C146)</f>
        <v>3200000</v>
      </c>
      <c r="E146" s="403">
        <f>SUMIFS(Пр.10!H$10:H$1682,Пр.10!$D$10:$D$1682,C146)</f>
        <v>0</v>
      </c>
      <c r="F146" s="560">
        <f>SUMIFS(Пр.10!I$10:I$1682,Пр.10!$D$10:$D$1682,C146)</f>
        <v>3200000</v>
      </c>
    </row>
    <row r="147" spans="1:6" s="139" customFormat="1" ht="32.25" hidden="1" thickBot="1" x14ac:dyDescent="0.25">
      <c r="A147" s="148"/>
      <c r="B147" s="491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49" t="s">
        <v>652</v>
      </c>
      <c r="D147" s="395">
        <f>SUMIFS(Пр.10!G$10:G$1682,Пр.10!$D$10:$D$1682,C147)</f>
        <v>0</v>
      </c>
      <c r="E147" s="396">
        <f>SUMIFS(Пр.10!H$10:H$1682,Пр.10!$D$10:$D$1682,C147)</f>
        <v>0</v>
      </c>
      <c r="F147" s="785">
        <f>SUMIFS(Пр.10!I$10:I$1682,Пр.10!$D$10:$D$1682,C147)</f>
        <v>0</v>
      </c>
    </row>
    <row r="148" spans="1:6" ht="32.25" hidden="1" thickBot="1" x14ac:dyDescent="0.25">
      <c r="A148" s="154"/>
      <c r="B148" s="494" t="str">
        <f>IF(C148&gt;0,VLOOKUP(C148,Программа!A$2:B$5124,2))</f>
        <v>Обеспечение населения Тутаевского муниципального района банными услугами</v>
      </c>
      <c r="C148" s="531" t="s">
        <v>654</v>
      </c>
      <c r="D148" s="433">
        <f>SUMIFS(Пр.10!G$10:G$1682,Пр.10!$D$10:$D$1682,C148)</f>
        <v>0</v>
      </c>
      <c r="E148" s="434">
        <f>SUMIFS(Пр.10!H$10:H$1682,Пр.10!$D$10:$D$1682,C148)</f>
        <v>0</v>
      </c>
      <c r="F148" s="783">
        <f>SUMIFS(Пр.10!I$10:I$1682,Пр.10!$D$10:$D$1682,C148)</f>
        <v>0</v>
      </c>
    </row>
    <row r="149" spans="1:6" s="139" customFormat="1" ht="48" thickBot="1" x14ac:dyDescent="0.25">
      <c r="A149" s="148"/>
      <c r="B149" s="411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364" t="s">
        <v>1026</v>
      </c>
      <c r="D149" s="395">
        <f>SUMIFS(Пр.10!G$10:G$1682,Пр.10!$D$10:$D$1682,C149)</f>
        <v>1644115</v>
      </c>
      <c r="E149" s="396">
        <f>SUMIFS(Пр.10!H$10:H$1682,Пр.10!$D$10:$D$1682,C149)</f>
        <v>-26180</v>
      </c>
      <c r="F149" s="550">
        <f>SUMIFS(Пр.10!I$10:I$1682,Пр.10!$D$10:$D$1682,C149)</f>
        <v>1617935</v>
      </c>
    </row>
    <row r="150" spans="1:6" ht="32.25" hidden="1" thickBot="1" x14ac:dyDescent="0.25">
      <c r="A150" s="154"/>
      <c r="B150" s="493" t="str">
        <f>IF(C150&gt;0,VLOOKUP(C150,Программа!A$2:B$5124,2))</f>
        <v>Развитие водохозяйственного комплекса Тутаевского муниципального района</v>
      </c>
      <c r="C150" s="369" t="s">
        <v>1027</v>
      </c>
      <c r="D150" s="400">
        <f>SUMIFS(Пр.10!G$10:G$1682,Пр.10!$D$10:$D$1682,C150)</f>
        <v>0</v>
      </c>
      <c r="E150" s="401">
        <f>SUMIFS(Пр.10!H$10:H$1682,Пр.10!$D$10:$D$1682,C150)</f>
        <v>0</v>
      </c>
      <c r="F150" s="562">
        <f>SUMIFS(Пр.10!I$10:I$1682,Пр.10!$D$10:$D$1682,C150)</f>
        <v>0</v>
      </c>
    </row>
    <row r="151" spans="1:6" ht="48" thickBot="1" x14ac:dyDescent="0.3">
      <c r="A151" s="154"/>
      <c r="B151" s="581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62" t="s">
        <v>1067</v>
      </c>
      <c r="D151" s="402">
        <f>SUMIFS(Пр.10!G$10:G$1682,Пр.10!$D$10:$D$1682,C151)</f>
        <v>1644115</v>
      </c>
      <c r="E151" s="403">
        <f>SUMIFS(Пр.10!H$10:H$1682,Пр.10!$D$10:$D$1682,C151)</f>
        <v>-26180</v>
      </c>
      <c r="F151" s="560">
        <f>SUMIFS(Пр.10!I$10:I$1682,Пр.10!$D$10:$D$1682,C151)</f>
        <v>1617935</v>
      </c>
    </row>
    <row r="152" spans="1:6" s="139" customFormat="1" ht="32.25" hidden="1" thickBot="1" x14ac:dyDescent="0.25">
      <c r="A152" s="148"/>
      <c r="B152" s="491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364" t="s">
        <v>1038</v>
      </c>
      <c r="D152" s="395">
        <f>SUMIFS(Пр.10!G$10:G$1682,Пр.10!$D$10:$D$1682,C152)</f>
        <v>0</v>
      </c>
      <c r="E152" s="396">
        <f>SUMIFS(Пр.10!H$10:H$1682,Пр.10!$D$10:$D$1682,C152)</f>
        <v>0</v>
      </c>
      <c r="F152" s="785">
        <f>SUMIFS(Пр.10!I$10:I$1682,Пр.10!$D$10:$D$1682,C152)</f>
        <v>0</v>
      </c>
    </row>
    <row r="153" spans="1:6" ht="48" hidden="1" thickBot="1" x14ac:dyDescent="0.25">
      <c r="A153" s="154"/>
      <c r="B153" s="493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369" t="s">
        <v>1040</v>
      </c>
      <c r="D153" s="400">
        <f>SUMIFS(Пр.10!G$10:G$1682,Пр.10!$D$10:$D$1682,C153)</f>
        <v>0</v>
      </c>
      <c r="E153" s="401">
        <f>SUMIFS(Пр.10!H$10:H$1682,Пр.10!$D$10:$D$1682,C153)</f>
        <v>0</v>
      </c>
      <c r="F153" s="560">
        <f>SUMIFS(Пр.10!I$10:I$1682,Пр.10!$D$10:$D$1682,C153)</f>
        <v>0</v>
      </c>
    </row>
    <row r="154" spans="1:6" ht="63.75" hidden="1" thickBot="1" x14ac:dyDescent="0.25">
      <c r="A154" s="154"/>
      <c r="B154" s="49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367" t="s">
        <v>1042</v>
      </c>
      <c r="D154" s="402">
        <f>SUMIFS(Пр.10!G$10:G$1682,Пр.10!$D$10:$D$1682,C154)</f>
        <v>0</v>
      </c>
      <c r="E154" s="403">
        <f>SUMIFS(Пр.10!H$10:H$1682,Пр.10!$D$10:$D$1682,C154)</f>
        <v>0</v>
      </c>
      <c r="F154" s="560">
        <f>SUMIFS(Пр.10!I$10:I$1682,Пр.10!$D$10:$D$1682,C154)</f>
        <v>0</v>
      </c>
    </row>
    <row r="155" spans="1:6" ht="48" hidden="1" thickBot="1" x14ac:dyDescent="0.25">
      <c r="A155" s="154"/>
      <c r="B155" s="491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30" t="s">
        <v>1044</v>
      </c>
      <c r="D155" s="395">
        <f>SUMIFS(Пр.10!G$10:G$1682,Пр.10!$D$10:$D$1682,C155)</f>
        <v>0</v>
      </c>
      <c r="E155" s="396">
        <f>SUMIFS(Пр.10!H$10:H$1682,Пр.10!$D$10:$D$1682,C155)</f>
        <v>0</v>
      </c>
      <c r="F155" s="785">
        <f>SUMIFS(Пр.10!I$10:I$1682,Пр.10!$D$10:$D$1682,C155)</f>
        <v>0</v>
      </c>
    </row>
    <row r="156" spans="1:6" ht="32.25" hidden="1" thickBot="1" x14ac:dyDescent="0.25">
      <c r="A156" s="154"/>
      <c r="B156" s="493" t="str">
        <f>IF(C156&gt;0,VLOOKUP(C156,Программа!A$2:B$5124,2))</f>
        <v>Обеспечение условий для исполнения функций финансового органа</v>
      </c>
      <c r="C156" s="369" t="s">
        <v>1045</v>
      </c>
      <c r="D156" s="400">
        <f>SUMIFS(Пр.10!G$10:G$1682,Пр.10!$D$10:$D$1682,C156)</f>
        <v>0</v>
      </c>
      <c r="E156" s="401">
        <f>SUMIFS(Пр.10!H$10:H$1682,Пр.10!$D$10:$D$1682,C156)</f>
        <v>0</v>
      </c>
      <c r="F156" s="560">
        <f>SUMIFS(Пр.10!I$10:I$1682,Пр.10!$D$10:$D$1682,C156)</f>
        <v>0</v>
      </c>
    </row>
    <row r="157" spans="1:6" ht="32.25" hidden="1" thickBot="1" x14ac:dyDescent="0.25">
      <c r="A157" s="154"/>
      <c r="B157" s="489" t="str">
        <f>IF(C157&gt;0,VLOOKUP(C157,Программа!A$2:B$5124,2))</f>
        <v>Организационно-техническое обеспечение бюджетного процесса</v>
      </c>
      <c r="C157" s="366" t="s">
        <v>1130</v>
      </c>
      <c r="D157" s="151">
        <f>SUMIFS(Пр.10!G$10:G$1682,Пр.10!$D$10:$D$1682,C157)</f>
        <v>0</v>
      </c>
      <c r="E157" s="778">
        <f>SUMIFS(Пр.10!H$10:H$1682,Пр.10!$D$10:$D$1682,C157)</f>
        <v>0</v>
      </c>
      <c r="F157" s="560">
        <f>SUMIFS(Пр.10!I$10:I$1682,Пр.10!$D$10:$D$1682,C157)</f>
        <v>0</v>
      </c>
    </row>
    <row r="158" spans="1:6" ht="16.5" hidden="1" thickBot="1" x14ac:dyDescent="0.25">
      <c r="A158" s="358"/>
      <c r="B158" s="492" t="str">
        <f>IF(C158&gt;0,VLOOKUP(C158,Программа!A$2:B$5124,2))</f>
        <v>Нормативно-методическое обеспечение бюджетного процесса</v>
      </c>
      <c r="C158" s="367" t="s">
        <v>1132</v>
      </c>
      <c r="D158" s="402">
        <f>SUMIFS(Пр.10!G$10:G$1682,Пр.10!$D$10:$D$1682,C158)</f>
        <v>0</v>
      </c>
      <c r="E158" s="403">
        <f>SUMIFS(Пр.10!H$10:H$1682,Пр.10!$D$10:$D$1682,C158)</f>
        <v>0</v>
      </c>
      <c r="F158" s="783">
        <f>SUMIFS(Пр.10!I$10:I$1682,Пр.10!$D$10:$D$1682,C158)</f>
        <v>0</v>
      </c>
    </row>
    <row r="159" spans="1:6" s="139" customFormat="1" ht="32.25" thickBot="1" x14ac:dyDescent="0.25">
      <c r="A159" s="148"/>
      <c r="B159" s="411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364" t="s">
        <v>1134</v>
      </c>
      <c r="D159" s="395">
        <f>SUMIFS(Пр.10!G$10:G$1682,Пр.10!$D$10:$D$1682,C159)</f>
        <v>134549169</v>
      </c>
      <c r="E159" s="396">
        <f>SUMIFS(Пр.10!H$10:H$1682,Пр.10!$D$10:$D$1682,C159)</f>
        <v>-94339</v>
      </c>
      <c r="F159" s="550">
        <f>SUMIFS(Пр.10!I$10:I$1682,Пр.10!$D$10:$D$1682,C159)</f>
        <v>134454830</v>
      </c>
    </row>
    <row r="160" spans="1:6" ht="15.75" x14ac:dyDescent="0.25">
      <c r="A160" s="485"/>
      <c r="B160" s="583" t="str">
        <f>IF(C160&gt;0,VLOOKUP(C160,Программа!A$2:B$5124,2))</f>
        <v>Повышение уровня благоустройства территорий</v>
      </c>
      <c r="C160" s="265" t="s">
        <v>1152</v>
      </c>
      <c r="D160" s="400">
        <f>SUMIFS(Пр.10!G$10:G$1682,Пр.10!$D$10:$D$1682,C160)</f>
        <v>14525637</v>
      </c>
      <c r="E160" s="401">
        <f>SUMIFS(Пр.10!H$10:H$1682,Пр.10!$D$10:$D$1682,C160)</f>
        <v>0</v>
      </c>
      <c r="F160" s="562">
        <f>SUMIFS(Пр.10!I$10:I$1682,Пр.10!$D$10:$D$1682,C160)</f>
        <v>14525637</v>
      </c>
    </row>
    <row r="161" spans="1:6" ht="15.75" x14ac:dyDescent="0.25">
      <c r="A161" s="486"/>
      <c r="B161" s="577" t="str">
        <f>IF(C161&gt;0,VLOOKUP(C161,Программа!A$2:B$5124,2))</f>
        <v>Реализация  Губернаторского  проекта "Наши дворы"</v>
      </c>
      <c r="C161" s="160" t="s">
        <v>1153</v>
      </c>
      <c r="D161" s="151">
        <f>SUMIFS(Пр.10!G$10:G$1682,Пр.10!$D$10:$D$1682,C161)</f>
        <v>79471764</v>
      </c>
      <c r="E161" s="778">
        <f>SUMIFS(Пр.10!H$10:H$1682,Пр.10!$D$10:$D$1682,C161)</f>
        <v>0</v>
      </c>
      <c r="F161" s="560">
        <f>SUMIFS(Пр.10!I$10:I$1682,Пр.10!$D$10:$D$1682,C161)</f>
        <v>79471764</v>
      </c>
    </row>
    <row r="162" spans="1:6" ht="31.5" hidden="1" x14ac:dyDescent="0.25">
      <c r="A162" s="486"/>
      <c r="B162" s="577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60" t="s">
        <v>1154</v>
      </c>
      <c r="D162" s="151">
        <f>SUMIFS(Пр.10!G$10:G$1682,Пр.10!$D$10:$D$1682,C162)</f>
        <v>0</v>
      </c>
      <c r="E162" s="778">
        <f>SUMIFS(Пр.10!H$10:H$1682,Пр.10!$D$10:$D$1682,C162)</f>
        <v>0</v>
      </c>
      <c r="F162" s="560">
        <f>SUMIFS(Пр.10!I$10:I$1682,Пр.10!$D$10:$D$1682,C162)</f>
        <v>0</v>
      </c>
    </row>
    <row r="163" spans="1:6" ht="32.25" thickBot="1" x14ac:dyDescent="0.3">
      <c r="A163" s="487"/>
      <c r="B163" s="581" t="str">
        <f>IF(C163&gt;0,VLOOKUP(C163,Программа!A$2:B$5124,2))</f>
        <v>Реализация   проекта "Формирование комфортной городской среды"</v>
      </c>
      <c r="C163" s="495" t="s">
        <v>1314</v>
      </c>
      <c r="D163" s="402">
        <f>SUMIFS(Пр.10!G$10:G$1682,Пр.10!$D$10:$D$1682,C163)</f>
        <v>40551768</v>
      </c>
      <c r="E163" s="403">
        <f>SUMIFS(Пр.10!H$10:H$1682,Пр.10!$D$10:$D$1682,C163)</f>
        <v>-94339</v>
      </c>
      <c r="F163" s="783">
        <f>SUMIFS(Пр.10!I$10:I$1682,Пр.10!$D$10:$D$1682,C163)</f>
        <v>40457429</v>
      </c>
    </row>
    <row r="164" spans="1:6" s="139" customFormat="1" ht="63.75" thickBot="1" x14ac:dyDescent="0.25">
      <c r="A164" s="389"/>
      <c r="B164" s="411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364" t="s">
        <v>1136</v>
      </c>
      <c r="D164" s="395">
        <f>D165</f>
        <v>281883</v>
      </c>
      <c r="E164" s="396">
        <f t="shared" ref="E164:F164" si="0">E165</f>
        <v>0</v>
      </c>
      <c r="F164" s="550">
        <f t="shared" si="0"/>
        <v>281883</v>
      </c>
    </row>
    <row r="165" spans="1:6" ht="16.5" thickBot="1" x14ac:dyDescent="0.3">
      <c r="A165" s="154"/>
      <c r="B165" s="494" t="str">
        <f>IF(C165&gt;0,VLOOKUP(C165,Программа!A$2:B$5124,2))</f>
        <v>Мероприятия по обеспечению безопасности жителей района</v>
      </c>
      <c r="C165" s="163" t="s">
        <v>1137</v>
      </c>
      <c r="D165" s="433">
        <f>SUMIFS(Пр.10!G$10:G$1682,Пр.10!$D$10:$D$1682,C165)</f>
        <v>281883</v>
      </c>
      <c r="E165" s="434">
        <f>SUMIFS(Пр.10!H$10:H$1682,Пр.10!$D$10:$D$1682,C165)</f>
        <v>0</v>
      </c>
      <c r="F165" s="784">
        <f>SUMIFS(Пр.10!I$10:I$1682,Пр.10!$D$10:$D$1682,C165)</f>
        <v>281883</v>
      </c>
    </row>
    <row r="166" spans="1:6" s="139" customFormat="1" ht="48" hidden="1" thickBot="1" x14ac:dyDescent="0.25">
      <c r="A166" s="148"/>
      <c r="B166" s="411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364" t="s">
        <v>1188</v>
      </c>
      <c r="D166" s="395">
        <f>SUMIFS(Пр.10!G$10:G$1682,Пр.10!$D$10:$D$1682,C166)</f>
        <v>0</v>
      </c>
      <c r="E166" s="396">
        <f>SUMIFS(Пр.10!H$10:H$1682,Пр.10!$D$10:$D$1682,C166)</f>
        <v>0</v>
      </c>
      <c r="F166" s="550">
        <f>SUMIFS(Пр.10!I$10:I$1682,Пр.10!$D$10:$D$1682,C166)</f>
        <v>0</v>
      </c>
    </row>
    <row r="167" spans="1:6" ht="32.25" hidden="1" thickBot="1" x14ac:dyDescent="0.25">
      <c r="A167" s="154"/>
      <c r="B167" s="493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369" t="s">
        <v>1189</v>
      </c>
      <c r="D167" s="400">
        <f>SUMIFS(Пр.10!G$10:G$1682,Пр.10!$D$10:$D$1682,C167)</f>
        <v>0</v>
      </c>
      <c r="E167" s="401">
        <f>SUMIFS(Пр.10!H$10:H$1682,Пр.10!$D$10:$D$1682,C167)</f>
        <v>0</v>
      </c>
      <c r="F167" s="562">
        <f>SUMIFS(Пр.10!I$10:I$1682,Пр.10!$D$10:$D$1682,C167)</f>
        <v>0</v>
      </c>
    </row>
    <row r="168" spans="1:6" ht="32.25" hidden="1" thickBot="1" x14ac:dyDescent="0.3">
      <c r="A168" s="154"/>
      <c r="B168" s="581" t="str">
        <f>IF(C168&gt;0,VLOOKUP(C168,Программа!A$2:B$5124,2))</f>
        <v>Проведение историко-культурной экспертизы объектов культурного наследия</v>
      </c>
      <c r="C168" s="162" t="s">
        <v>1192</v>
      </c>
      <c r="D168" s="402">
        <f>SUMIFS(Пр.10!G$10:G$1682,Пр.10!$D$10:$D$1682,C168)</f>
        <v>0</v>
      </c>
      <c r="E168" s="403">
        <f>SUMIFS(Пр.10!H$10:H$1682,Пр.10!$D$10:$D$1682,C168)</f>
        <v>0</v>
      </c>
      <c r="F168" s="783">
        <f>SUMIFS(Пр.10!I$10:I$1682,Пр.10!$D$10:$D$1682,C168)</f>
        <v>0</v>
      </c>
    </row>
    <row r="169" spans="1:6" ht="48" hidden="1" thickBot="1" x14ac:dyDescent="0.25">
      <c r="A169" s="154"/>
      <c r="B169" s="411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364" t="s">
        <v>1335</v>
      </c>
      <c r="D169" s="395">
        <f>SUMIFS(Пр.10!G$10:G$1682,Пр.10!$D$10:$D$1682,C169)</f>
        <v>0</v>
      </c>
      <c r="E169" s="396">
        <f>SUMIFS(Пр.10!H$10:H$1682,Пр.10!$D$10:$D$1682,C169)</f>
        <v>0</v>
      </c>
      <c r="F169" s="550">
        <f>SUMIFS(Пр.10!I$10:I$1682,Пр.10!$D$10:$D$1682,C169)</f>
        <v>0</v>
      </c>
    </row>
    <row r="170" spans="1:6" ht="32.25" hidden="1" thickBot="1" x14ac:dyDescent="0.3">
      <c r="A170" s="154"/>
      <c r="B170" s="583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65" t="s">
        <v>1336</v>
      </c>
      <c r="D170" s="400">
        <f>SUMIFS(Пр.10!G$10:G$1682,Пр.10!$D$10:$D$1682,C170)</f>
        <v>0</v>
      </c>
      <c r="E170" s="401">
        <f>SUMIFS(Пр.10!H$10:H$1682,Пр.10!$D$10:$D$1682,C170)</f>
        <v>0</v>
      </c>
      <c r="F170" s="562">
        <f>SUMIFS(Пр.10!I$10:I$1682,Пр.10!$D$10:$D$1682,C170)</f>
        <v>0</v>
      </c>
    </row>
    <row r="171" spans="1:6" ht="32.25" hidden="1" thickBot="1" x14ac:dyDescent="0.25">
      <c r="A171" s="154"/>
      <c r="B171" s="492" t="str">
        <f>IF(C171&gt;0,VLOOKUP(C171,Программа!A$2:B$5124,2))</f>
        <v>Разработка проектов планирования и (или) проектов межевания территории</v>
      </c>
      <c r="C171" s="367" t="s">
        <v>1337</v>
      </c>
      <c r="D171" s="433">
        <f>SUMIFS(Пр.10!G$10:G$1682,Пр.10!$D$10:$D$1682,C171)</f>
        <v>0</v>
      </c>
      <c r="E171" s="403">
        <f>SUMIFS(Пр.10!H$10:H$1682,Пр.10!$D$10:$D$1682,C171)</f>
        <v>0</v>
      </c>
      <c r="F171" s="783">
        <f>SUMIFS(Пр.10!I$10:I$1682,Пр.10!$D$10:$D$1682,C171)</f>
        <v>0</v>
      </c>
    </row>
    <row r="172" spans="1:6" s="549" customFormat="1" ht="32.25" thickBot="1" x14ac:dyDescent="0.25">
      <c r="A172" s="547"/>
      <c r="B172" s="548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30" t="s">
        <v>1409</v>
      </c>
      <c r="D172" s="395">
        <f>SUMIFS(Пр.10!G$10:G$1682,Пр.10!$D$10:$D$1682,C172)</f>
        <v>266355915</v>
      </c>
      <c r="E172" s="794">
        <f>SUMIFS(Пр.10!H$10:H$1682,Пр.10!$D$10:$D$1682,C172)</f>
        <v>5593852</v>
      </c>
      <c r="F172" s="550">
        <f>SUMIFS(Пр.10!I$10:I$1682,Пр.10!$D$10:$D$1682,C172)</f>
        <v>271949767</v>
      </c>
    </row>
    <row r="173" spans="1:6" ht="32.25" thickBot="1" x14ac:dyDescent="0.3">
      <c r="A173" s="154"/>
      <c r="B173" s="583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65" t="s">
        <v>1410</v>
      </c>
      <c r="D173" s="400">
        <f>SUMIFS(Пр.10!G$10:G$1682,Пр.10!$D$10:$D$1682,C173)</f>
        <v>4797434</v>
      </c>
      <c r="E173" s="401">
        <f>SUMIFS(Пр.10!H$10:H$1682,Пр.10!$D$10:$D$1682,C173)</f>
        <v>0</v>
      </c>
      <c r="F173" s="784">
        <f>SUMIFS(Пр.10!I$10:I$1682,Пр.10!$D$10:$D$1682,C173)</f>
        <v>4797434</v>
      </c>
    </row>
    <row r="174" spans="1:6" ht="48" thickBot="1" x14ac:dyDescent="0.3">
      <c r="A174" s="154"/>
      <c r="B174" s="218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60" t="s">
        <v>1411</v>
      </c>
      <c r="D174" s="151">
        <f>SUMIFS(Пр.10!G$10:G$1682,Пр.10!$D$10:$D$1682,C174)</f>
        <v>155183952</v>
      </c>
      <c r="E174" s="151">
        <f>SUMIFS(Пр.10!H$10:H$1682,Пр.10!$D$10:$D$1682,C174)</f>
        <v>6549215</v>
      </c>
      <c r="F174" s="151">
        <f>SUMIFS(Пр.10!I$10:I$1682,Пр.10!$D$10:$D$1682,C174)</f>
        <v>161733167</v>
      </c>
    </row>
    <row r="175" spans="1:6" ht="63.75" thickBot="1" x14ac:dyDescent="0.3">
      <c r="A175" s="154"/>
      <c r="B175" s="218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60" t="s">
        <v>1574</v>
      </c>
      <c r="D175" s="151">
        <f>SUMIFS(Пр.10!G$10:G$1682,Пр.10!$D$10:$D$1682,C175)</f>
        <v>47018529</v>
      </c>
      <c r="E175" s="151">
        <f>SUMIFS(Пр.10!H$10:H$1682,Пр.10!$D$10:$D$1682,C175)</f>
        <v>0</v>
      </c>
      <c r="F175" s="151">
        <f>SUMIFS(Пр.10!I$10:I$1682,Пр.10!$D$10:$D$1682,C175)</f>
        <v>47018529</v>
      </c>
    </row>
    <row r="176" spans="1:6" ht="16.5" thickBot="1" x14ac:dyDescent="0.3">
      <c r="A176" s="154"/>
      <c r="B176" s="581" t="str">
        <f>IF(C176&gt;0,VLOOKUP(C176,Программа!A$2:B$5124,2))</f>
        <v>Реализация федерального проекта "Дорожная сеть"</v>
      </c>
      <c r="C176" s="162" t="s">
        <v>1412</v>
      </c>
      <c r="D176" s="402">
        <f>SUMIFS(Пр.10!G$10:G$1682,Пр.10!$D$10:$D$1682,C176)</f>
        <v>59356000</v>
      </c>
      <c r="E176" s="403">
        <f>SUMIFS(Пр.10!H$10:H$1682,Пр.10!$D$10:$D$1682,C176)</f>
        <v>-955363</v>
      </c>
      <c r="F176" s="783">
        <f>SUMIFS(Пр.10!I$10:I$1682,Пр.10!$D$10:$D$1682,C176)</f>
        <v>58400637</v>
      </c>
    </row>
    <row r="177" spans="1:6" ht="48" thickBot="1" x14ac:dyDescent="0.25">
      <c r="A177" s="154"/>
      <c r="B177" s="411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364" t="s">
        <v>1414</v>
      </c>
      <c r="D177" s="395">
        <f>SUMIFS(Пр.10!G$10:G$1682,Пр.10!$D$10:$D$1682,C177)</f>
        <v>5131090</v>
      </c>
      <c r="E177" s="396">
        <f>SUMIFS(Пр.10!H$10:H$1682,Пр.10!$D$10:$D$1682,C177)</f>
        <v>21557</v>
      </c>
      <c r="F177" s="550">
        <f>SUMIFS(Пр.10!I$10:I$1682,Пр.10!$D$10:$D$1682,C177)</f>
        <v>5152647</v>
      </c>
    </row>
    <row r="178" spans="1:6" ht="32.25" thickBot="1" x14ac:dyDescent="0.3">
      <c r="A178" s="154"/>
      <c r="B178" s="588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63" t="s">
        <v>1416</v>
      </c>
      <c r="D178" s="433">
        <f>SUMIFS(Пр.10!G$10:G$1682,Пр.10!$D$10:$D$1682,C178)</f>
        <v>5131090</v>
      </c>
      <c r="E178" s="434">
        <f>SUMIFS(Пр.10!H$10:H$1682,Пр.10!$D$10:$D$1682,C178)</f>
        <v>21557</v>
      </c>
      <c r="F178" s="784">
        <f>SUMIFS(Пр.10!I$10:I$1682,Пр.10!$D$10:$D$1682,C178)</f>
        <v>5152647</v>
      </c>
    </row>
    <row r="179" spans="1:6" s="139" customFormat="1" ht="48" hidden="1" thickBot="1" x14ac:dyDescent="0.25">
      <c r="A179" s="148"/>
      <c r="B179" s="411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364" t="s">
        <v>1458</v>
      </c>
      <c r="D179" s="395">
        <f>SUMIFS(Пр.10!G$10:G$1682,Пр.10!$D$10:$D$1682,C179)</f>
        <v>0</v>
      </c>
      <c r="E179" s="395">
        <f>SUMIFS(Пр.10!H$10:H$1682,Пр.10!$D$10:$D$1682,C179)</f>
        <v>0</v>
      </c>
      <c r="F179" s="550">
        <f>SUMIFS(Пр.10!I$10:I$1682,Пр.10!$D$10:$D$1682,C179)</f>
        <v>0</v>
      </c>
    </row>
    <row r="180" spans="1:6" ht="32.25" hidden="1" thickBot="1" x14ac:dyDescent="0.3">
      <c r="A180" s="154"/>
      <c r="B180" s="732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63" t="s">
        <v>1459</v>
      </c>
      <c r="D180" s="433">
        <f>SUMIFS(Пр.10!G$10:G$1682,Пр.10!$D$10:$D$1682,C180)</f>
        <v>0</v>
      </c>
      <c r="E180" s="433">
        <f>SUMIFS(Пр.10!H$10:H$1682,Пр.10!$D$10:$D$1682,C180)</f>
        <v>0</v>
      </c>
      <c r="F180" s="784">
        <f>SUMIFS(Пр.10!I$10:I$1682,Пр.10!$D$10:$D$1682,C180)</f>
        <v>0</v>
      </c>
    </row>
    <row r="181" spans="1:6" ht="48" thickBot="1" x14ac:dyDescent="0.25">
      <c r="A181" s="154"/>
      <c r="B181" s="411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149" t="s">
        <v>1672</v>
      </c>
      <c r="D181" s="395">
        <f>SUMIFS(Пр.10!G$10:G$1682,Пр.10!$D$10:$D$1682,C181)</f>
        <v>254590</v>
      </c>
      <c r="E181" s="395">
        <f>SUMIFS(Пр.10!H$10:H$1682,Пр.10!$D$10:$D$1682,C181)</f>
        <v>0</v>
      </c>
      <c r="F181" s="550">
        <f>SUMIFS(Пр.10!I$10:I$1682,Пр.10!$D$10:$D$1682,C181)</f>
        <v>254590</v>
      </c>
    </row>
    <row r="182" spans="1:6" ht="32.25" thickBot="1" x14ac:dyDescent="0.3">
      <c r="A182" s="154"/>
      <c r="B182" s="688" t="str">
        <f>IF(C182&gt;0,VLOOKUP(C182,Программа!A$2:B$5124,2))</f>
        <v>Стимулирование развития сельскохозяйственного производства</v>
      </c>
      <c r="C182" s="584" t="s">
        <v>1673</v>
      </c>
      <c r="D182" s="400">
        <f>SUMIFS(Пр.10!G$10:G$1682,Пр.10!$D$10:$D$1682,C182)</f>
        <v>250000</v>
      </c>
      <c r="E182" s="400">
        <f>SUMIFS(Пр.10!H$10:H$1682,Пр.10!$D$10:$D$1682,C182)</f>
        <v>0</v>
      </c>
      <c r="F182" s="400">
        <f>SUMIFS(Пр.10!I$10:I$1682,Пр.10!$D$10:$D$1682,C182)</f>
        <v>250000</v>
      </c>
    </row>
    <row r="183" spans="1:6" ht="48" thickBot="1" x14ac:dyDescent="0.3">
      <c r="A183" s="154"/>
      <c r="B183" s="733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495" t="s">
        <v>1674</v>
      </c>
      <c r="D183" s="402">
        <f>SUMIFS(Пр.10!G$10:G$1682,Пр.10!$D$10:$D$1682,C183)</f>
        <v>4590</v>
      </c>
      <c r="E183" s="402">
        <f>SUMIFS(Пр.10!H$10:H$1682,Пр.10!$D$10:$D$1682,C183)</f>
        <v>0</v>
      </c>
      <c r="F183" s="402">
        <f>SUMIFS(Пр.10!I$10:I$1682,Пр.10!$D$10:$D$1682,C183)</f>
        <v>4590</v>
      </c>
    </row>
    <row r="184" spans="1:6" ht="32.25" thickBot="1" x14ac:dyDescent="0.25">
      <c r="A184" s="154"/>
      <c r="B184" s="411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149" t="s">
        <v>1691</v>
      </c>
      <c r="D184" s="395">
        <f>SUMIFS(Пр.10!G$10:G$1682,Пр.10!$D$10:$D$1682,C184)</f>
        <v>326196</v>
      </c>
      <c r="E184" s="395">
        <f>SUMIFS(Пр.10!H$10:H$1682,Пр.10!$D$10:$D$1682,C184)</f>
        <v>0</v>
      </c>
      <c r="F184" s="550">
        <f>SUMIFS(Пр.10!I$10:I$1682,Пр.10!$D$10:$D$1682,C184)</f>
        <v>326196</v>
      </c>
    </row>
    <row r="185" spans="1:6" ht="51.75" customHeight="1" thickBot="1" x14ac:dyDescent="0.3">
      <c r="A185" s="154"/>
      <c r="B185" s="688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584" t="s">
        <v>1692</v>
      </c>
      <c r="D185" s="400">
        <f>SUMIFS(Пр.10!G$10:G$1682,Пр.10!$D$10:$D$1682,C185)</f>
        <v>326196</v>
      </c>
      <c r="E185" s="400">
        <f>SUMIFS(Пр.10!H$10:H$1682,Пр.10!$D$10:$D$1682,C185)</f>
        <v>0</v>
      </c>
      <c r="F185" s="400">
        <f>SUMIFS(Пр.10!I$10:I$1682,Пр.10!$D$10:$D$1682,C185)</f>
        <v>326196</v>
      </c>
    </row>
    <row r="186" spans="1:6" s="139" customFormat="1" ht="16.5" thickBot="1" x14ac:dyDescent="0.25">
      <c r="A186" s="148"/>
      <c r="B186" s="491" t="s">
        <v>129</v>
      </c>
      <c r="C186" s="734"/>
      <c r="D186" s="396">
        <f t="shared" ref="D186:E186" si="1">D147+D135+D127+D124+D121+D118+D115+D112+D107+D95+D85+D80+D78+D62+D60+D48+D27+D10+D149+D152+D155+D159+D164+D166+D169+D172+D179+D177+D184+D181</f>
        <v>2598393387</v>
      </c>
      <c r="E186" s="396">
        <f t="shared" si="1"/>
        <v>13938911.93</v>
      </c>
      <c r="F186" s="396">
        <f>F147+F135+F127+F124+F121+F118+F115+F112+F107+F95+F85+F80+F78+F62+F60+F48+F27+F10+F149+F152+F155+F159+F164+F166+F169+F172+F179+F177+F184+F181</f>
        <v>2612332298.9299998</v>
      </c>
    </row>
    <row r="187" spans="1:6" ht="16.5" thickBot="1" x14ac:dyDescent="0.25">
      <c r="A187" s="153" t="s">
        <v>655</v>
      </c>
      <c r="B187" s="555" t="str">
        <f>IF(C187&gt;0,VLOOKUP(C187,Программа!A$2:B$5124,2))</f>
        <v>Непрограммные расходы бюджета</v>
      </c>
      <c r="C187" s="556" t="s">
        <v>311</v>
      </c>
      <c r="D187" s="788">
        <f>SUMIFS(Пр.10!G$10:G$1682,Пр.10!$D$10:$D$1682,C187)</f>
        <v>200097374.53</v>
      </c>
      <c r="E187" s="795">
        <f>SUMIFS(Пр.10!H$10:H$1682,Пр.10!$D$10:$D$1682,C187)</f>
        <v>3019583.4699999997</v>
      </c>
      <c r="F187" s="796">
        <f>SUMIFS(Пр.10!I$10:I$1682,Пр.10!$D$10:$D$1682,C187)</f>
        <v>203116958</v>
      </c>
    </row>
    <row r="188" spans="1:6" ht="16.5" hidden="1" thickBot="1" x14ac:dyDescent="0.25">
      <c r="A188" s="153"/>
      <c r="B188" s="555" t="str">
        <f>IF(C188&gt;0,VLOOKUP(C188,Программа!A$2:B$5124,2))</f>
        <v>Непрограммные расходы бюджета</v>
      </c>
      <c r="C188" s="651" t="s">
        <v>1527</v>
      </c>
      <c r="D188" s="788">
        <f>SUMIFS(Пр.10!G$10:G$1682,Пр.10!$D$10:$D$1682,C188)</f>
        <v>0</v>
      </c>
      <c r="E188" s="795">
        <f>SUMIFS(Пр.10!H$10:H$1682,Пр.10!$D$10:$D$1682,C188)</f>
        <v>0</v>
      </c>
      <c r="F188" s="796">
        <f>SUMIFS(Пр.10!I$10:I$1682,Пр.10!$D$10:$D$1682,C188)</f>
        <v>0</v>
      </c>
    </row>
    <row r="189" spans="1:6" ht="16.5" thickBot="1" x14ac:dyDescent="0.25">
      <c r="A189" s="153" t="s">
        <v>656</v>
      </c>
      <c r="B189" s="557" t="str">
        <f>IF(C189&gt;0,VLOOKUP(C189,Программа!A$2:B$5124,2))</f>
        <v>Межбюджетные трансферты  поселениям района</v>
      </c>
      <c r="C189" s="558" t="s">
        <v>478</v>
      </c>
      <c r="D189" s="790">
        <f>SUMIFS(Пр.10!G$10:G$1682,Пр.10!$D$10:$D$1682,C189)</f>
        <v>798038.4</v>
      </c>
      <c r="E189" s="408">
        <f>SUMIFS(Пр.10!H$10:H$1682,Пр.10!$D$10:$D$1682,C189)</f>
        <v>0</v>
      </c>
      <c r="F189" s="797">
        <f>SUMIFS(Пр.10!I$10:I$1682,Пр.10!$D$10:$D$1682,C189)</f>
        <v>798038.4</v>
      </c>
    </row>
    <row r="190" spans="1:6" s="139" customFormat="1" ht="16.5" thickBot="1" x14ac:dyDescent="0.25">
      <c r="A190" s="331"/>
      <c r="B190" s="546" t="s">
        <v>657</v>
      </c>
      <c r="C190" s="554"/>
      <c r="D190" s="409">
        <f>D186+D187+D189+D188</f>
        <v>2799288799.9300003</v>
      </c>
      <c r="E190" s="409">
        <f t="shared" ref="E190" si="2">E186+E187+E189+E188</f>
        <v>16958495.399999999</v>
      </c>
      <c r="F190" s="409">
        <f>F186+F187+F189+F188</f>
        <v>2816247295.3299999</v>
      </c>
    </row>
    <row r="191" spans="1:6" x14ac:dyDescent="0.2">
      <c r="C191" s="141"/>
    </row>
    <row r="192" spans="1:6" x14ac:dyDescent="0.2">
      <c r="C192" s="141"/>
    </row>
    <row r="193" spans="3:3" x14ac:dyDescent="0.2">
      <c r="C193" s="141"/>
    </row>
    <row r="194" spans="3:3" x14ac:dyDescent="0.2">
      <c r="C194" s="141"/>
    </row>
    <row r="195" spans="3:3" x14ac:dyDescent="0.2">
      <c r="C195" s="141"/>
    </row>
    <row r="196" spans="3:3" x14ac:dyDescent="0.2">
      <c r="C196" s="141"/>
    </row>
    <row r="197" spans="3:3" x14ac:dyDescent="0.2">
      <c r="C197" s="141"/>
    </row>
    <row r="198" spans="3:3" x14ac:dyDescent="0.2">
      <c r="C198" s="141"/>
    </row>
    <row r="199" spans="3:3" x14ac:dyDescent="0.2">
      <c r="C199" s="141"/>
    </row>
    <row r="200" spans="3:3" x14ac:dyDescent="0.2">
      <c r="C200" s="141"/>
    </row>
    <row r="201" spans="3:3" x14ac:dyDescent="0.2">
      <c r="C201" s="141"/>
    </row>
    <row r="202" spans="3:3" x14ac:dyDescent="0.2">
      <c r="C202" s="141"/>
    </row>
    <row r="203" spans="3:3" x14ac:dyDescent="0.2">
      <c r="C203" s="141"/>
    </row>
    <row r="204" spans="3:3" x14ac:dyDescent="0.2">
      <c r="C204" s="141"/>
    </row>
    <row r="205" spans="3:3" x14ac:dyDescent="0.2">
      <c r="C205" s="141"/>
    </row>
    <row r="206" spans="3:3" x14ac:dyDescent="0.2">
      <c r="C206" s="141"/>
    </row>
    <row r="207" spans="3:3" x14ac:dyDescent="0.2">
      <c r="C207" s="141"/>
    </row>
    <row r="208" spans="3:3" x14ac:dyDescent="0.2">
      <c r="C208" s="141"/>
    </row>
    <row r="209" spans="3:3" x14ac:dyDescent="0.2">
      <c r="C209" s="141"/>
    </row>
    <row r="210" spans="3:3" x14ac:dyDescent="0.2">
      <c r="C210" s="141"/>
    </row>
    <row r="211" spans="3:3" x14ac:dyDescent="0.2">
      <c r="C211" s="141"/>
    </row>
    <row r="212" spans="3:3" x14ac:dyDescent="0.2">
      <c r="C212" s="141"/>
    </row>
    <row r="213" spans="3:3" x14ac:dyDescent="0.2">
      <c r="C213" s="141"/>
    </row>
    <row r="214" spans="3:3" x14ac:dyDescent="0.2">
      <c r="C214" s="141"/>
    </row>
    <row r="215" spans="3:3" x14ac:dyDescent="0.2">
      <c r="C215" s="141"/>
    </row>
    <row r="216" spans="3:3" x14ac:dyDescent="0.2">
      <c r="C216" s="141"/>
    </row>
    <row r="217" spans="3:3" x14ac:dyDescent="0.2">
      <c r="C217" s="141"/>
    </row>
    <row r="218" spans="3:3" x14ac:dyDescent="0.2">
      <c r="C218" s="141"/>
    </row>
    <row r="219" spans="3:3" x14ac:dyDescent="0.2">
      <c r="C219" s="141"/>
    </row>
    <row r="220" spans="3:3" x14ac:dyDescent="0.2">
      <c r="C220" s="141"/>
    </row>
    <row r="221" spans="3:3" x14ac:dyDescent="0.2">
      <c r="C221" s="141"/>
    </row>
    <row r="222" spans="3:3" x14ac:dyDescent="0.2">
      <c r="C222" s="141"/>
    </row>
    <row r="223" spans="3:3" x14ac:dyDescent="0.2">
      <c r="C223" s="141"/>
    </row>
    <row r="224" spans="3:3" x14ac:dyDescent="0.2">
      <c r="C224" s="141"/>
    </row>
    <row r="225" spans="3:3" x14ac:dyDescent="0.2">
      <c r="C225" s="141"/>
    </row>
    <row r="226" spans="3:3" x14ac:dyDescent="0.2">
      <c r="C226" s="141"/>
    </row>
    <row r="227" spans="3:3" x14ac:dyDescent="0.2">
      <c r="C227" s="141"/>
    </row>
    <row r="228" spans="3:3" x14ac:dyDescent="0.2">
      <c r="C228" s="141"/>
    </row>
    <row r="229" spans="3:3" x14ac:dyDescent="0.2">
      <c r="C229" s="141"/>
    </row>
    <row r="230" spans="3:3" x14ac:dyDescent="0.2">
      <c r="C230" s="141"/>
    </row>
    <row r="231" spans="3:3" x14ac:dyDescent="0.2">
      <c r="C231" s="141"/>
    </row>
    <row r="232" spans="3:3" x14ac:dyDescent="0.2">
      <c r="C232" s="141"/>
    </row>
    <row r="233" spans="3:3" x14ac:dyDescent="0.2">
      <c r="C233" s="141"/>
    </row>
    <row r="234" spans="3:3" x14ac:dyDescent="0.2">
      <c r="C234" s="141"/>
    </row>
    <row r="235" spans="3:3" x14ac:dyDescent="0.2">
      <c r="C235" s="141"/>
    </row>
    <row r="236" spans="3:3" x14ac:dyDescent="0.2">
      <c r="C236" s="141"/>
    </row>
    <row r="237" spans="3:3" x14ac:dyDescent="0.2">
      <c r="C237" s="141"/>
    </row>
    <row r="238" spans="3:3" x14ac:dyDescent="0.2">
      <c r="C238" s="141"/>
    </row>
    <row r="239" spans="3:3" x14ac:dyDescent="0.2">
      <c r="C239" s="141"/>
    </row>
    <row r="240" spans="3:3" x14ac:dyDescent="0.2">
      <c r="C240" s="141"/>
    </row>
    <row r="241" spans="3:3" x14ac:dyDescent="0.2">
      <c r="C241" s="141"/>
    </row>
    <row r="242" spans="3:3" x14ac:dyDescent="0.2">
      <c r="C242" s="141"/>
    </row>
    <row r="243" spans="3:3" x14ac:dyDescent="0.2">
      <c r="C243" s="141"/>
    </row>
    <row r="244" spans="3:3" x14ac:dyDescent="0.2">
      <c r="C244" s="141"/>
    </row>
    <row r="245" spans="3:3" x14ac:dyDescent="0.2">
      <c r="C245" s="141"/>
    </row>
    <row r="246" spans="3:3" x14ac:dyDescent="0.2">
      <c r="C246" s="141"/>
    </row>
    <row r="247" spans="3:3" x14ac:dyDescent="0.2">
      <c r="C247" s="141"/>
    </row>
    <row r="248" spans="3:3" x14ac:dyDescent="0.2">
      <c r="C248" s="141"/>
    </row>
    <row r="249" spans="3:3" x14ac:dyDescent="0.2">
      <c r="C249" s="141"/>
    </row>
    <row r="250" spans="3:3" x14ac:dyDescent="0.2">
      <c r="C250" s="141"/>
    </row>
    <row r="251" spans="3:3" x14ac:dyDescent="0.2">
      <c r="C251" s="141"/>
    </row>
    <row r="252" spans="3:3" x14ac:dyDescent="0.2">
      <c r="C252" s="141"/>
    </row>
    <row r="253" spans="3:3" x14ac:dyDescent="0.2">
      <c r="C253" s="141"/>
    </row>
    <row r="254" spans="3:3" x14ac:dyDescent="0.2">
      <c r="C254" s="141"/>
    </row>
    <row r="255" spans="3:3" x14ac:dyDescent="0.2">
      <c r="C255" s="141"/>
    </row>
    <row r="256" spans="3:3" x14ac:dyDescent="0.2">
      <c r="C256" s="141"/>
    </row>
    <row r="257" spans="3:3" x14ac:dyDescent="0.2">
      <c r="C257" s="141"/>
    </row>
    <row r="258" spans="3:3" x14ac:dyDescent="0.2">
      <c r="C258" s="141"/>
    </row>
    <row r="259" spans="3:3" x14ac:dyDescent="0.2">
      <c r="C259" s="141"/>
    </row>
    <row r="260" spans="3:3" x14ac:dyDescent="0.2">
      <c r="C260" s="141"/>
    </row>
    <row r="261" spans="3:3" x14ac:dyDescent="0.2">
      <c r="C261" s="14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60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showGridLines="0" view="pageBreakPreview" topLeftCell="B1" zoomScale="115" zoomScaleSheetLayoutView="115" workbookViewId="0">
      <selection activeCell="B19" sqref="B19"/>
    </sheetView>
  </sheetViews>
  <sheetFormatPr defaultColWidth="9.140625" defaultRowHeight="15.75" x14ac:dyDescent="0.2"/>
  <cols>
    <col min="1" max="1" width="92.28515625" style="372" hidden="1" customWidth="1"/>
    <col min="2" max="2" width="55.85546875" style="372" customWidth="1"/>
    <col min="3" max="3" width="13.140625" style="372" customWidth="1"/>
    <col min="4" max="4" width="16.28515625" style="372" customWidth="1"/>
    <col min="5" max="5" width="15.7109375" style="372" customWidth="1"/>
    <col min="6" max="6" width="16.7109375" style="372" customWidth="1"/>
    <col min="7" max="7" width="17.7109375" style="372" customWidth="1"/>
    <col min="8" max="8" width="21" style="372" customWidth="1"/>
    <col min="9" max="9" width="16.7109375" style="372" customWidth="1"/>
    <col min="10" max="16384" width="9.140625" style="372"/>
  </cols>
  <sheetData>
    <row r="1" spans="1:10" x14ac:dyDescent="0.2">
      <c r="B1" s="929" t="s">
        <v>1534</v>
      </c>
      <c r="C1" s="929"/>
      <c r="D1" s="929"/>
      <c r="E1" s="929"/>
      <c r="F1" s="929"/>
      <c r="G1" s="929"/>
      <c r="H1" s="929"/>
      <c r="I1" s="929"/>
      <c r="J1" s="373"/>
    </row>
    <row r="2" spans="1:10" x14ac:dyDescent="0.2">
      <c r="B2" s="929" t="s">
        <v>1</v>
      </c>
      <c r="C2" s="929"/>
      <c r="D2" s="929"/>
      <c r="E2" s="929"/>
      <c r="F2" s="929"/>
      <c r="G2" s="929"/>
      <c r="H2" s="929"/>
      <c r="I2" s="929"/>
      <c r="J2" s="373"/>
    </row>
    <row r="3" spans="1:10" x14ac:dyDescent="0.2">
      <c r="B3" s="929" t="s">
        <v>2</v>
      </c>
      <c r="C3" s="929"/>
      <c r="D3" s="929"/>
      <c r="E3" s="929"/>
      <c r="F3" s="929"/>
      <c r="G3" s="929"/>
      <c r="H3" s="929"/>
      <c r="I3" s="929"/>
      <c r="J3" s="373"/>
    </row>
    <row r="4" spans="1:10" x14ac:dyDescent="0.2">
      <c r="B4" s="929" t="s">
        <v>1754</v>
      </c>
      <c r="C4" s="929"/>
      <c r="D4" s="929"/>
      <c r="E4" s="929"/>
      <c r="F4" s="929"/>
      <c r="G4" s="929"/>
      <c r="H4" s="929"/>
      <c r="I4" s="929"/>
      <c r="J4" s="373"/>
    </row>
    <row r="5" spans="1:10" x14ac:dyDescent="0.2">
      <c r="B5" s="142"/>
      <c r="C5" s="363"/>
      <c r="D5" s="363"/>
      <c r="E5" s="363"/>
      <c r="F5" s="363"/>
      <c r="G5" s="363"/>
      <c r="H5" s="363"/>
      <c r="I5" s="363"/>
      <c r="J5" s="363"/>
    </row>
    <row r="6" spans="1:10" ht="37.5" customHeight="1" x14ac:dyDescent="0.2">
      <c r="B6" s="835" t="s">
        <v>1633</v>
      </c>
      <c r="C6" s="835"/>
      <c r="D6" s="835"/>
      <c r="E6" s="835"/>
      <c r="F6" s="835"/>
      <c r="G6" s="835"/>
      <c r="H6" s="835"/>
      <c r="I6" s="835"/>
    </row>
    <row r="7" spans="1:10" ht="16.5" thickBot="1" x14ac:dyDescent="0.25">
      <c r="A7" s="142"/>
      <c r="B7" s="142"/>
      <c r="C7" s="142"/>
      <c r="D7" s="142"/>
      <c r="E7" s="932"/>
      <c r="F7" s="932"/>
      <c r="G7" s="932"/>
      <c r="H7" s="932"/>
      <c r="I7" s="932"/>
    </row>
    <row r="8" spans="1:10" ht="16.5" thickBot="1" x14ac:dyDescent="0.25">
      <c r="A8" s="926" t="s">
        <v>571</v>
      </c>
      <c r="B8" s="916" t="s">
        <v>572</v>
      </c>
      <c r="C8" s="927" t="s">
        <v>573</v>
      </c>
      <c r="D8" s="922" t="s">
        <v>1171</v>
      </c>
      <c r="E8" s="924" t="s">
        <v>658</v>
      </c>
      <c r="F8" s="930" t="s">
        <v>1540</v>
      </c>
      <c r="G8" s="922" t="s">
        <v>1386</v>
      </c>
      <c r="H8" s="924" t="s">
        <v>658</v>
      </c>
      <c r="I8" s="930" t="s">
        <v>1634</v>
      </c>
    </row>
    <row r="9" spans="1:10" ht="16.5" thickBot="1" x14ac:dyDescent="0.25">
      <c r="A9" s="926"/>
      <c r="B9" s="917"/>
      <c r="C9" s="928"/>
      <c r="D9" s="923"/>
      <c r="E9" s="925"/>
      <c r="F9" s="931"/>
      <c r="G9" s="923"/>
      <c r="H9" s="925"/>
      <c r="I9" s="931"/>
    </row>
    <row r="10" spans="1:10" s="375" customFormat="1" ht="48" thickBot="1" x14ac:dyDescent="0.25">
      <c r="A10" s="374" t="s">
        <v>575</v>
      </c>
      <c r="B10" s="411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59" t="s">
        <v>396</v>
      </c>
      <c r="D10" s="550">
        <f>SUMIFS(Пр11!G$10:G$1493,Пр11!$D$10:$D$1493,C10)</f>
        <v>144027391</v>
      </c>
      <c r="E10" s="508">
        <f>SUMIFS(Пр11!H$10:H$1493,Пр11!$D$10:$D$1493,C10)</f>
        <v>0</v>
      </c>
      <c r="F10" s="442">
        <f>SUMIFS(Пр11!I$10:I$1493,Пр11!$D$10:$D$1493,C10)</f>
        <v>144027391</v>
      </c>
      <c r="G10" s="550">
        <f>SUMIFS(Пр11!J$10:J$1493,Пр11!$D$10:$D$1493,C10)</f>
        <v>113002391</v>
      </c>
      <c r="H10" s="508">
        <f>SUMIFS(Пр11!K$10:K$1493,Пр11!$D$10:$D$1493,C10)</f>
        <v>0</v>
      </c>
      <c r="I10" s="442">
        <f>SUMIFS(Пр11!L$10:L$1493,Пр11!$D$10:$D$1493,C10)</f>
        <v>113002391</v>
      </c>
    </row>
    <row r="11" spans="1:10" ht="16.5" thickBot="1" x14ac:dyDescent="0.3">
      <c r="A11" s="376" t="s">
        <v>659</v>
      </c>
      <c r="B11" s="696" t="str">
        <f>IF(C11&gt;0,VLOOKUP(C11,Программа!A$2:B$5124,2))</f>
        <v>Ведомственная целевая программа «Молодежь»</v>
      </c>
      <c r="C11" s="701" t="s">
        <v>499</v>
      </c>
      <c r="D11" s="594">
        <f>SUMIFS(Пр11!G$10:G$1493,Пр11!$D$10:$D$1493,C11)</f>
        <v>8000000</v>
      </c>
      <c r="E11" s="575">
        <f>SUMIFS(Пр11!H$10:H$1493,Пр11!$D$10:$D$1493,C11)</f>
        <v>0</v>
      </c>
      <c r="F11" s="575">
        <f>SUMIFS(Пр11!I$10:I$1493,Пр11!$D$10:$D$1493,C11)</f>
        <v>8000000</v>
      </c>
      <c r="G11" s="594">
        <f>SUMIFS(Пр11!J$10:J$1493,Пр11!$D$10:$D$1493,C11)</f>
        <v>5644928</v>
      </c>
      <c r="H11" s="575">
        <f>SUMIFS(Пр11!K$10:K$1493,Пр11!$D$10:$D$1493,C11)</f>
        <v>0</v>
      </c>
      <c r="I11" s="575">
        <f>SUMIFS(Пр11!L$10:L$1493,Пр11!$D$10:$D$1493,C11)</f>
        <v>5644928</v>
      </c>
    </row>
    <row r="12" spans="1:10" ht="48" thickBot="1" x14ac:dyDescent="0.3">
      <c r="A12" s="376"/>
      <c r="B12" s="218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92" t="s">
        <v>501</v>
      </c>
      <c r="D12" s="578">
        <f>SUMIFS(Пр11!G$10:G$1493,Пр11!$D$10:$D$1493,C12)</f>
        <v>8000000</v>
      </c>
      <c r="E12" s="144">
        <f>SUMIFS(Пр11!H$10:H$1493,Пр11!$D$10:$D$1493,C12)</f>
        <v>0</v>
      </c>
      <c r="F12" s="144">
        <f>SUMIFS(Пр11!I$10:I$1493,Пр11!$D$10:$D$1493,C12)</f>
        <v>8000000</v>
      </c>
      <c r="G12" s="578">
        <f>SUMIFS(Пр11!J$10:J$1493,Пр11!$D$10:$D$1493,C12)</f>
        <v>5644928</v>
      </c>
      <c r="H12" s="144">
        <f>SUMIFS(Пр11!K$10:K$1493,Пр11!$D$10:$D$1493,C12)</f>
        <v>0</v>
      </c>
      <c r="I12" s="144">
        <f>SUMIFS(Пр11!L$10:L$1493,Пр11!$D$10:$D$1493,C12)</f>
        <v>5644928</v>
      </c>
    </row>
    <row r="13" spans="1:10" ht="32.25" hidden="1" thickBot="1" x14ac:dyDescent="0.25">
      <c r="A13" s="376"/>
      <c r="B13" s="430" t="str">
        <f>IF(C13&gt;0,VLOOKUP(C13,Программа!A$2:B$5124,2))</f>
        <v>Обеспечение качества и доступности услуг(работ) в сфере молодежной политики</v>
      </c>
      <c r="C13" s="432" t="s">
        <v>1091</v>
      </c>
      <c r="D13" s="387">
        <f>SUMIFS(Пр11!G$10:G$1493,Пр11!$D$10:$D$1493,C13)</f>
        <v>0</v>
      </c>
      <c r="E13" s="387">
        <f>SUMIFS(Пр11!H$10:H$1493,Пр11!$D$10:$D$1493,C13)</f>
        <v>0</v>
      </c>
      <c r="F13" s="433">
        <f>SUMIFS(Пр11!I$10:I$1493,Пр11!$D$10:$D$1493,C13)</f>
        <v>0</v>
      </c>
      <c r="G13" s="433">
        <f>SUMIFS(Пр11!J$10:J$1493,Пр11!$D$10:$D$1493,C13)</f>
        <v>0</v>
      </c>
      <c r="H13" s="433">
        <f>SUMIFS(Пр11!K$10:K$1493,Пр11!$D$10:$D$1493,C13)</f>
        <v>0</v>
      </c>
      <c r="I13" s="434">
        <f>SUMIFS(Пр11!L$10:L$1493,Пр11!$D$10:$D$1493,C13)</f>
        <v>0</v>
      </c>
    </row>
    <row r="14" spans="1:10" ht="63.75" thickBot="1" x14ac:dyDescent="0.25">
      <c r="A14" s="376"/>
      <c r="B14" s="41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2" t="s">
        <v>398</v>
      </c>
      <c r="D14" s="561">
        <f>SUMIFS(Пр11!G$10:G$1493,Пр11!$D$10:$D$1493,C14)</f>
        <v>320000</v>
      </c>
      <c r="E14" s="551">
        <f>SUMIFS(Пр11!H$10:H$1493,Пр11!$D$10:$D$1493,C14)</f>
        <v>0</v>
      </c>
      <c r="F14" s="151">
        <f>SUMIFS(Пр11!I$10:I$1493,Пр11!$D$10:$D$1493,C14)</f>
        <v>320000</v>
      </c>
      <c r="G14" s="561">
        <f>SUMIFS(Пр11!J$10:J$1493,Пр11!$D$10:$D$1493,C14)</f>
        <v>340000</v>
      </c>
      <c r="H14" s="151">
        <f>SUMIFS(Пр11!K$10:K$1493,Пр11!$D$10:$D$1493,C14)</f>
        <v>0</v>
      </c>
      <c r="I14" s="151">
        <f>SUMIFS(Пр11!L$10:L$1493,Пр11!$D$10:$D$1493,C14)</f>
        <v>340000</v>
      </c>
    </row>
    <row r="15" spans="1:10" ht="63.75" thickBot="1" x14ac:dyDescent="0.25">
      <c r="A15" s="381" t="s">
        <v>78</v>
      </c>
      <c r="B15" s="42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3" t="s">
        <v>400</v>
      </c>
      <c r="D15" s="560">
        <f>SUMIFS(Пр11!G$10:G$1493,Пр11!$D$10:$D$1493,C15)</f>
        <v>320000</v>
      </c>
      <c r="E15" s="151">
        <f>SUMIFS(Пр11!H$10:H$1493,Пр11!$D$10:$D$1493,C15)</f>
        <v>0</v>
      </c>
      <c r="F15" s="151">
        <f>SUMIFS(Пр11!I$10:I$1493,Пр11!$D$10:$D$1493,C15)</f>
        <v>320000</v>
      </c>
      <c r="G15" s="560">
        <f>SUMIFS(Пр11!J$10:J$1493,Пр11!$D$10:$D$1493,C15)</f>
        <v>340000</v>
      </c>
      <c r="H15" s="151">
        <f>SUMIFS(Пр11!K$10:K$1493,Пр11!$D$10:$D$1493,C15)</f>
        <v>0</v>
      </c>
      <c r="I15" s="151">
        <f>SUMIFS(Пр11!L$10:L$1493,Пр11!$D$10:$D$1493,C15)</f>
        <v>340000</v>
      </c>
    </row>
    <row r="16" spans="1:10" ht="48" hidden="1" thickBot="1" x14ac:dyDescent="0.25">
      <c r="A16" s="381" t="s">
        <v>578</v>
      </c>
      <c r="B16" s="412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57" t="s">
        <v>403</v>
      </c>
      <c r="D16" s="377">
        <f>SUMIFS(Пр11!G$10:G$1493,Пр11!$D$10:$D$1493,C16)</f>
        <v>0</v>
      </c>
      <c r="E16" s="377">
        <f>SUMIFS(Пр11!H$10:H$1493,Пр11!$D$10:$D$1493,C16)</f>
        <v>0</v>
      </c>
      <c r="F16" s="400">
        <f>SUMIFS(Пр11!I$10:I$1493,Пр11!$D$10:$D$1493,C16)</f>
        <v>0</v>
      </c>
      <c r="G16" s="400">
        <f>SUMIFS(Пр11!J$10:J$1493,Пр11!$D$10:$D$1493,C16)</f>
        <v>0</v>
      </c>
      <c r="H16" s="400">
        <f>SUMIFS(Пр11!K$10:K$1493,Пр11!$D$10:$D$1493,C16)</f>
        <v>0</v>
      </c>
      <c r="I16" s="401">
        <f>SUMIFS(Пр11!L$10:L$1493,Пр11!$D$10:$D$1493,C16)</f>
        <v>0</v>
      </c>
    </row>
    <row r="17" spans="1:9" ht="32.25" hidden="1" thickBot="1" x14ac:dyDescent="0.25">
      <c r="A17" s="381" t="s">
        <v>579</v>
      </c>
      <c r="B17" s="418" t="str">
        <f>IF(C17&gt;0,VLOOKUP(C17,Программа!A$2:B$5124,2))</f>
        <v>Развитие системы профилактики немедицинского потребления наркотиков</v>
      </c>
      <c r="C17" s="156" t="s">
        <v>405</v>
      </c>
      <c r="D17" s="386">
        <f>SUMIFS(Пр11!G$10:G$1493,Пр11!$D$10:$D$1493,C17)</f>
        <v>0</v>
      </c>
      <c r="E17" s="386">
        <f>SUMIFS(Пр11!H$10:H$1493,Пр11!$D$10:$D$1493,C17)</f>
        <v>0</v>
      </c>
      <c r="F17" s="402">
        <f>SUMIFS(Пр11!I$10:I$1493,Пр11!$D$10:$D$1493,C17)</f>
        <v>0</v>
      </c>
      <c r="G17" s="402">
        <f>SUMIFS(Пр11!J$10:J$1493,Пр11!$D$10:$D$1493,C17)</f>
        <v>0</v>
      </c>
      <c r="H17" s="402">
        <f>SUMIFS(Пр11!K$10:K$1493,Пр11!$D$10:$D$1493,C17)</f>
        <v>0</v>
      </c>
      <c r="I17" s="403">
        <f>SUMIFS(Пр11!L$10:L$1493,Пр11!$D$10:$D$1493,C17)</f>
        <v>0</v>
      </c>
    </row>
    <row r="18" spans="1:9" s="383" customFormat="1" ht="48" thickBot="1" x14ac:dyDescent="0.3">
      <c r="A18" s="382"/>
      <c r="B18" s="691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591" t="s">
        <v>494</v>
      </c>
      <c r="D18" s="592">
        <f>SUMIFS(Пр11!G$10:G$1493,Пр11!$D$10:$D$1493,C18)</f>
        <v>135707391</v>
      </c>
      <c r="E18" s="580">
        <f>SUMIFS(Пр11!H$10:H$1493,Пр11!$D$10:$D$1493,C18)</f>
        <v>0</v>
      </c>
      <c r="F18" s="580">
        <f>SUMIFS(Пр11!I$10:I$1493,Пр11!$D$10:$D$1493,C18)</f>
        <v>135707391</v>
      </c>
      <c r="G18" s="592">
        <f>SUMIFS(Пр11!J$10:J$1493,Пр11!$D$10:$D$1493,C18)</f>
        <v>107017463</v>
      </c>
      <c r="H18" s="580">
        <f>SUMIFS(Пр11!K$10:K$1493,Пр11!$D$10:$D$1493,C18)</f>
        <v>0</v>
      </c>
      <c r="I18" s="580">
        <f>SUMIFS(Пр11!L$10:L$1493,Пр11!$D$10:$D$1493,C18)</f>
        <v>107017463</v>
      </c>
    </row>
    <row r="19" spans="1:9" ht="32.25" thickBot="1" x14ac:dyDescent="0.3">
      <c r="A19" s="381"/>
      <c r="B19" s="218" t="str">
        <f>IF(C19&gt;0,VLOOKUP(C19,Программа!A$2:B$5124,2))</f>
        <v>Реализация дополнительных образовательных программ в сфере культуры</v>
      </c>
      <c r="C19" s="217" t="s">
        <v>496</v>
      </c>
      <c r="D19" s="578">
        <f>SUMIFS(Пр11!G$10:G$1493,Пр11!$D$10:$D$1493,C19)</f>
        <v>23318609</v>
      </c>
      <c r="E19" s="144">
        <f>SUMIFS(Пр11!H$10:H$1493,Пр11!$D$10:$D$1493,C19)</f>
        <v>0</v>
      </c>
      <c r="F19" s="144">
        <f>SUMIFS(Пр11!I$10:I$1493,Пр11!$D$10:$D$1493,C19)</f>
        <v>23318609</v>
      </c>
      <c r="G19" s="578">
        <f>SUMIFS(Пр11!J$10:J$1493,Пр11!$D$10:$D$1493,C19)</f>
        <v>20716221</v>
      </c>
      <c r="H19" s="144">
        <f>SUMIFS(Пр11!K$10:K$1493,Пр11!$D$10:$D$1493,C19)</f>
        <v>0</v>
      </c>
      <c r="I19" s="144">
        <f>SUMIFS(Пр11!L$10:L$1493,Пр11!$D$10:$D$1493,C19)</f>
        <v>20716221</v>
      </c>
    </row>
    <row r="20" spans="1:9" ht="16.5" thickBot="1" x14ac:dyDescent="0.3">
      <c r="A20" s="381"/>
      <c r="B20" s="218" t="str">
        <f>IF(C20&gt;0,VLOOKUP(C20,Программа!A$2:B$5124,2))</f>
        <v>Содействие доступу граждан к культурным ценностям</v>
      </c>
      <c r="C20" s="217" t="s">
        <v>512</v>
      </c>
      <c r="D20" s="578">
        <f>SUMIFS(Пр11!G$10:G$1493,Пр11!$D$10:$D$1493,C20)</f>
        <v>73077200</v>
      </c>
      <c r="E20" s="144">
        <f>SUMIFS(Пр11!H$10:H$1493,Пр11!$D$10:$D$1493,C20)</f>
        <v>0</v>
      </c>
      <c r="F20" s="144">
        <f>SUMIFS(Пр11!I$10:I$1493,Пр11!$D$10:$D$1493,C20)</f>
        <v>73077200</v>
      </c>
      <c r="G20" s="578">
        <f>SUMIFS(Пр11!J$10:J$1493,Пр11!$D$10:$D$1493,C20)</f>
        <v>62874077</v>
      </c>
      <c r="H20" s="144">
        <f>SUMIFS(Пр11!K$10:K$1493,Пр11!$D$10:$D$1493,C20)</f>
        <v>0</v>
      </c>
      <c r="I20" s="144">
        <f>SUMIFS(Пр11!L$10:L$1493,Пр11!$D$10:$D$1493,C20)</f>
        <v>62874077</v>
      </c>
    </row>
    <row r="21" spans="1:9" ht="32.25" thickBot="1" x14ac:dyDescent="0.3">
      <c r="A21" s="381" t="s">
        <v>582</v>
      </c>
      <c r="B21" s="218" t="str">
        <f>IF(C21&gt;0,VLOOKUP(C21,Программа!A$2:B$5124,2))</f>
        <v>Поддержка доступа граждан к информационно-библиотечным ресурсам</v>
      </c>
      <c r="C21" s="217" t="s">
        <v>517</v>
      </c>
      <c r="D21" s="578">
        <f>SUMIFS(Пр11!G$10:G$1493,Пр11!$D$10:$D$1493,C21)</f>
        <v>22011582</v>
      </c>
      <c r="E21" s="144">
        <f>SUMIFS(Пр11!H$10:H$1493,Пр11!$D$10:$D$1493,C21)</f>
        <v>0</v>
      </c>
      <c r="F21" s="144">
        <f>SUMIFS(Пр11!I$10:I$1493,Пр11!$D$10:$D$1493,C21)</f>
        <v>22011582</v>
      </c>
      <c r="G21" s="578">
        <f>SUMIFS(Пр11!J$10:J$1493,Пр11!$D$10:$D$1493,C21)</f>
        <v>23427165</v>
      </c>
      <c r="H21" s="144">
        <f>SUMIFS(Пр11!K$10:K$1493,Пр11!$D$10:$D$1493,C21)</f>
        <v>0</v>
      </c>
      <c r="I21" s="144">
        <f>SUMIFS(Пр11!L$10:L$1493,Пр11!$D$10:$D$1493,C21)</f>
        <v>23427165</v>
      </c>
    </row>
    <row r="22" spans="1:9" ht="32.25" thickBot="1" x14ac:dyDescent="0.3">
      <c r="A22" s="381" t="s">
        <v>583</v>
      </c>
      <c r="B22" s="218" t="str">
        <f>IF(C22&gt;0,VLOOKUP(C22,Программа!A$2:B$5124,2))</f>
        <v>Обеспечение эффективности управления системой культуры</v>
      </c>
      <c r="C22" s="217" t="s">
        <v>520</v>
      </c>
      <c r="D22" s="576">
        <f>SUMIFS(Пр11!G$10:G$1493,Пр11!$D$10:$D$1493,C22)</f>
        <v>12300000</v>
      </c>
      <c r="E22" s="144">
        <f>SUMIFS(Пр11!H$10:H$1493,Пр11!$D$10:$D$1493,C22)</f>
        <v>0</v>
      </c>
      <c r="F22" s="144">
        <f>SUMIFS(Пр11!I$10:I$1493,Пр11!$D$10:$D$1493,C22)</f>
        <v>12300000</v>
      </c>
      <c r="G22" s="576">
        <f>SUMIFS(Пр11!J$10:J$1493,Пр11!$D$10:$D$1493,C22)</f>
        <v>0</v>
      </c>
      <c r="H22" s="585">
        <f>SUMIFS(Пр11!K$10:K$1493,Пр11!$D$10:$D$1493,C22)</f>
        <v>0</v>
      </c>
      <c r="I22" s="144">
        <f>SUMIFS(Пр11!L$10:L$1493,Пр11!$D$10:$D$1493,C22)</f>
        <v>0</v>
      </c>
    </row>
    <row r="23" spans="1:9" ht="16.5" thickBot="1" x14ac:dyDescent="0.3">
      <c r="A23" s="381"/>
      <c r="B23" s="218" t="str">
        <f>IF(C23&gt;0,VLOOKUP(C23,Программа!A$2:B$5124,2))</f>
        <v>Федеральный проект "Культурная среда"</v>
      </c>
      <c r="C23" s="217" t="s">
        <v>1567</v>
      </c>
      <c r="D23" s="578">
        <f>SUMIFS(Пр11!G$10:G$1493,Пр11!$D$10:$D$1493,C23)</f>
        <v>5000000</v>
      </c>
      <c r="E23" s="144">
        <f>SUMIFS(Пр11!H$10:H$1493,Пр11!$D$10:$D$1493,C23)</f>
        <v>0</v>
      </c>
      <c r="F23" s="144">
        <f>SUMIFS(Пр11!I$10:I$1493,Пр11!$D$10:$D$1493,C23)</f>
        <v>5000000</v>
      </c>
      <c r="G23" s="578">
        <f>SUMIFS(Пр11!J$10:J$1493,Пр11!$D$10:$D$1493,C23)</f>
        <v>0</v>
      </c>
      <c r="H23" s="144"/>
      <c r="I23" s="144">
        <f>SUMIFS(Пр11!L$10:L$1493,Пр11!$D$10:$D$1493,C23)</f>
        <v>0</v>
      </c>
    </row>
    <row r="24" spans="1:9" ht="48" hidden="1" thickBot="1" x14ac:dyDescent="0.25">
      <c r="A24" s="381" t="s">
        <v>660</v>
      </c>
      <c r="B24" s="412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57" t="s">
        <v>489</v>
      </c>
      <c r="D24" s="553">
        <f>SUMIFS(Пр11!G$10:G$1493,Пр11!$D$10:$D$1493,C24)</f>
        <v>0</v>
      </c>
      <c r="E24" s="427">
        <f>SUMIFS(Пр11!H$10:H$1493,Пр11!$D$10:$D$1493,C24)</f>
        <v>0</v>
      </c>
      <c r="F24" s="435">
        <f>SUMIFS(Пр11!I$10:I$1493,Пр11!$D$10:$D$1493,C24)</f>
        <v>0</v>
      </c>
      <c r="G24" s="541">
        <f>SUMIFS(Пр11!J$10:J$1493,Пр11!$D$10:$D$1493,C24)</f>
        <v>0</v>
      </c>
      <c r="H24" s="428">
        <f>SUMIFS(Пр11!K$10:K$1493,Пр11!$D$10:$D$1493,C24)</f>
        <v>0</v>
      </c>
      <c r="I24" s="397">
        <f>SUMIFS(Пр11!L$10:L$1493,Пр11!$D$10:$D$1493,C24)</f>
        <v>0</v>
      </c>
    </row>
    <row r="25" spans="1:9" ht="32.25" hidden="1" thickBot="1" x14ac:dyDescent="0.25">
      <c r="A25" s="381" t="s">
        <v>584</v>
      </c>
      <c r="B25" s="418" t="str">
        <f>IF(C25&gt;0,VLOOKUP(C25,Программа!A$2:B$5124,2))</f>
        <v>Создание благоприятных условий для развития туризма</v>
      </c>
      <c r="C25" s="156" t="s">
        <v>491</v>
      </c>
      <c r="D25" s="499">
        <f>SUMIFS(Пр11!G$10:G$1493,Пр11!$D$10:$D$1493,C25)</f>
        <v>0</v>
      </c>
      <c r="E25" s="426">
        <f>SUMIFS(Пр11!H$10:H$1493,Пр11!$D$10:$D$1493,C25)</f>
        <v>0</v>
      </c>
      <c r="F25" s="503">
        <f>SUMIFS(Пр11!I$10:I$1493,Пр11!$D$10:$D$1493,C25)</f>
        <v>0</v>
      </c>
      <c r="G25" s="528">
        <f>SUMIFS(Пр11!J$10:J$1493,Пр11!$D$10:$D$1493,C25)</f>
        <v>0</v>
      </c>
      <c r="H25" s="516">
        <f>SUMIFS(Пр11!K$10:K$1493,Пр11!$D$10:$D$1493,C25)</f>
        <v>0</v>
      </c>
      <c r="I25" s="398">
        <f>SUMIFS(Пр11!L$10:L$1493,Пр11!$D$10:$D$1493,C25)</f>
        <v>0</v>
      </c>
    </row>
    <row r="26" spans="1:9" ht="48" thickBot="1" x14ac:dyDescent="0.25">
      <c r="A26" s="381" t="s">
        <v>585</v>
      </c>
      <c r="B26" s="411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559" t="s">
        <v>367</v>
      </c>
      <c r="D26" s="550">
        <f>SUMIFS(Пр11!G$10:G$1493,Пр11!$D$10:$D$1493,C26)</f>
        <v>1074428262</v>
      </c>
      <c r="E26" s="508">
        <f>SUMIFS(Пр11!H$10:H$1493,Пр11!$D$10:$D$1493,C26)</f>
        <v>0</v>
      </c>
      <c r="F26" s="442">
        <f>SUMIFS(Пр11!I$10:I$1493,Пр11!$D$10:$D$1493,C26)</f>
        <v>1074428262</v>
      </c>
      <c r="G26" s="550">
        <f>SUMIFS(Пр11!J$10:J$1493,Пр11!$D$10:$D$1493,C26)</f>
        <v>1243548137</v>
      </c>
      <c r="H26" s="508">
        <f>SUMIFS(Пр11!K$10:K$1493,Пр11!$D$10:$D$1493,C26)</f>
        <v>0</v>
      </c>
      <c r="I26" s="442">
        <f>SUMIFS(Пр11!L$10:L$1493,Пр11!$D$10:$D$1493,C26)</f>
        <v>1243548137</v>
      </c>
    </row>
    <row r="27" spans="1:9" ht="48" thickBot="1" x14ac:dyDescent="0.3">
      <c r="A27" s="381" t="s">
        <v>586</v>
      </c>
      <c r="B27" s="696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593" t="s">
        <v>369</v>
      </c>
      <c r="D27" s="697">
        <f>SUMIFS(Пр11!G$10:G$1493,Пр11!$D$10:$D$1493,C27)</f>
        <v>1033284354</v>
      </c>
      <c r="E27" s="698">
        <f>SUMIFS(Пр11!H$10:H$1493,Пр11!$D$10:$D$1493,C27)</f>
        <v>0</v>
      </c>
      <c r="F27" s="575">
        <f>SUMIFS(Пр11!I$10:I$1493,Пр11!$D$10:$D$1493,C27)</f>
        <v>1033284354</v>
      </c>
      <c r="G27" s="697">
        <f>SUMIFS(Пр11!J$10:J$1493,Пр11!$D$10:$D$1493,C27)</f>
        <v>950929402</v>
      </c>
      <c r="H27" s="698">
        <f>SUMIFS(Пр11!K$10:K$1493,Пр11!$D$10:$D$1493,C27)</f>
        <v>0</v>
      </c>
      <c r="I27" s="575">
        <f>SUMIFS(Пр11!L$10:L$1493,Пр11!$D$10:$D$1493,C27)</f>
        <v>950929402</v>
      </c>
    </row>
    <row r="28" spans="1:9" ht="48" thickBot="1" x14ac:dyDescent="0.3">
      <c r="A28" s="381" t="s">
        <v>587</v>
      </c>
      <c r="B28" s="218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17" t="s">
        <v>370</v>
      </c>
      <c r="D28" s="695">
        <f>SUMIFS(Пр11!G$10:G$1493,Пр11!$D$10:$D$1493,C28)</f>
        <v>398328457</v>
      </c>
      <c r="E28" s="687">
        <f>SUMIFS(Пр11!H$10:H$1493,Пр11!$D$10:$D$1493,C28)</f>
        <v>0</v>
      </c>
      <c r="F28" s="144">
        <f>SUMIFS(Пр11!I$10:I$1493,Пр11!$D$10:$D$1493,C28)</f>
        <v>398328457</v>
      </c>
      <c r="G28" s="695">
        <f>SUMIFS(Пр11!J$10:J$1493,Пр11!$D$10:$D$1493,C28)</f>
        <v>349920457</v>
      </c>
      <c r="H28" s="687">
        <f>SUMIFS(Пр11!K$10:K$1493,Пр11!$D$10:$D$1493,C28)</f>
        <v>0</v>
      </c>
      <c r="I28" s="144">
        <f>SUMIFS(Пр11!L$10:L$1493,Пр11!$D$10:$D$1493,C28)</f>
        <v>349920457</v>
      </c>
    </row>
    <row r="29" spans="1:9" ht="32.25" thickBot="1" x14ac:dyDescent="0.3">
      <c r="A29" s="381"/>
      <c r="B29" s="218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17" t="s">
        <v>409</v>
      </c>
      <c r="D29" s="700">
        <f>SUMIFS(Пр11!G$10:G$1493,Пр11!$D$10:$D$1493,C29)</f>
        <v>499852113</v>
      </c>
      <c r="E29" s="699">
        <f>SUMIFS(Пр11!H$10:H$1493,Пр11!$D$10:$D$1493,C29)</f>
        <v>0</v>
      </c>
      <c r="F29" s="144">
        <f>SUMIFS(Пр11!I$10:I$1493,Пр11!$D$10:$D$1493,C29)</f>
        <v>499852113</v>
      </c>
      <c r="G29" s="700">
        <f>SUMIFS(Пр11!J$10:J$1493,Пр11!$D$10:$D$1493,C29)</f>
        <v>474789040</v>
      </c>
      <c r="H29" s="699">
        <f>SUMIFS(Пр11!K$10:K$1493,Пр11!$D$10:$D$1493,C29)</f>
        <v>0</v>
      </c>
      <c r="I29" s="144">
        <f>SUMIFS(Пр11!L$10:L$1493,Пр11!$D$10:$D$1493,C29)</f>
        <v>474789040</v>
      </c>
    </row>
    <row r="30" spans="1:9" ht="48" thickBot="1" x14ac:dyDescent="0.3">
      <c r="A30" s="381"/>
      <c r="B30" s="218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17" t="s">
        <v>431</v>
      </c>
      <c r="D30" s="578">
        <f>SUMIFS(Пр11!G$10:G$1493,Пр11!$D$10:$D$1493,C30)</f>
        <v>46919472</v>
      </c>
      <c r="E30" s="144">
        <f>SUMIFS(Пр11!H$10:H$1493,Пр11!$D$10:$D$1493,C30)</f>
        <v>0</v>
      </c>
      <c r="F30" s="144">
        <f>SUMIFS(Пр11!I$10:I$1493,Пр11!$D$10:$D$1493,C30)</f>
        <v>46919472</v>
      </c>
      <c r="G30" s="578">
        <f>SUMIFS(Пр11!J$10:J$1493,Пр11!$D$10:$D$1493,C30)</f>
        <v>45219472</v>
      </c>
      <c r="H30" s="144">
        <f>SUMIFS(Пр11!K$10:K$1493,Пр11!$D$10:$D$1493,C30)</f>
        <v>0</v>
      </c>
      <c r="I30" s="144">
        <f>SUMIFS(Пр11!L$10:L$1493,Пр11!$D$10:$D$1493,C30)</f>
        <v>45219472</v>
      </c>
    </row>
    <row r="31" spans="1:9" ht="32.25" hidden="1" thickBot="1" x14ac:dyDescent="0.25">
      <c r="A31" s="381" t="s">
        <v>590</v>
      </c>
      <c r="B31" s="430" t="str">
        <f>IF(C31&gt;0,VLOOKUP(C31,Программа!A$2:B$5124,2))</f>
        <v>Повышение мотивации участников образовательного процесса</v>
      </c>
      <c r="C31" s="158" t="s">
        <v>411</v>
      </c>
      <c r="D31" s="387">
        <f>SUMIFS(Пр11!G$10:G$1493,Пр11!$D$10:$D$1493,C31)</f>
        <v>0</v>
      </c>
      <c r="E31" s="378">
        <f>SUMIFS(Пр11!H$10:H$1493,Пр11!$D$10:$D$1493,C31)</f>
        <v>0</v>
      </c>
      <c r="F31" s="433">
        <f>SUMIFS(Пр11!I$10:I$1493,Пр11!$D$10:$D$1493,C31)</f>
        <v>0</v>
      </c>
      <c r="G31" s="433">
        <f>SUMIFS(Пр11!J$10:J$1493,Пр11!$D$10:$D$1493,C31)</f>
        <v>0</v>
      </c>
      <c r="H31" s="400">
        <f>SUMIFS(Пр11!K$10:K$1493,Пр11!$D$10:$D$1493,C31)</f>
        <v>0</v>
      </c>
      <c r="I31" s="434">
        <f>SUMIFS(Пр11!L$10:L$1493,Пр11!$D$10:$D$1493,C31)</f>
        <v>0</v>
      </c>
    </row>
    <row r="32" spans="1:9" ht="63.75" thickBot="1" x14ac:dyDescent="0.3">
      <c r="A32" s="381" t="s">
        <v>591</v>
      </c>
      <c r="B32" s="218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17" t="s">
        <v>388</v>
      </c>
      <c r="D32" s="686">
        <f>SUMIFS(Пр11!G$10:G$1493,Пр11!$D$10:$D$1493,C32)</f>
        <v>8084600</v>
      </c>
      <c r="E32" s="687">
        <f>SUMIFS(Пр11!H$10:H$1493,Пр11!$D$10:$D$1493,C32)</f>
        <v>0</v>
      </c>
      <c r="F32" s="144">
        <f>SUMIFS(Пр11!I$10:I$1493,Пр11!$D$10:$D$1493,C32)</f>
        <v>8084600</v>
      </c>
      <c r="G32" s="686">
        <f>SUMIFS(Пр11!J$10:J$1493,Пр11!$D$10:$D$1493,C32)</f>
        <v>4084600</v>
      </c>
      <c r="H32" s="687">
        <f>SUMIFS(Пр11!K$10:K$1493,Пр11!$D$10:$D$1493,C32)</f>
        <v>0</v>
      </c>
      <c r="I32" s="144">
        <f>SUMIFS(Пр11!L$10:L$1493,Пр11!$D$10:$D$1493,C32)</f>
        <v>4084600</v>
      </c>
    </row>
    <row r="33" spans="1:9" ht="48" thickBot="1" x14ac:dyDescent="0.3">
      <c r="A33" s="381" t="s">
        <v>592</v>
      </c>
      <c r="B33" s="218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17" t="s">
        <v>416</v>
      </c>
      <c r="D33" s="695">
        <f>SUMIFS(Пр11!G$10:G$1493,Пр11!$D$10:$D$1493,C33)</f>
        <v>30835562</v>
      </c>
      <c r="E33" s="687">
        <f>SUMIFS(Пр11!H$10:H$1493,Пр11!$D$10:$D$1493,C33)</f>
        <v>0</v>
      </c>
      <c r="F33" s="144">
        <f>SUMIFS(Пр11!I$10:I$1493,Пр11!$D$10:$D$1493,C33)</f>
        <v>30835562</v>
      </c>
      <c r="G33" s="695">
        <f>SUMIFS(Пр11!J$10:J$1493,Пр11!$D$10:$D$1493,C33)</f>
        <v>30835562</v>
      </c>
      <c r="H33" s="687">
        <f>SUMIFS(Пр11!K$10:K$1493,Пр11!$D$10:$D$1493,C33)</f>
        <v>0</v>
      </c>
      <c r="I33" s="144">
        <f>SUMIFS(Пр11!L$10:L$1493,Пр11!$D$10:$D$1493,C33)</f>
        <v>30835562</v>
      </c>
    </row>
    <row r="34" spans="1:9" ht="32.25" thickBot="1" x14ac:dyDescent="0.3">
      <c r="A34" s="381"/>
      <c r="B34" s="218" t="str">
        <f>IF(C34&gt;0,VLOOKUP(C34,Программа!A$2:B$5124,2))</f>
        <v>Обеспечение детей организованными формами отдыха и оздоровления</v>
      </c>
      <c r="C34" s="217" t="s">
        <v>1055</v>
      </c>
      <c r="D34" s="695">
        <f>SUMIFS(Пр11!G$10:G$1493,Пр11!$D$10:$D$1493,C34)</f>
        <v>6296198</v>
      </c>
      <c r="E34" s="687">
        <f>SUMIFS(Пр11!H$10:H$1493,Пр11!$D$10:$D$1493,C34)</f>
        <v>0</v>
      </c>
      <c r="F34" s="144">
        <f>SUMIFS(Пр11!I$10:I$1493,Пр11!$D$10:$D$1493,C34)</f>
        <v>6296198</v>
      </c>
      <c r="G34" s="695">
        <f>SUMIFS(Пр11!J$10:J$1493,Пр11!$D$10:$D$1493,C34)</f>
        <v>6296198</v>
      </c>
      <c r="H34" s="687">
        <f>SUMIFS(Пр11!K$10:K$1493,Пр11!$D$10:$D$1493,C34)</f>
        <v>0</v>
      </c>
      <c r="I34" s="144">
        <f>SUMIFS(Пр11!L$10:L$1493,Пр11!$D$10:$D$1493,C34)</f>
        <v>6296198</v>
      </c>
    </row>
    <row r="35" spans="1:9" ht="16.5" thickBot="1" x14ac:dyDescent="0.3">
      <c r="A35" s="381"/>
      <c r="B35" s="218" t="str">
        <f>IF(C35&gt;0,VLOOKUP(C35,Программа!A$2:B$5124,2))</f>
        <v>Обеспечение компенсационных выплат</v>
      </c>
      <c r="C35" s="217" t="s">
        <v>1060</v>
      </c>
      <c r="D35" s="695">
        <f>SUMIFS(Пр11!G$10:G$1493,Пр11!$D$10:$D$1493,C35)</f>
        <v>9355500</v>
      </c>
      <c r="E35" s="687">
        <f>SUMIFS(Пр11!H$10:H$1493,Пр11!$D$10:$D$1493,C35)</f>
        <v>0</v>
      </c>
      <c r="F35" s="144">
        <f>SUMIFS(Пр11!I$10:I$1493,Пр11!$D$10:$D$1493,C35)</f>
        <v>9355500</v>
      </c>
      <c r="G35" s="695">
        <f>SUMIFS(Пр11!J$10:J$1493,Пр11!$D$10:$D$1493,C35)</f>
        <v>9355500</v>
      </c>
      <c r="H35" s="687">
        <f>SUMIFS(Пр11!K$10:K$1493,Пр11!$D$10:$D$1493,C35)</f>
        <v>0</v>
      </c>
      <c r="I35" s="144">
        <f>SUMIFS(Пр11!L$10:L$1493,Пр11!$D$10:$D$1493,C35)</f>
        <v>9355500</v>
      </c>
    </row>
    <row r="36" spans="1:9" ht="32.25" thickBot="1" x14ac:dyDescent="0.3">
      <c r="A36" s="381"/>
      <c r="B36" s="218" t="str">
        <f>IF(C36&gt;0,VLOOKUP(C36,Программа!A$2:B$5124,2))</f>
        <v>Обеспечение эффективности управления системой образования</v>
      </c>
      <c r="C36" s="217" t="s">
        <v>1057</v>
      </c>
      <c r="D36" s="695">
        <f>SUMIFS(Пр11!G$10:G$1493,Пр11!$D$10:$D$1493,C36)</f>
        <v>31768012</v>
      </c>
      <c r="E36" s="687">
        <f>SUMIFS(Пр11!H$10:H$1493,Пр11!$D$10:$D$1493,C36)</f>
        <v>0</v>
      </c>
      <c r="F36" s="144">
        <f>SUMIFS(Пр11!I$10:I$1493,Пр11!$D$10:$D$1493,C36)</f>
        <v>31768012</v>
      </c>
      <c r="G36" s="695">
        <f>SUMIFS(Пр11!J$10:J$1493,Пр11!$D$10:$D$1493,C36)</f>
        <v>28344713</v>
      </c>
      <c r="H36" s="687">
        <f>SUMIFS(Пр11!K$10:K$1493,Пр11!$D$10:$D$1493,C36)</f>
        <v>0</v>
      </c>
      <c r="I36" s="144">
        <f>SUMIFS(Пр11!L$10:L$1493,Пр11!$D$10:$D$1493,C36)</f>
        <v>28344713</v>
      </c>
    </row>
    <row r="37" spans="1:9" ht="16.5" thickBot="1" x14ac:dyDescent="0.3">
      <c r="A37" s="381"/>
      <c r="B37" s="218" t="str">
        <f>IF(C37&gt;0,VLOOKUP(C37,Программа!A$2:B$5124,2))</f>
        <v>Региональный проект "Успех каждого ребенка"</v>
      </c>
      <c r="C37" s="217" t="s">
        <v>1427</v>
      </c>
      <c r="D37" s="695">
        <f>SUMIFS(Пр11!G$10:G$1493,Пр11!$D$10:$D$1493,C37)</f>
        <v>1844440</v>
      </c>
      <c r="E37" s="687">
        <f>SUMIFS(Пр11!H$10:H$1493,Пр11!$D$10:$D$1493,C37)</f>
        <v>0</v>
      </c>
      <c r="F37" s="144">
        <f>SUMIFS(Пр11!I$10:I$1493,Пр11!$D$10:$D$1493,C37)</f>
        <v>1844440</v>
      </c>
      <c r="G37" s="695">
        <f>SUMIFS(Пр11!J$10:J$1493,Пр11!$D$10:$D$1493,C37)</f>
        <v>2083860</v>
      </c>
      <c r="H37" s="687">
        <f>SUMIFS(Пр11!K$10:K$1493,Пр11!$D$10:$D$1493,C37)</f>
        <v>0</v>
      </c>
      <c r="I37" s="144">
        <f>SUMIFS(Пр11!L$10:L$1493,Пр11!$D$10:$D$1493,C37)</f>
        <v>2083860</v>
      </c>
    </row>
    <row r="38" spans="1:9" ht="48" thickBot="1" x14ac:dyDescent="0.3">
      <c r="A38" s="381"/>
      <c r="B38" s="218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17" t="s">
        <v>418</v>
      </c>
      <c r="D38" s="695">
        <f>SUMIFS(Пр11!G$10:G$1493,Пр11!$D$10:$D$1493,C38)</f>
        <v>5000</v>
      </c>
      <c r="E38" s="687">
        <f>SUMIFS(Пр11!H$10:H$1493,Пр11!$D$10:$D$1493,C38)</f>
        <v>0</v>
      </c>
      <c r="F38" s="144">
        <f>SUMIFS(Пр11!I$10:I$1493,Пр11!$D$10:$D$1493,C38)</f>
        <v>5000</v>
      </c>
      <c r="G38" s="695">
        <f>SUMIFS(Пр11!J$10:J$1493,Пр11!$D$10:$D$1493,C38)</f>
        <v>5000</v>
      </c>
      <c r="H38" s="687">
        <f>SUMIFS(Пр11!K$10:K$1493,Пр11!$D$10:$D$1493,C38)</f>
        <v>0</v>
      </c>
      <c r="I38" s="144">
        <f>SUMIFS(Пр11!L$10:L$1493,Пр11!$D$10:$D$1493,C38)</f>
        <v>5000</v>
      </c>
    </row>
    <row r="39" spans="1:9" ht="48" thickBot="1" x14ac:dyDescent="0.3">
      <c r="A39" s="381"/>
      <c r="B39" s="218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17" t="s">
        <v>420</v>
      </c>
      <c r="D39" s="695">
        <f>SUMIFS(Пр11!G$10:G$1493,Пр11!$D$10:$D$1493,C39)</f>
        <v>5000</v>
      </c>
      <c r="E39" s="687">
        <f>SUMIFS(Пр11!H$10:H$1493,Пр11!$D$10:$D$1493,C39)</f>
        <v>0</v>
      </c>
      <c r="F39" s="144">
        <f>SUMIFS(Пр11!I$10:I$1493,Пр11!$D$10:$D$1493,C39)</f>
        <v>5000</v>
      </c>
      <c r="G39" s="695">
        <f>SUMIFS(Пр11!J$10:J$1493,Пр11!$D$10:$D$1493,C39)</f>
        <v>5000</v>
      </c>
      <c r="H39" s="687">
        <f>SUMIFS(Пр11!K$10:K$1493,Пр11!$D$10:$D$1493,C39)</f>
        <v>0</v>
      </c>
      <c r="I39" s="144">
        <f>SUMIFS(Пр11!L$10:L$1493,Пр11!$D$10:$D$1493,C39)</f>
        <v>5000</v>
      </c>
    </row>
    <row r="40" spans="1:9" ht="16.5" hidden="1" thickBot="1" x14ac:dyDescent="0.3">
      <c r="A40" s="381"/>
      <c r="B40" s="218"/>
      <c r="C40" s="217"/>
      <c r="D40" s="695">
        <f>SUMIFS(Пр11!G$10:G$1493,Пр11!$D$10:$D$1493,C40)</f>
        <v>0</v>
      </c>
      <c r="E40" s="687">
        <f>SUMIFS(Пр11!H$10:H$1493,Пр11!$D$10:$D$1493,C40)</f>
        <v>0</v>
      </c>
      <c r="F40" s="144">
        <f>SUMIFS(Пр11!I$10:I$1493,Пр11!$D$10:$D$1493,C40)</f>
        <v>0</v>
      </c>
      <c r="G40" s="695">
        <f>SUMIFS(Пр11!J$10:J$1493,Пр11!$D$10:$D$1493,C40)</f>
        <v>0</v>
      </c>
      <c r="H40" s="687">
        <f>SUMIFS(Пр11!K$10:K$1493,Пр11!$D$10:$D$1493,C40)</f>
        <v>0</v>
      </c>
      <c r="I40" s="144">
        <f>SUMIFS(Пр11!L$10:L$1493,Пр11!$D$10:$D$1493,C40)</f>
        <v>0</v>
      </c>
    </row>
    <row r="41" spans="1:9" s="383" customFormat="1" ht="48" thickBot="1" x14ac:dyDescent="0.3">
      <c r="A41" s="382"/>
      <c r="B41" s="691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591" t="s">
        <v>386</v>
      </c>
      <c r="D41" s="692">
        <f>SUMIFS(Пр11!G$10:G$1493,Пр11!$D$10:$D$1493,C41)</f>
        <v>40488908</v>
      </c>
      <c r="E41" s="693">
        <f>SUMIFS(Пр11!H$10:H$1493,Пр11!$D$10:$D$1493,C41)</f>
        <v>0</v>
      </c>
      <c r="F41" s="580">
        <f>SUMIFS(Пр11!I$10:I$1493,Пр11!$D$10:$D$1493,C41)</f>
        <v>40488908</v>
      </c>
      <c r="G41" s="692">
        <f>SUMIFS(Пр11!J$10:J$1493,Пр11!$D$10:$D$1493,C41)</f>
        <v>291963735</v>
      </c>
      <c r="H41" s="693">
        <f>SUMIFS(Пр11!K$10:K$1493,Пр11!$D$10:$D$1493,C41)</f>
        <v>0</v>
      </c>
      <c r="I41" s="580">
        <f>SUMIFS(Пр11!L$10:L$1493,Пр11!$D$10:$D$1493,C41)</f>
        <v>291963735</v>
      </c>
    </row>
    <row r="42" spans="1:9" ht="63.75" thickBot="1" x14ac:dyDescent="0.3">
      <c r="A42" s="381"/>
      <c r="B42" s="733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495" t="s">
        <v>441</v>
      </c>
      <c r="D42" s="700">
        <f>SUMIFS(Пр11!G$10:G$1493,Пр11!$D$10:$D$1493,C42)</f>
        <v>24488908</v>
      </c>
      <c r="E42" s="699">
        <f>SUMIFS(Пр11!H$10:H$1493,Пр11!$D$10:$D$1493,C42)</f>
        <v>0</v>
      </c>
      <c r="F42" s="586">
        <f>SUMIFS(Пр11!I$10:I$1493,Пр11!$D$10:$D$1493,C42)</f>
        <v>24488908</v>
      </c>
      <c r="G42" s="700">
        <f>SUMIFS(Пр11!J$10:J$1493,Пр11!$D$10:$D$1493,C42)</f>
        <v>23726855</v>
      </c>
      <c r="H42" s="699">
        <f>SUMIFS(Пр11!K$10:K$1493,Пр11!$D$10:$D$1493,C42)</f>
        <v>0</v>
      </c>
      <c r="I42" s="586">
        <f>SUMIFS(Пр11!L$10:L$1493,Пр11!$D$10:$D$1493,C42)</f>
        <v>23726855</v>
      </c>
    </row>
    <row r="43" spans="1:9" ht="32.25" thickBot="1" x14ac:dyDescent="0.3">
      <c r="A43" s="381"/>
      <c r="B43" s="733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495" t="s">
        <v>387</v>
      </c>
      <c r="D43" s="700">
        <f>SUMIFS(Пр11!G$10:G$1493,Пр11!$D$10:$D$1493,C43)</f>
        <v>16000000</v>
      </c>
      <c r="E43" s="699">
        <f>SUMIFS(Пр11!H$10:H$1493,Пр11!$D$10:$D$1493,C43)</f>
        <v>0</v>
      </c>
      <c r="F43" s="586">
        <f>SUMIFS(Пр11!I$10:I$1493,Пр11!$D$10:$D$1493,C43)</f>
        <v>16000000</v>
      </c>
      <c r="G43" s="700">
        <f>SUMIFS(Пр11!J$10:J$1493,Пр11!$D$10:$D$1493,C43)</f>
        <v>0</v>
      </c>
      <c r="H43" s="699">
        <f>SUMIFS(Пр11!K$10:K$1493,Пр11!$D$10:$D$1493,C43)</f>
        <v>0</v>
      </c>
      <c r="I43" s="586">
        <f>SUMIFS(Пр11!L$10:L$1493,Пр11!$D$10:$D$1493,C43)</f>
        <v>0</v>
      </c>
    </row>
    <row r="44" spans="1:9" ht="16.5" thickBot="1" x14ac:dyDescent="0.25">
      <c r="A44" s="381"/>
      <c r="B44" s="420" t="str">
        <f>IF(C44&gt;0,VLOOKUP(C44,Программа!A$2:B$5124,2))</f>
        <v>Региональный проект "Спорт – норма жизни"</v>
      </c>
      <c r="C44" s="113" t="s">
        <v>1656</v>
      </c>
      <c r="D44" s="379">
        <f>SUMIFS(Пр11!G$10:G$1493,Пр11!$D$10:$D$1493,C44)</f>
        <v>0</v>
      </c>
      <c r="E44" s="379">
        <f>SUMIFS(Пр11!H$10:H$1493,Пр11!$D$10:$D$1493,C44)</f>
        <v>0</v>
      </c>
      <c r="F44" s="151">
        <f>SUMIFS(Пр11!I$10:I$1493,Пр11!$D$10:$D$1493,C44)</f>
        <v>0</v>
      </c>
      <c r="G44" s="151">
        <f>SUMIFS(Пр11!J$10:J$1493,Пр11!$D$10:$D$1493,C44)</f>
        <v>268236880</v>
      </c>
      <c r="H44" s="151">
        <f>SUMIFS(Пр11!K$10:K$1493,Пр11!$D$10:$D$1493,C44)</f>
        <v>0</v>
      </c>
      <c r="I44" s="151">
        <f>SUMIFS(Пр11!L$10:L$1493,Пр11!$D$10:$D$1493,C44)</f>
        <v>268236880</v>
      </c>
    </row>
    <row r="45" spans="1:9" ht="63.75" thickBot="1" x14ac:dyDescent="0.25">
      <c r="A45" s="381"/>
      <c r="B45" s="420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13" t="s">
        <v>1761</v>
      </c>
      <c r="D45" s="379">
        <f>SUMIFS(Пр11!G$10:G$1493,Пр11!$D$10:$D$1493,C45)</f>
        <v>650000</v>
      </c>
      <c r="E45" s="379">
        <f>SUMIFS(Пр11!H$10:H$1493,Пр11!$D$10:$D$1493,C45)</f>
        <v>0</v>
      </c>
      <c r="F45" s="151">
        <f>SUMIFS(Пр11!I$10:I$1493,Пр11!$D$10:$D$1493,C45)</f>
        <v>650000</v>
      </c>
      <c r="G45" s="151">
        <f>SUMIFS(Пр11!J$10:J$1493,Пр11!$D$10:$D$1493,C45)</f>
        <v>650000</v>
      </c>
      <c r="H45" s="151">
        <f>SUMIFS(Пр11!K$10:K$1493,Пр11!$D$10:$D$1493,C45)</f>
        <v>0</v>
      </c>
      <c r="I45" s="151">
        <f>SUMIFS(Пр11!L$10:L$1493,Пр11!$D$10:$D$1493,C45)</f>
        <v>650000</v>
      </c>
    </row>
    <row r="46" spans="1:9" ht="63.75" thickBot="1" x14ac:dyDescent="0.25">
      <c r="A46" s="381"/>
      <c r="B46" s="420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56" t="s">
        <v>1760</v>
      </c>
      <c r="D46" s="379">
        <f>SUMIFS(Пр11!G$10:G$1493,Пр11!$D$10:$D$1493,C46)</f>
        <v>650000</v>
      </c>
      <c r="E46" s="379">
        <f>SUMIFS(Пр11!H$10:H$1493,Пр11!$D$10:$D$1493,C46)</f>
        <v>0</v>
      </c>
      <c r="F46" s="151">
        <f>SUMIFS(Пр11!I$10:I$1493,Пр11!$D$10:$D$1493,C46)</f>
        <v>650000</v>
      </c>
      <c r="G46" s="151">
        <f>SUMIFS(Пр11!J$10:J$1493,Пр11!$D$10:$D$1493,C46)</f>
        <v>650000</v>
      </c>
      <c r="H46" s="151">
        <f>SUMIFS(Пр11!K$10:K$1493,Пр11!$D$10:$D$1493,C46)</f>
        <v>0</v>
      </c>
      <c r="I46" s="151">
        <f>SUMIFS(Пр11!L$10:L$1493,Пр11!$D$10:$D$1493,C46)</f>
        <v>650000</v>
      </c>
    </row>
    <row r="47" spans="1:9" ht="48" thickBot="1" x14ac:dyDescent="0.25">
      <c r="A47" s="381" t="s">
        <v>619</v>
      </c>
      <c r="B47" s="411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559" t="s">
        <v>376</v>
      </c>
      <c r="D47" s="550">
        <f>SUMIFS(Пр11!G$10:G$1493,Пр11!$D$10:$D$1493,C47)</f>
        <v>610851381</v>
      </c>
      <c r="E47" s="508">
        <f>SUMIFS(Пр11!H$10:H$1493,Пр11!$D$10:$D$1493,C47)</f>
        <v>0</v>
      </c>
      <c r="F47" s="442">
        <f>SUMIFS(Пр11!I$10:I$1493,Пр11!$D$10:$D$1493,C47)</f>
        <v>610851381</v>
      </c>
      <c r="G47" s="550">
        <f>SUMIFS(Пр11!J$10:J$1493,Пр11!$D$10:$D$1493,C47)</f>
        <v>634257739</v>
      </c>
      <c r="H47" s="508">
        <f>SUMIFS(Пр11!K$10:K$1493,Пр11!$D$10:$D$1493,C47)</f>
        <v>0</v>
      </c>
      <c r="I47" s="442">
        <f>SUMIFS(Пр11!L$10:L$1493,Пр11!$D$10:$D$1493,C47)</f>
        <v>634257739</v>
      </c>
    </row>
    <row r="48" spans="1:9" ht="48" thickBot="1" x14ac:dyDescent="0.3">
      <c r="A48" s="381"/>
      <c r="B48" s="696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593" t="s">
        <v>446</v>
      </c>
      <c r="D48" s="697">
        <f>SUMIFS(Пр11!G$10:G$1493,Пр11!$D$10:$D$1493,C48)</f>
        <v>610851381</v>
      </c>
      <c r="E48" s="698">
        <f>SUMIFS(Пр11!H$10:H$1493,Пр11!$D$10:$D$1493,C48)</f>
        <v>0</v>
      </c>
      <c r="F48" s="575">
        <f>SUMIFS(Пр11!I$10:I$1493,Пр11!$D$10:$D$1493,C48)</f>
        <v>610851381</v>
      </c>
      <c r="G48" s="697">
        <f>SUMIFS(Пр11!J$10:J$1493,Пр11!$D$10:$D$1493,C48)</f>
        <v>634257739</v>
      </c>
      <c r="H48" s="698">
        <f>SUMIFS(Пр11!K$10:K$1493,Пр11!$D$10:$D$1493,C48)</f>
        <v>0</v>
      </c>
      <c r="I48" s="575">
        <f>SUMIFS(Пр11!L$10:L$1493,Пр11!$D$10:$D$1493,C48)</f>
        <v>634257739</v>
      </c>
    </row>
    <row r="49" spans="1:9" ht="32.25" thickBot="1" x14ac:dyDescent="0.3">
      <c r="A49" s="381"/>
      <c r="B49" s="218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17" t="s">
        <v>448</v>
      </c>
      <c r="D49" s="695">
        <f>SUMIFS(Пр11!G$10:G$1493,Пр11!$D$10:$D$1493,C49)</f>
        <v>397183120</v>
      </c>
      <c r="E49" s="687">
        <f>SUMIFS(Пр11!H$10:H$1493,Пр11!$D$10:$D$1493,C49)</f>
        <v>0</v>
      </c>
      <c r="F49" s="144">
        <f>SUMIFS(Пр11!I$10:I$1493,Пр11!$D$10:$D$1493,C49)</f>
        <v>397183120</v>
      </c>
      <c r="G49" s="695">
        <f>SUMIFS(Пр11!J$10:J$1493,Пр11!$D$10:$D$1493,C49)</f>
        <v>412130535</v>
      </c>
      <c r="H49" s="687">
        <f>SUMIFS(Пр11!K$10:K$1493,Пр11!$D$10:$D$1493,C49)</f>
        <v>0</v>
      </c>
      <c r="I49" s="144">
        <f>SUMIFS(Пр11!L$10:L$1493,Пр11!$D$10:$D$1493,C49)</f>
        <v>412130535</v>
      </c>
    </row>
    <row r="50" spans="1:9" ht="48" thickBot="1" x14ac:dyDescent="0.3">
      <c r="A50" s="381"/>
      <c r="B50" s="218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17" t="s">
        <v>451</v>
      </c>
      <c r="D50" s="695">
        <f>SUMIFS(Пр11!G$10:G$1493,Пр11!$D$10:$D$1493,C50)</f>
        <v>84274175</v>
      </c>
      <c r="E50" s="687">
        <f>SUMIFS(Пр11!H$10:H$1493,Пр11!$D$10:$D$1493,C50)</f>
        <v>0</v>
      </c>
      <c r="F50" s="144">
        <f>SUMIFS(Пр11!I$10:I$1493,Пр11!$D$10:$D$1493,C50)</f>
        <v>84274175</v>
      </c>
      <c r="G50" s="695">
        <f>SUMIFS(Пр11!J$10:J$1493,Пр11!$D$10:$D$1493,C50)</f>
        <v>84274175</v>
      </c>
      <c r="H50" s="687">
        <f>SUMIFS(Пр11!K$10:K$1493,Пр11!$D$10:$D$1493,C50)</f>
        <v>0</v>
      </c>
      <c r="I50" s="144">
        <f>SUMIFS(Пр11!L$10:L$1493,Пр11!$D$10:$D$1493,C50)</f>
        <v>84274175</v>
      </c>
    </row>
    <row r="51" spans="1:9" ht="48" thickBot="1" x14ac:dyDescent="0.3">
      <c r="A51" s="381" t="s">
        <v>70</v>
      </c>
      <c r="B51" s="218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17" t="s">
        <v>466</v>
      </c>
      <c r="D51" s="695">
        <f>SUMIFS(Пр11!G$10:G$1493,Пр11!$D$10:$D$1493,C51)</f>
        <v>20127906</v>
      </c>
      <c r="E51" s="687">
        <f>SUMIFS(Пр11!H$10:H$1493,Пр11!$D$10:$D$1493,C51)</f>
        <v>0</v>
      </c>
      <c r="F51" s="144">
        <f>SUMIFS(Пр11!I$10:I$1493,Пр11!$D$10:$D$1493,C51)</f>
        <v>20127906</v>
      </c>
      <c r="G51" s="695">
        <f>SUMIFS(Пр11!J$10:J$1493,Пр11!$D$10:$D$1493,C51)</f>
        <v>20127906</v>
      </c>
      <c r="H51" s="687">
        <f>SUMIFS(Пр11!K$10:K$1493,Пр11!$D$10:$D$1493,C51)</f>
        <v>0</v>
      </c>
      <c r="I51" s="144">
        <f>SUMIFS(Пр11!L$10:L$1493,Пр11!$D$10:$D$1493,C51)</f>
        <v>20127906</v>
      </c>
    </row>
    <row r="52" spans="1:9" ht="32.25" thickBot="1" x14ac:dyDescent="0.3">
      <c r="A52" s="381"/>
      <c r="B52" s="218" t="str">
        <f>IF(C52&gt;0,VLOOKUP(C52,Программа!A$2:B$5124,2))</f>
        <v>Информационное обеспечение реализации мероприятий программы</v>
      </c>
      <c r="C52" s="217" t="s">
        <v>1167</v>
      </c>
      <c r="D52" s="695">
        <f>SUMIFS(Пр11!G$10:G$1493,Пр11!$D$10:$D$1493,C52)</f>
        <v>731000</v>
      </c>
      <c r="E52" s="699">
        <f>SUMIFS(Пр11!H$10:H$1493,Пр11!$D$10:$D$1493,C52)</f>
        <v>0</v>
      </c>
      <c r="F52" s="144">
        <f>SUMIFS(Пр11!I$10:I$1493,Пр11!$D$10:$D$1493,C52)</f>
        <v>731000</v>
      </c>
      <c r="G52" s="695">
        <f>SUMIFS(Пр11!J$10:J$1493,Пр11!$D$10:$D$1493,C52)</f>
        <v>731000</v>
      </c>
      <c r="H52" s="699">
        <f>SUMIFS(Пр11!K$10:K$1493,Пр11!$D$10:$D$1493,C52)</f>
        <v>0</v>
      </c>
      <c r="I52" s="144">
        <f>SUMIFS(Пр11!L$10:L$1493,Пр11!$D$10:$D$1493,C52)</f>
        <v>731000</v>
      </c>
    </row>
    <row r="53" spans="1:9" ht="32.25" thickBot="1" x14ac:dyDescent="0.3">
      <c r="A53" s="381"/>
      <c r="B53" s="218" t="str">
        <f>IF(C53&gt;0,VLOOKUP(C53,Программа!A$2:B$5124,2))</f>
        <v>Федеральный проект "Финансовая поддержка семей при рождении детей"</v>
      </c>
      <c r="C53" s="217" t="s">
        <v>1323</v>
      </c>
      <c r="D53" s="695">
        <f>SUMIFS(Пр11!G$10:G$1493,Пр11!$D$10:$D$1493,C53)</f>
        <v>108535180</v>
      </c>
      <c r="E53" s="687"/>
      <c r="F53" s="144">
        <f>SUMIFS(Пр11!I$10:I$1493,Пр11!$D$10:$D$1493,C53)</f>
        <v>108535180</v>
      </c>
      <c r="G53" s="695">
        <f>SUMIFS(Пр11!J$10:J$1493,Пр11!$D$10:$D$1493,C53)</f>
        <v>116994123</v>
      </c>
      <c r="H53" s="687"/>
      <c r="I53" s="144">
        <f>SUMIFS(Пр11!L$10:L$1493,Пр11!$D$10:$D$1493,C53)</f>
        <v>116994123</v>
      </c>
    </row>
    <row r="54" spans="1:9" ht="16.5" hidden="1" thickBot="1" x14ac:dyDescent="0.25">
      <c r="A54" s="381"/>
      <c r="B54" s="430" t="str">
        <f>IF(C54&gt;0,VLOOKUP(C54,Программа!A$2:B$5124,2))</f>
        <v>Федеральный проект "Старшее поколение"</v>
      </c>
      <c r="C54" s="158" t="s">
        <v>1324</v>
      </c>
      <c r="D54" s="444">
        <f>SUMIFS(Пр11!G$10:G$1493,Пр11!$D$10:$D$1493,C54)</f>
        <v>0</v>
      </c>
      <c r="E54" s="386"/>
      <c r="F54" s="433">
        <f>SUMIFS(Пр11!I$10:I$1493,Пр11!$D$10:$D$1493,C54)</f>
        <v>0</v>
      </c>
      <c r="G54" s="440">
        <f>SUMIFS(Пр11!J$10:J$1493,Пр11!$D$10:$D$1493,C54)</f>
        <v>0</v>
      </c>
      <c r="H54" s="402"/>
      <c r="I54" s="434">
        <f>SUMIFS(Пр11!L$10:L$1493,Пр11!$D$10:$D$1493,C54)</f>
        <v>0</v>
      </c>
    </row>
    <row r="55" spans="1:9" ht="48" hidden="1" thickBot="1" x14ac:dyDescent="0.25">
      <c r="A55" s="381" t="s">
        <v>623</v>
      </c>
      <c r="B55" s="419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52" t="s">
        <v>378</v>
      </c>
      <c r="D55" s="380">
        <f>SUMIFS(Пр11!G$10:G$1493,Пр11!$D$10:$D$1493,C55)</f>
        <v>0</v>
      </c>
      <c r="E55" s="380">
        <f>SUMIFS(Пр11!H$10:H$1493,Пр11!$D$10:$D$1493,C55)</f>
        <v>0</v>
      </c>
      <c r="F55" s="404">
        <f>SUMIFS(Пр11!I$10:I$1493,Пр11!$D$10:$D$1493,C55)</f>
        <v>0</v>
      </c>
      <c r="G55" s="404">
        <f>SUMIFS(Пр11!J$10:J$1493,Пр11!$D$10:$D$1493,C55)</f>
        <v>0</v>
      </c>
      <c r="H55" s="404">
        <f>SUMIFS(Пр11!K$10:K$1493,Пр11!$D$10:$D$1493,C55)</f>
        <v>0</v>
      </c>
      <c r="I55" s="404">
        <f>SUMIFS(Пр11!L$10:L$1493,Пр11!$D$10:$D$1493,C55)</f>
        <v>0</v>
      </c>
    </row>
    <row r="56" spans="1:9" ht="48" hidden="1" thickBot="1" x14ac:dyDescent="0.25">
      <c r="A56" s="381"/>
      <c r="B56" s="420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13" t="s">
        <v>379</v>
      </c>
      <c r="D56" s="379">
        <f>SUMIFS(Пр11!G$10:G$1493,Пр11!$D$10:$D$1493,C56)</f>
        <v>0</v>
      </c>
      <c r="E56" s="379">
        <f>SUMIFS(Пр11!H$10:H$1493,Пр11!$D$10:$D$1493,C56)</f>
        <v>0</v>
      </c>
      <c r="F56" s="404">
        <f>SUMIFS(Пр11!I$10:I$1493,Пр11!$D$10:$D$1493,C56)</f>
        <v>0</v>
      </c>
      <c r="G56" s="404">
        <f>SUMIFS(Пр11!J$10:J$1493,Пр11!$D$10:$D$1493,C56)</f>
        <v>0</v>
      </c>
      <c r="H56" s="404">
        <f>SUMIFS(Пр11!K$10:K$1493,Пр11!$D$10:$D$1493,C56)</f>
        <v>0</v>
      </c>
      <c r="I56" s="404">
        <f>SUMIFS(Пр11!L$10:L$1493,Пр11!$D$10:$D$1493,C56)</f>
        <v>0</v>
      </c>
    </row>
    <row r="57" spans="1:9" ht="16.5" hidden="1" thickBot="1" x14ac:dyDescent="0.25">
      <c r="A57" s="381"/>
      <c r="B57" s="420" t="str">
        <f>IF(C57&gt;0,VLOOKUP(C57,Программа!A$2:B$5124,2))</f>
        <v>Муниципальная программа "Доступная среда "</v>
      </c>
      <c r="C57" s="359" t="s">
        <v>508</v>
      </c>
      <c r="D57" s="388">
        <f>SUMIFS(Пр11!G$10:G$1493,Пр11!$D$10:$D$1493,C57)</f>
        <v>0</v>
      </c>
      <c r="E57" s="388">
        <f>SUMIFS(Пр11!H$10:H$1493,Пр11!$D$10:$D$1493,C57)</f>
        <v>0</v>
      </c>
      <c r="F57" s="404">
        <f>SUMIFS(Пр11!I$10:I$1493,Пр11!$D$10:$D$1493,C57)</f>
        <v>0</v>
      </c>
      <c r="G57" s="404">
        <f>SUMIFS(Пр11!J$10:J$1493,Пр11!$D$10:$D$1493,C57)</f>
        <v>0</v>
      </c>
      <c r="H57" s="404">
        <f>SUMIFS(Пр11!K$10:K$1493,Пр11!$D$10:$D$1493,C57)</f>
        <v>0</v>
      </c>
      <c r="I57" s="404">
        <f>SUMIFS(Пр11!L$10:L$1493,Пр11!$D$10:$D$1493,C57)</f>
        <v>0</v>
      </c>
    </row>
    <row r="58" spans="1:9" ht="79.5" hidden="1" thickBot="1" x14ac:dyDescent="0.25">
      <c r="A58" s="381" t="s">
        <v>43</v>
      </c>
      <c r="B58" s="416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56" t="s">
        <v>509</v>
      </c>
      <c r="D58" s="386">
        <f>SUMIFS(Пр11!G$10:G$1493,Пр11!$D$10:$D$1493,C58)</f>
        <v>0</v>
      </c>
      <c r="E58" s="386">
        <f>SUMIFS(Пр11!H$10:H$1493,Пр11!$D$10:$D$1493,C58)</f>
        <v>0</v>
      </c>
      <c r="F58" s="398">
        <f>SUMIFS(Пр11!I$10:I$1493,Пр11!$D$10:$D$1493,C58)</f>
        <v>0</v>
      </c>
      <c r="G58" s="398">
        <f>SUMIFS(Пр11!J$10:J$1493,Пр11!$D$10:$D$1493,C58)</f>
        <v>0</v>
      </c>
      <c r="H58" s="398">
        <f>SUMIFS(Пр11!K$10:K$1493,Пр11!$D$10:$D$1493,C58)</f>
        <v>0</v>
      </c>
      <c r="I58" s="398">
        <f>SUMIFS(Пр11!L$10:L$1493,Пр11!$D$10:$D$1493,C58)</f>
        <v>0</v>
      </c>
    </row>
    <row r="59" spans="1:9" ht="48" thickBot="1" x14ac:dyDescent="0.25">
      <c r="A59" s="381" t="s">
        <v>634</v>
      </c>
      <c r="B59" s="411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559" t="s">
        <v>525</v>
      </c>
      <c r="D59" s="550">
        <f>SUMIFS(Пр11!G$10:G$1493,Пр11!$D$10:$D$1493,C59)</f>
        <v>24663000</v>
      </c>
      <c r="E59" s="508">
        <f>SUMIFS(Пр11!H$10:H$1493,Пр11!$D$10:$D$1493,C59)</f>
        <v>0</v>
      </c>
      <c r="F59" s="442">
        <f>SUMIFS(Пр11!I$10:I$1493,Пр11!$D$10:$D$1493,C59)</f>
        <v>24663000</v>
      </c>
      <c r="G59" s="550">
        <f>SUMIFS(Пр11!J$10:J$1493,Пр11!$D$10:$D$1493,C59)</f>
        <v>0</v>
      </c>
      <c r="H59" s="508">
        <f>SUMIFS(Пр11!K$10:K$1493,Пр11!$D$10:$D$1493,C59)</f>
        <v>0</v>
      </c>
      <c r="I59" s="442">
        <f>SUMIFS(Пр11!L$10:L$1493,Пр11!$D$10:$D$1493,C59)</f>
        <v>0</v>
      </c>
    </row>
    <row r="60" spans="1:9" ht="63.75" hidden="1" thickBot="1" x14ac:dyDescent="0.25">
      <c r="A60" s="381" t="s">
        <v>53</v>
      </c>
      <c r="B60" s="412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57" t="s">
        <v>527</v>
      </c>
      <c r="D60" s="377">
        <f>SUMIFS(Пр11!G$10:G$1493,Пр11!$D$10:$D$1493,C60)</f>
        <v>0</v>
      </c>
      <c r="E60" s="377">
        <f>SUMIFS(Пр11!H$10:H$1493,Пр11!$D$10:$D$1493,C60)</f>
        <v>0</v>
      </c>
      <c r="F60" s="397">
        <f>SUMIFS(Пр11!I$10:I$1493,Пр11!$D$10:$D$1493,C60)</f>
        <v>0</v>
      </c>
      <c r="G60" s="397">
        <f>SUMIFS(Пр11!J$10:J$1493,Пр11!$D$10:$D$1493,C60)</f>
        <v>0</v>
      </c>
      <c r="H60" s="397">
        <f>SUMIFS(Пр11!K$10:K$1493,Пр11!$D$10:$D$1493,C60)</f>
        <v>0</v>
      </c>
      <c r="I60" s="405">
        <f>SUMIFS(Пр11!L$10:L$1493,Пр11!$D$10:$D$1493,C60)</f>
        <v>0</v>
      </c>
    </row>
    <row r="61" spans="1:9" ht="79.5" hidden="1" thickBot="1" x14ac:dyDescent="0.25">
      <c r="A61" s="381" t="s">
        <v>638</v>
      </c>
      <c r="B61" s="413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13" t="s">
        <v>551</v>
      </c>
      <c r="D61" s="379">
        <f>SUMIFS(Пр11!G$10:G$1493,Пр11!$D$10:$D$1493,C61)</f>
        <v>0</v>
      </c>
      <c r="E61" s="379">
        <f>SUMIFS(Пр11!H$10:H$1493,Пр11!$D$10:$D$1493,C61)</f>
        <v>0</v>
      </c>
      <c r="F61" s="404">
        <f>SUMIFS(Пр11!I$10:I$1493,Пр11!$D$10:$D$1493,C61)</f>
        <v>0</v>
      </c>
      <c r="G61" s="404">
        <f>SUMIFS(Пр11!J$10:J$1493,Пр11!$D$10:$D$1493,C61)</f>
        <v>0</v>
      </c>
      <c r="H61" s="404">
        <f>SUMIFS(Пр11!K$10:K$1493,Пр11!$D$10:$D$1493,C61)</f>
        <v>0</v>
      </c>
      <c r="I61" s="406">
        <f>SUMIFS(Пр11!L$10:L$1493,Пр11!$D$10:$D$1493,C61)</f>
        <v>0</v>
      </c>
    </row>
    <row r="62" spans="1:9" ht="48" hidden="1" thickBot="1" x14ac:dyDescent="0.25">
      <c r="A62" s="381" t="s">
        <v>58</v>
      </c>
      <c r="B62" s="418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56" t="s">
        <v>528</v>
      </c>
      <c r="D62" s="386">
        <f>SUMIFS(Пр11!G$10:G$1493,Пр11!$D$10:$D$1493,C62)</f>
        <v>0</v>
      </c>
      <c r="E62" s="379">
        <f>SUMIFS(Пр11!H$10:H$1493,Пр11!$D$10:$D$1493,C62)</f>
        <v>0</v>
      </c>
      <c r="F62" s="398">
        <f>SUMIFS(Пр11!I$10:I$1493,Пр11!$D$10:$D$1493,C62)</f>
        <v>0</v>
      </c>
      <c r="G62" s="398">
        <f>SUMIFS(Пр11!J$10:J$1493,Пр11!$D$10:$D$1493,C62)</f>
        <v>0</v>
      </c>
      <c r="H62" s="404">
        <f>SUMIFS(Пр11!K$10:K$1493,Пр11!$D$10:$D$1493,C62)</f>
        <v>0</v>
      </c>
      <c r="I62" s="429">
        <f>SUMIFS(Пр11!L$10:L$1493,Пр11!$D$10:$D$1493,C62)</f>
        <v>0</v>
      </c>
    </row>
    <row r="63" spans="1:9" ht="63.75" thickBot="1" x14ac:dyDescent="0.3">
      <c r="A63" s="381" t="s">
        <v>661</v>
      </c>
      <c r="B63" s="691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591" t="s">
        <v>554</v>
      </c>
      <c r="D63" s="694">
        <f>SUMIFS(Пр11!G$10:G$1493,Пр11!$D$10:$D$1493,C63)</f>
        <v>24663000</v>
      </c>
      <c r="E63" s="693">
        <f>SUMIFS(Пр11!H$10:H$1493,Пр11!$D$10:$D$1493,C63)</f>
        <v>0</v>
      </c>
      <c r="F63" s="580">
        <f>SUMIFS(Пр11!I$10:I$1493,Пр11!$D$10:$D$1493,C63)</f>
        <v>24663000</v>
      </c>
      <c r="G63" s="694">
        <f>SUMIFS(Пр11!J$10:J$1493,Пр11!$D$10:$D$1493,C63)</f>
        <v>0</v>
      </c>
      <c r="H63" s="693">
        <f>SUMIFS(Пр11!K$10:K$1493,Пр11!$D$10:$D$1493,C63)</f>
        <v>0</v>
      </c>
      <c r="I63" s="580">
        <f>SUMIFS(Пр11!L$10:L$1493,Пр11!$D$10:$D$1493,C63)</f>
        <v>0</v>
      </c>
    </row>
    <row r="64" spans="1:9" ht="32.25" thickBot="1" x14ac:dyDescent="0.25">
      <c r="A64" s="381" t="s">
        <v>63</v>
      </c>
      <c r="B64" s="413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13" t="s">
        <v>555</v>
      </c>
      <c r="D64" s="444">
        <f>SUMIFS(Пр11!G$10:G$1493,Пр11!$D$10:$D$1493,C64)</f>
        <v>10000000</v>
      </c>
      <c r="E64" s="510">
        <f>SUMIFS(Пр11!H$10:H$1493,Пр11!$D$10:$D$1493,C64)</f>
        <v>0</v>
      </c>
      <c r="F64" s="498">
        <f>SUMIFS(Пр11!I$10:I$1493,Пр11!$D$10:$D$1493,C64)</f>
        <v>10000000</v>
      </c>
      <c r="G64" s="440">
        <f>SUMIFS(Пр11!J$10:J$1493,Пр11!$D$10:$D$1493,C64)</f>
        <v>0</v>
      </c>
      <c r="H64" s="510">
        <f>SUMIFS(Пр11!K$10:K$1493,Пр11!$D$10:$D$1493,C64)</f>
        <v>0</v>
      </c>
      <c r="I64" s="440">
        <f>SUMIFS(Пр11!L$10:L$1493,Пр11!$D$10:$D$1493,C64)</f>
        <v>0</v>
      </c>
    </row>
    <row r="65" spans="1:9" ht="63.75" thickBot="1" x14ac:dyDescent="0.3">
      <c r="A65" s="381" t="s">
        <v>662</v>
      </c>
      <c r="B65" s="218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17" t="s">
        <v>595</v>
      </c>
      <c r="D65" s="695">
        <f>SUMIFS(Пр11!G$10:G$1493,Пр11!$D$10:$D$1493,C65)</f>
        <v>14663000</v>
      </c>
      <c r="E65" s="687">
        <f>SUMIFS(Пр11!H$10:H$1493,Пр11!$D$10:$D$1493,C65)</f>
        <v>0</v>
      </c>
      <c r="F65" s="144">
        <f>SUMIFS(Пр11!I$10:I$1493,Пр11!$D$10:$D$1493,C65)</f>
        <v>14663000</v>
      </c>
      <c r="G65" s="695">
        <f>SUMIFS(Пр11!J$10:J$1493,Пр11!$D$10:$D$1493,C65)</f>
        <v>0</v>
      </c>
      <c r="H65" s="687">
        <f>SUMIFS(Пр11!K$10:K$1493,Пр11!$D$10:$D$1493,C65)</f>
        <v>0</v>
      </c>
      <c r="I65" s="144">
        <f>SUMIFS(Пр11!L$10:L$1493,Пр11!$D$10:$D$1493,C65)</f>
        <v>0</v>
      </c>
    </row>
    <row r="66" spans="1:9" ht="63.75" hidden="1" thickBot="1" x14ac:dyDescent="0.25">
      <c r="A66" s="381" t="s">
        <v>663</v>
      </c>
      <c r="B66" s="414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52" t="s">
        <v>558</v>
      </c>
      <c r="D66" s="520">
        <f>SUMIFS(Пр11!G$10:G$1493,Пр11!$D$10:$D$1493,C66)</f>
        <v>0</v>
      </c>
      <c r="E66" s="511">
        <f>SUMIFS(Пр11!H$10:H$1493,Пр11!$D$10:$D$1493,C66)</f>
        <v>0</v>
      </c>
      <c r="F66" s="500">
        <f>SUMIFS(Пр11!I$10:I$1493,Пр11!$D$10:$D$1493,C66)</f>
        <v>0</v>
      </c>
      <c r="G66" s="436">
        <f>SUMIFS(Пр11!J$10:J$1493,Пр11!$D$10:$D$1493,C66)</f>
        <v>0</v>
      </c>
      <c r="H66" s="514">
        <f>SUMIFS(Пр11!K$10:K$1493,Пр11!$D$10:$D$1493,C66)</f>
        <v>0</v>
      </c>
      <c r="I66" s="436">
        <f>SUMIFS(Пр11!L$10:L$1493,Пр11!$D$10:$D$1493,C66)</f>
        <v>0</v>
      </c>
    </row>
    <row r="67" spans="1:9" ht="48" hidden="1" thickBot="1" x14ac:dyDescent="0.25">
      <c r="A67" s="381" t="s">
        <v>664</v>
      </c>
      <c r="B67" s="415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60" t="s">
        <v>559</v>
      </c>
      <c r="D67" s="521">
        <f>SUMIFS(Пр11!G$10:G$1493,Пр11!$D$10:$D$1493,C67)</f>
        <v>0</v>
      </c>
      <c r="E67" s="512">
        <f>SUMIFS(Пр11!H$10:H$1493,Пр11!$D$10:$D$1493,C67)</f>
        <v>0</v>
      </c>
      <c r="F67" s="501">
        <f>SUMIFS(Пр11!I$10:I$1493,Пр11!$D$10:$D$1493,C67)</f>
        <v>0</v>
      </c>
      <c r="G67" s="437">
        <f>SUMIFS(Пр11!J$10:J$1493,Пр11!$D$10:$D$1493,C67)</f>
        <v>0</v>
      </c>
      <c r="H67" s="515">
        <f>SUMIFS(Пр11!K$10:K$1493,Пр11!$D$10:$D$1493,C67)</f>
        <v>0</v>
      </c>
      <c r="I67" s="437">
        <f>SUMIFS(Пр11!L$10:L$1493,Пр11!$D$10:$D$1493,C67)</f>
        <v>0</v>
      </c>
    </row>
    <row r="68" spans="1:9" ht="48" hidden="1" thickBot="1" x14ac:dyDescent="0.25">
      <c r="A68" s="381"/>
      <c r="B68" s="421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59" t="s">
        <v>596</v>
      </c>
      <c r="D68" s="378">
        <f>SUMIFS(Пр11!G$10:G$1493,Пр11!$D$10:$D$1493,C68)</f>
        <v>0</v>
      </c>
      <c r="E68" s="378">
        <f>SUMIFS(Пр11!H$10:H$1493,Пр11!$D$10:$D$1493,C68)</f>
        <v>0</v>
      </c>
      <c r="F68" s="397">
        <f>SUMIFS(Пр11!I$10:I$1493,Пр11!$D$10:$D$1493,C68)</f>
        <v>0</v>
      </c>
      <c r="G68" s="397">
        <f>SUMIFS(Пр11!J$10:J$1493,Пр11!$D$10:$D$1493,C68)</f>
        <v>0</v>
      </c>
      <c r="H68" s="397">
        <f>SUMIFS(Пр11!K$10:K$1493,Пр11!$D$10:$D$1493,C68)</f>
        <v>0</v>
      </c>
      <c r="I68" s="397">
        <f>SUMIFS(Пр11!L$10:L$1493,Пр11!$D$10:$D$1493,C68)</f>
        <v>0</v>
      </c>
    </row>
    <row r="69" spans="1:9" ht="63" hidden="1" x14ac:dyDescent="0.2">
      <c r="B69" s="419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52" t="s">
        <v>561</v>
      </c>
      <c r="D69" s="380">
        <f>SUMIFS(Пр11!G$10:G$1493,Пр11!$D$10:$D$1493,C69)</f>
        <v>0</v>
      </c>
      <c r="E69" s="380">
        <f>SUMIFS(Пр11!H$10:H$1493,Пр11!$D$10:$D$1493,C69)</f>
        <v>0</v>
      </c>
      <c r="F69" s="404">
        <f>SUMIFS(Пр11!I$10:I$1493,Пр11!$D$10:$D$1493,C69)</f>
        <v>0</v>
      </c>
      <c r="G69" s="404">
        <f>SUMIFS(Пр11!J$10:J$1493,Пр11!$D$10:$D$1493,C69)</f>
        <v>0</v>
      </c>
      <c r="H69" s="404">
        <f>SUMIFS(Пр11!K$10:K$1493,Пр11!$D$10:$D$1493,C69)</f>
        <v>0</v>
      </c>
      <c r="I69" s="404">
        <f>SUMIFS(Пр11!L$10:L$1493,Пр11!$D$10:$D$1493,C69)</f>
        <v>0</v>
      </c>
    </row>
    <row r="70" spans="1:9" ht="31.5" hidden="1" x14ac:dyDescent="0.2">
      <c r="B70" s="420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13" t="s">
        <v>563</v>
      </c>
      <c r="D70" s="379">
        <f>SUMIFS(Пр11!G$10:G$1493,Пр11!$D$10:$D$1493,C70)</f>
        <v>0</v>
      </c>
      <c r="E70" s="379">
        <f>SUMIFS(Пр11!H$10:H$1493,Пр11!$D$10:$D$1493,C70)</f>
        <v>0</v>
      </c>
      <c r="F70" s="404">
        <f>SUMIFS(Пр11!I$10:I$1493,Пр11!$D$10:$D$1493,C70)</f>
        <v>0</v>
      </c>
      <c r="G70" s="404">
        <f>SUMIFS(Пр11!J$10:J$1493,Пр11!$D$10:$D$1493,C70)</f>
        <v>0</v>
      </c>
      <c r="H70" s="404">
        <f>SUMIFS(Пр11!K$10:K$1493,Пр11!$D$10:$D$1493,C70)</f>
        <v>0</v>
      </c>
      <c r="I70" s="404">
        <f>SUMIFS(Пр11!L$10:L$1493,Пр11!$D$10:$D$1493,C70)</f>
        <v>0</v>
      </c>
    </row>
    <row r="71" spans="1:9" ht="47.25" hidden="1" x14ac:dyDescent="0.2">
      <c r="B71" s="420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13" t="s">
        <v>565</v>
      </c>
      <c r="D71" s="379">
        <f>SUMIFS(Пр11!G$10:G$1493,Пр11!$D$10:$D$1493,C71)</f>
        <v>0</v>
      </c>
      <c r="E71" s="379">
        <f>SUMIFS(Пр11!H$10:H$1493,Пр11!$D$10:$D$1493,C71)</f>
        <v>0</v>
      </c>
      <c r="F71" s="404">
        <f>SUMIFS(Пр11!I$10:I$1493,Пр11!$D$10:$D$1493,C71)</f>
        <v>0</v>
      </c>
      <c r="G71" s="404">
        <f>SUMIFS(Пр11!J$10:J$1493,Пр11!$D$10:$D$1493,C71)</f>
        <v>0</v>
      </c>
      <c r="H71" s="404">
        <f>SUMIFS(Пр11!K$10:K$1493,Пр11!$D$10:$D$1493,C71)</f>
        <v>0</v>
      </c>
      <c r="I71" s="404">
        <f>SUMIFS(Пр11!L$10:L$1493,Пр11!$D$10:$D$1493,C71)</f>
        <v>0</v>
      </c>
    </row>
    <row r="72" spans="1:9" ht="31.5" hidden="1" x14ac:dyDescent="0.2">
      <c r="B72" s="420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13" t="s">
        <v>567</v>
      </c>
      <c r="D72" s="379">
        <f>SUMIFS(Пр11!G$10:G$1493,Пр11!$D$10:$D$1493,C72)</f>
        <v>0</v>
      </c>
      <c r="E72" s="379">
        <f>SUMIFS(Пр11!H$10:H$1493,Пр11!$D$10:$D$1493,C72)</f>
        <v>0</v>
      </c>
      <c r="F72" s="404">
        <f>SUMIFS(Пр11!I$10:I$1493,Пр11!$D$10:$D$1493,C72)</f>
        <v>0</v>
      </c>
      <c r="G72" s="404">
        <f>SUMIFS(Пр11!J$10:J$1493,Пр11!$D$10:$D$1493,C72)</f>
        <v>0</v>
      </c>
      <c r="H72" s="404">
        <f>SUMIFS(Пр11!K$10:K$1493,Пр11!$D$10:$D$1493,C72)</f>
        <v>0</v>
      </c>
      <c r="I72" s="404">
        <f>SUMIFS(Пр11!L$10:L$1493,Пр11!$D$10:$D$1493,C72)</f>
        <v>0</v>
      </c>
    </row>
    <row r="73" spans="1:9" ht="47.25" hidden="1" x14ac:dyDescent="0.2">
      <c r="B73" s="422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59" t="s">
        <v>529</v>
      </c>
      <c r="D73" s="388">
        <f>SUMIFS(Пр11!G$10:G$1493,Пр11!$D$10:$D$1493,C73)</f>
        <v>0</v>
      </c>
      <c r="E73" s="388">
        <f>SUMIFS(Пр11!H$10:H$1493,Пр11!$D$10:$D$1493,C73)</f>
        <v>0</v>
      </c>
      <c r="F73" s="404">
        <f>SUMIFS(Пр11!I$10:I$1493,Пр11!$D$10:$D$1493,C73)</f>
        <v>0</v>
      </c>
      <c r="G73" s="404">
        <f>SUMIFS(Пр11!J$10:J$1493,Пр11!$D$10:$D$1493,C73)</f>
        <v>0</v>
      </c>
      <c r="H73" s="404">
        <f>SUMIFS(Пр11!K$10:K$1493,Пр11!$D$10:$D$1493,C73)</f>
        <v>0</v>
      </c>
      <c r="I73" s="404">
        <f>SUMIFS(Пр11!L$10:L$1493,Пр11!$D$10:$D$1493,C73)</f>
        <v>0</v>
      </c>
    </row>
    <row r="74" spans="1:9" ht="32.25" hidden="1" thickBot="1" x14ac:dyDescent="0.25">
      <c r="B74" s="416" t="str">
        <f>IF(C74&gt;0,VLOOKUP(C74,Программа!A$2:B$5124,2))</f>
        <v>Повышение качества управления имуществом и земельными ресурсами</v>
      </c>
      <c r="C74" s="156" t="s">
        <v>530</v>
      </c>
      <c r="D74" s="386">
        <f>SUMIFS(Пр11!G$10:G$1493,Пр11!$D$10:$D$1493,C74)</f>
        <v>0</v>
      </c>
      <c r="E74" s="386">
        <f>SUMIFS(Пр11!H$10:H$1493,Пр11!$D$10:$D$1493,C74)</f>
        <v>0</v>
      </c>
      <c r="F74" s="398">
        <f>SUMIFS(Пр11!I$10:I$1493,Пр11!$D$10:$D$1493,C74)</f>
        <v>0</v>
      </c>
      <c r="G74" s="398">
        <f>SUMIFS(Пр11!J$10:J$1493,Пр11!$D$10:$D$1493,C74)</f>
        <v>0</v>
      </c>
      <c r="H74" s="398">
        <f>SUMIFS(Пр11!K$10:K$1493,Пр11!$D$10:$D$1493,C74)</f>
        <v>0</v>
      </c>
      <c r="I74" s="398">
        <f>SUMIFS(Пр11!L$10:L$1493,Пр11!$D$10:$D$1493,C74)</f>
        <v>0</v>
      </c>
    </row>
    <row r="75" spans="1:9" ht="32.25" hidden="1" thickBot="1" x14ac:dyDescent="0.25">
      <c r="B75" s="411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49" t="s">
        <v>540</v>
      </c>
      <c r="D75" s="523">
        <f>SUMIFS(Пр11!G$10:G$1493,Пр11!$D$10:$D$1493,C75)</f>
        <v>0</v>
      </c>
      <c r="E75" s="505">
        <f>SUMIFS(Пр11!H$10:H$1493,Пр11!$D$10:$D$1493,C75)</f>
        <v>0</v>
      </c>
      <c r="F75" s="504">
        <f>SUMIFS(Пр11!I$10:I$1493,Пр11!$D$10:$D$1493,C75)</f>
        <v>0</v>
      </c>
      <c r="G75" s="442">
        <f>SUMIFS(Пр11!J$10:J$1493,Пр11!$D$10:$D$1493,C75)</f>
        <v>0</v>
      </c>
      <c r="H75" s="508">
        <f>SUMIFS(Пр11!K$10:K$1493,Пр11!$D$10:$D$1493,C75)</f>
        <v>0</v>
      </c>
      <c r="I75" s="441">
        <f>SUMIFS(Пр11!L$10:L$1493,Пр11!$D$10:$D$1493,C75)</f>
        <v>0</v>
      </c>
    </row>
    <row r="76" spans="1:9" ht="47.25" hidden="1" x14ac:dyDescent="0.2">
      <c r="B76" s="412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57" t="s">
        <v>542</v>
      </c>
      <c r="D76" s="526">
        <f>SUMIFS(Пр11!G$10:G$1493,Пр11!$D$10:$D$1493,C76)</f>
        <v>0</v>
      </c>
      <c r="E76" s="506">
        <f>SUMIFS(Пр11!H$10:H$1493,Пр11!$D$10:$D$1493,C76)</f>
        <v>0</v>
      </c>
      <c r="F76" s="500">
        <f>SUMIFS(Пр11!I$10:I$1493,Пр11!$D$10:$D$1493,C76)</f>
        <v>0</v>
      </c>
      <c r="G76" s="527">
        <f>SUMIFS(Пр11!J$10:J$1493,Пр11!$D$10:$D$1493,C76)</f>
        <v>0</v>
      </c>
      <c r="H76" s="509">
        <f>SUMIFS(Пр11!K$10:K$1493,Пр11!$D$10:$D$1493,C76)</f>
        <v>0</v>
      </c>
      <c r="I76" s="436">
        <f>SUMIFS(Пр11!L$10:L$1493,Пр11!$D$10:$D$1493,C76)</f>
        <v>0</v>
      </c>
    </row>
    <row r="77" spans="1:9" ht="31.5" hidden="1" x14ac:dyDescent="0.2">
      <c r="B77" s="413" t="str">
        <f>IF(C77&gt;0,VLOOKUP(C77,Программа!A$2:B$5124,2))</f>
        <v>Повышение безопасности дорожного движения на автомобильных дорогах</v>
      </c>
      <c r="C77" s="113" t="s">
        <v>544</v>
      </c>
      <c r="D77" s="444">
        <f>SUMIFS(Пр11!G$10:G$1493,Пр11!$D$10:$D$1493,C77)</f>
        <v>0</v>
      </c>
      <c r="E77" s="507">
        <f>SUMIFS(Пр11!H$10:H$1493,Пр11!$D$10:$D$1493,C77)</f>
        <v>0</v>
      </c>
      <c r="F77" s="498">
        <f>SUMIFS(Пр11!I$10:I$1493,Пр11!$D$10:$D$1493,C77)</f>
        <v>0</v>
      </c>
      <c r="G77" s="440">
        <f>SUMIFS(Пр11!J$10:J$1493,Пр11!$D$10:$D$1493,C77)</f>
        <v>0</v>
      </c>
      <c r="H77" s="510">
        <f>SUMIFS(Пр11!K$10:K$1493,Пр11!$D$10:$D$1493,C77)</f>
        <v>0</v>
      </c>
      <c r="I77" s="440">
        <f>SUMIFS(Пр11!L$10:L$1493,Пр11!$D$10:$D$1493,C77)</f>
        <v>0</v>
      </c>
    </row>
    <row r="78" spans="1:9" ht="47.25" hidden="1" x14ac:dyDescent="0.2">
      <c r="B78" s="414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52" t="s">
        <v>547</v>
      </c>
      <c r="D78" s="520">
        <f>SUMIFS(Пр11!G$10:G$1493,Пр11!$D$10:$D$1493,C78)</f>
        <v>0</v>
      </c>
      <c r="E78" s="511">
        <f>SUMIFS(Пр11!H$10:H$1493,Пр11!$D$10:$D$1493,C78)</f>
        <v>0</v>
      </c>
      <c r="F78" s="500">
        <f>SUMIFS(Пр11!I$10:I$1493,Пр11!$D$10:$D$1493,C78)</f>
        <v>0</v>
      </c>
      <c r="G78" s="436">
        <f>SUMIFS(Пр11!J$10:J$1493,Пр11!$D$10:$D$1493,C78)</f>
        <v>0</v>
      </c>
      <c r="H78" s="514">
        <f>SUMIFS(Пр11!K$10:K$1493,Пр11!$D$10:$D$1493,C78)</f>
        <v>0</v>
      </c>
      <c r="I78" s="436">
        <f>SUMIFS(Пр11!L$10:L$1493,Пр11!$D$10:$D$1493,C78)</f>
        <v>0</v>
      </c>
    </row>
    <row r="79" spans="1:9" ht="32.25" hidden="1" thickBot="1" x14ac:dyDescent="0.25">
      <c r="B79" s="415" t="str">
        <f>IF(C79&gt;0,VLOOKUP(C79,Программа!A$2:B$5124,2))</f>
        <v>Приведение  в нормативное состояние автомобильных дорог общего пользования</v>
      </c>
      <c r="C79" s="360" t="s">
        <v>549</v>
      </c>
      <c r="D79" s="521">
        <f>SUMIFS(Пр11!G$10:G$1493,Пр11!$D$10:$D$1493,C79)</f>
        <v>0</v>
      </c>
      <c r="E79" s="512">
        <f>SUMIFS(Пр11!H$10:H$1493,Пр11!$D$10:$D$1493,C79)</f>
        <v>0</v>
      </c>
      <c r="F79" s="501">
        <f>SUMIFS(Пр11!I$10:I$1493,Пр11!$D$10:$D$1493,C79)</f>
        <v>0</v>
      </c>
      <c r="G79" s="437">
        <f>SUMIFS(Пр11!J$10:J$1493,Пр11!$D$10:$D$1493,C79)</f>
        <v>0</v>
      </c>
      <c r="H79" s="515">
        <f>SUMIFS(Пр11!K$10:K$1493,Пр11!$D$10:$D$1493,C79)</f>
        <v>0</v>
      </c>
      <c r="I79" s="437">
        <f>SUMIFS(Пр11!L$10:L$1493,Пр11!$D$10:$D$1493,C79)</f>
        <v>0</v>
      </c>
    </row>
    <row r="80" spans="1:9" ht="47.25" hidden="1" x14ac:dyDescent="0.2">
      <c r="B80" s="423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61" t="s">
        <v>598</v>
      </c>
      <c r="D80" s="385">
        <f>SUMIFS(Пр11!G$10:G$1493,Пр11!$D$10:$D$1493,C80)</f>
        <v>0</v>
      </c>
      <c r="E80" s="385">
        <f>SUMIFS(Пр11!H$10:H$1493,Пр11!$D$10:$D$1493,C80)</f>
        <v>0</v>
      </c>
      <c r="F80" s="397">
        <f>SUMIFS(Пр11!I$10:I$1493,Пр11!$D$10:$D$1493,C80)</f>
        <v>0</v>
      </c>
      <c r="G80" s="397">
        <f>SUMIFS(Пр11!J$10:J$1493,Пр11!$D$10:$D$1493,C80)</f>
        <v>0</v>
      </c>
      <c r="H80" s="397">
        <f>SUMIFS(Пр11!K$10:K$1493,Пр11!$D$10:$D$1493,C80)</f>
        <v>0</v>
      </c>
      <c r="I80" s="397">
        <f>SUMIFS(Пр11!L$10:L$1493,Пр11!$D$10:$D$1493,C80)</f>
        <v>0</v>
      </c>
    </row>
    <row r="81" spans="2:9" ht="78.75" hidden="1" x14ac:dyDescent="0.2">
      <c r="B81" s="419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52" t="s">
        <v>600</v>
      </c>
      <c r="D81" s="380">
        <f>SUMIFS(Пр11!G$10:G$1493,Пр11!$D$10:$D$1493,C81)</f>
        <v>0</v>
      </c>
      <c r="E81" s="380">
        <f>SUMIFS(Пр11!H$10:H$1493,Пр11!$D$10:$D$1493,C81)</f>
        <v>0</v>
      </c>
      <c r="F81" s="404">
        <f>SUMIFS(Пр11!I$10:I$1493,Пр11!$D$10:$D$1493,C81)</f>
        <v>0</v>
      </c>
      <c r="G81" s="404">
        <f>SUMIFS(Пр11!J$10:J$1493,Пр11!$D$10:$D$1493,C81)</f>
        <v>0</v>
      </c>
      <c r="H81" s="404">
        <f>SUMIFS(Пр11!K$10:K$1493,Пр11!$D$10:$D$1493,C81)</f>
        <v>0</v>
      </c>
      <c r="I81" s="404">
        <f>SUMIFS(Пр11!L$10:L$1493,Пр11!$D$10:$D$1493,C81)</f>
        <v>0</v>
      </c>
    </row>
    <row r="82" spans="2:9" ht="78.75" hidden="1" x14ac:dyDescent="0.2">
      <c r="B82" s="420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13" t="s">
        <v>602</v>
      </c>
      <c r="D82" s="379">
        <f>SUMIFS(Пр11!G$10:G$1493,Пр11!$D$10:$D$1493,C82)</f>
        <v>0</v>
      </c>
      <c r="E82" s="379">
        <f>SUMIFS(Пр11!H$10:H$1493,Пр11!$D$10:$D$1493,C82)</f>
        <v>0</v>
      </c>
      <c r="F82" s="404">
        <f>SUMIFS(Пр11!I$10:I$1493,Пр11!$D$10:$D$1493,C82)</f>
        <v>0</v>
      </c>
      <c r="G82" s="404">
        <f>SUMIFS(Пр11!J$10:J$1493,Пр11!$D$10:$D$1493,C82)</f>
        <v>0</v>
      </c>
      <c r="H82" s="404">
        <f>SUMIFS(Пр11!K$10:K$1493,Пр11!$D$10:$D$1493,C82)</f>
        <v>0</v>
      </c>
      <c r="I82" s="404">
        <f>SUMIFS(Пр11!L$10:L$1493,Пр11!$D$10:$D$1493,C82)</f>
        <v>0</v>
      </c>
    </row>
    <row r="83" spans="2:9" ht="47.25" hidden="1" x14ac:dyDescent="0.2">
      <c r="B83" s="419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52" t="s">
        <v>604</v>
      </c>
      <c r="D83" s="380">
        <f>SUMIFS(Пр11!G$10:G$1493,Пр11!$D$10:$D$1493,C83)</f>
        <v>0</v>
      </c>
      <c r="E83" s="380">
        <f>SUMIFS(Пр11!H$10:H$1493,Пр11!$D$10:$D$1493,C83)</f>
        <v>0</v>
      </c>
      <c r="F83" s="404">
        <f>SUMIFS(Пр11!I$10:I$1493,Пр11!$D$10:$D$1493,C83)</f>
        <v>0</v>
      </c>
      <c r="G83" s="404">
        <f>SUMIFS(Пр11!J$10:J$1493,Пр11!$D$10:$D$1493,C83)</f>
        <v>0</v>
      </c>
      <c r="H83" s="404">
        <f>SUMIFS(Пр11!K$10:K$1493,Пр11!$D$10:$D$1493,C83)</f>
        <v>0</v>
      </c>
      <c r="I83" s="404">
        <f>SUMIFS(Пр11!L$10:L$1493,Пр11!$D$10:$D$1493,C83)</f>
        <v>0</v>
      </c>
    </row>
    <row r="84" spans="2:9" ht="63" hidden="1" x14ac:dyDescent="0.2">
      <c r="B84" s="420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13" t="s">
        <v>606</v>
      </c>
      <c r="D84" s="379">
        <f>SUMIFS(Пр11!G$10:G$1493,Пр11!$D$10:$D$1493,C84)</f>
        <v>0</v>
      </c>
      <c r="E84" s="379">
        <f>SUMIFS(Пр11!H$10:H$1493,Пр11!$D$10:$D$1493,C84)</f>
        <v>0</v>
      </c>
      <c r="F84" s="404">
        <f>SUMIFS(Пр11!I$10:I$1493,Пр11!$D$10:$D$1493,C84)</f>
        <v>0</v>
      </c>
      <c r="G84" s="404">
        <f>SUMIFS(Пр11!J$10:J$1493,Пр11!$D$10:$D$1493,C84)</f>
        <v>0</v>
      </c>
      <c r="H84" s="404">
        <f>SUMIFS(Пр11!K$10:K$1493,Пр11!$D$10:$D$1493,C84)</f>
        <v>0</v>
      </c>
      <c r="I84" s="404">
        <f>SUMIFS(Пр11!L$10:L$1493,Пр11!$D$10:$D$1493,C84)</f>
        <v>0</v>
      </c>
    </row>
    <row r="85" spans="2:9" ht="78.75" hidden="1" x14ac:dyDescent="0.2">
      <c r="B85" s="419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52" t="s">
        <v>608</v>
      </c>
      <c r="D85" s="380">
        <f>SUMIFS(Пр11!G$10:G$1493,Пр11!$D$10:$D$1493,C85)</f>
        <v>0</v>
      </c>
      <c r="E85" s="380">
        <f>SUMIFS(Пр11!H$10:H$1493,Пр11!$D$10:$D$1493,C85)</f>
        <v>0</v>
      </c>
      <c r="F85" s="404">
        <f>SUMIFS(Пр11!I$10:I$1493,Пр11!$D$10:$D$1493,C85)</f>
        <v>0</v>
      </c>
      <c r="G85" s="404">
        <f>SUMIFS(Пр11!J$10:J$1493,Пр11!$D$10:$D$1493,C85)</f>
        <v>0</v>
      </c>
      <c r="H85" s="404">
        <f>SUMIFS(Пр11!K$10:K$1493,Пр11!$D$10:$D$1493,C85)</f>
        <v>0</v>
      </c>
      <c r="I85" s="404">
        <f>SUMIFS(Пр11!L$10:L$1493,Пр11!$D$10:$D$1493,C85)</f>
        <v>0</v>
      </c>
    </row>
    <row r="86" spans="2:9" ht="63" hidden="1" x14ac:dyDescent="0.2">
      <c r="B86" s="420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13" t="s">
        <v>610</v>
      </c>
      <c r="D86" s="379">
        <f>SUMIFS(Пр11!G$10:G$1493,Пр11!$D$10:$D$1493,C86)</f>
        <v>0</v>
      </c>
      <c r="E86" s="379">
        <f>SUMIFS(Пр11!H$10:H$1493,Пр11!$D$10:$D$1493,C86)</f>
        <v>0</v>
      </c>
      <c r="F86" s="404">
        <f>SUMIFS(Пр11!I$10:I$1493,Пр11!$D$10:$D$1493,C86)</f>
        <v>0</v>
      </c>
      <c r="G86" s="404">
        <f>SUMIFS(Пр11!J$10:J$1493,Пр11!$D$10:$D$1493,C86)</f>
        <v>0</v>
      </c>
      <c r="H86" s="404">
        <f>SUMIFS(Пр11!K$10:K$1493,Пр11!$D$10:$D$1493,C86)</f>
        <v>0</v>
      </c>
      <c r="I86" s="404">
        <f>SUMIFS(Пр11!L$10:L$1493,Пр11!$D$10:$D$1493,C86)</f>
        <v>0</v>
      </c>
    </row>
    <row r="87" spans="2:9" ht="47.25" hidden="1" x14ac:dyDescent="0.2">
      <c r="B87" s="419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52" t="s">
        <v>612</v>
      </c>
      <c r="D87" s="380">
        <f>SUMIFS(Пр11!G$10:G$1493,Пр11!$D$10:$D$1493,C87)</f>
        <v>0</v>
      </c>
      <c r="E87" s="380">
        <f>SUMIFS(Пр11!H$10:H$1493,Пр11!$D$10:$D$1493,C87)</f>
        <v>0</v>
      </c>
      <c r="F87" s="404">
        <f>SUMIFS(Пр11!I$10:I$1493,Пр11!$D$10:$D$1493,C87)</f>
        <v>0</v>
      </c>
      <c r="G87" s="404">
        <f>SUMIFS(Пр11!J$10:J$1493,Пр11!$D$10:$D$1493,C87)</f>
        <v>0</v>
      </c>
      <c r="H87" s="404">
        <f>SUMIFS(Пр11!K$10:K$1493,Пр11!$D$10:$D$1493,C87)</f>
        <v>0</v>
      </c>
      <c r="I87" s="404">
        <f>SUMIFS(Пр11!L$10:L$1493,Пр11!$D$10:$D$1493,C87)</f>
        <v>0</v>
      </c>
    </row>
    <row r="88" spans="2:9" ht="32.25" hidden="1" thickBot="1" x14ac:dyDescent="0.25">
      <c r="B88" s="416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56" t="s">
        <v>614</v>
      </c>
      <c r="D88" s="386">
        <f>SUMIFS(Пр11!G$10:G$1493,Пр11!$D$10:$D$1493,C88)</f>
        <v>0</v>
      </c>
      <c r="E88" s="386">
        <f>SUMIFS(Пр11!H$10:H$1493,Пр11!$D$10:$D$1493,C88)</f>
        <v>0</v>
      </c>
      <c r="F88" s="398">
        <f>SUMIFS(Пр11!I$10:I$1493,Пр11!$D$10:$D$1493,C88)</f>
        <v>0</v>
      </c>
      <c r="G88" s="398">
        <f>SUMIFS(Пр11!J$10:J$1493,Пр11!$D$10:$D$1493,C88)</f>
        <v>0</v>
      </c>
      <c r="H88" s="398">
        <f>SUMIFS(Пр11!K$10:K$1493,Пр11!$D$10:$D$1493,C88)</f>
        <v>0</v>
      </c>
      <c r="I88" s="398">
        <f>SUMIFS(Пр11!L$10:L$1493,Пр11!$D$10:$D$1493,C88)</f>
        <v>0</v>
      </c>
    </row>
    <row r="89" spans="2:9" ht="63.75" hidden="1" thickBot="1" x14ac:dyDescent="0.25">
      <c r="B89" s="411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49" t="s">
        <v>337</v>
      </c>
      <c r="D89" s="550">
        <f>SUMIFS(Пр11!G$10:G$1493,Пр11!$D$10:$D$1493,C89)</f>
        <v>0</v>
      </c>
      <c r="E89" s="508">
        <f>SUMIFS(Пр11!H$10:H$1493,Пр11!$D$10:$D$1493,C89)</f>
        <v>0</v>
      </c>
      <c r="F89" s="395">
        <f>SUMIFS(Пр11!I$10:I$1493,Пр11!$D$10:$D$1493,C89)</f>
        <v>0</v>
      </c>
      <c r="G89" s="550">
        <f>SUMIFS(Пр11!J$10:J$1493,Пр11!$D$10:$D$1493,C89)</f>
        <v>0</v>
      </c>
      <c r="H89" s="508">
        <f>SUMIFS(Пр11!K$10:K$1493,Пр11!$D$10:$D$1493,C89)</f>
        <v>0</v>
      </c>
      <c r="I89" s="396">
        <f>SUMIFS(Пр11!L$10:L$1493,Пр11!$D$10:$D$1493,C89)</f>
        <v>0</v>
      </c>
    </row>
    <row r="90" spans="2:9" ht="47.25" hidden="1" x14ac:dyDescent="0.2">
      <c r="B90" s="412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57" t="s">
        <v>347</v>
      </c>
      <c r="D90" s="377">
        <f>SUMIFS(Пр11!G$10:G$1493,Пр11!$D$10:$D$1493,C90)</f>
        <v>0</v>
      </c>
      <c r="E90" s="377">
        <f>SUMIFS(Пр11!H$10:H$1493,Пр11!$D$10:$D$1493,C90)</f>
        <v>0</v>
      </c>
      <c r="F90" s="397">
        <f>SUMIFS(Пр11!I$10:I$1493,Пр11!$D$10:$D$1493,C90)</f>
        <v>0</v>
      </c>
      <c r="G90" s="397">
        <f>SUMIFS(Пр11!J$10:J$1493,Пр11!$D$10:$D$1493,C90)</f>
        <v>0</v>
      </c>
      <c r="H90" s="397">
        <f>SUMIFS(Пр11!K$10:K$1493,Пр11!$D$10:$D$1493,C90)</f>
        <v>0</v>
      </c>
      <c r="I90" s="405">
        <f>SUMIFS(Пр11!L$10:L$1493,Пр11!$D$10:$D$1493,C90)</f>
        <v>0</v>
      </c>
    </row>
    <row r="91" spans="2:9" ht="63" hidden="1" x14ac:dyDescent="0.2">
      <c r="B91" s="413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13" t="s">
        <v>349</v>
      </c>
      <c r="D91" s="379">
        <f>SUMIFS(Пр11!G$10:G$1493,Пр11!$D$10:$D$1493,C91)</f>
        <v>0</v>
      </c>
      <c r="E91" s="379">
        <f>SUMIFS(Пр11!H$10:H$1493,Пр11!$D$10:$D$1493,C91)</f>
        <v>0</v>
      </c>
      <c r="F91" s="404">
        <f>SUMIFS(Пр11!I$10:I$1493,Пр11!$D$10:$D$1493,C91)</f>
        <v>0</v>
      </c>
      <c r="G91" s="404">
        <f>SUMIFS(Пр11!J$10:J$1493,Пр11!$D$10:$D$1493,C91)</f>
        <v>0</v>
      </c>
      <c r="H91" s="404">
        <f>SUMIFS(Пр11!K$10:K$1493,Пр11!$D$10:$D$1493,C91)</f>
        <v>0</v>
      </c>
      <c r="I91" s="406">
        <f>SUMIFS(Пр11!L$10:L$1493,Пр11!$D$10:$D$1493,C91)</f>
        <v>0</v>
      </c>
    </row>
    <row r="92" spans="2:9" ht="32.25" hidden="1" thickBot="1" x14ac:dyDescent="0.25">
      <c r="B92" s="418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56" t="s">
        <v>351</v>
      </c>
      <c r="D92" s="386">
        <f>SUMIFS(Пр11!G$10:G$1493,Пр11!$D$10:$D$1493,C92)</f>
        <v>0</v>
      </c>
      <c r="E92" s="379">
        <f>SUMIFS(Пр11!H$10:H$1493,Пр11!$D$10:$D$1493,C92)</f>
        <v>0</v>
      </c>
      <c r="F92" s="398">
        <f>SUMIFS(Пр11!I$10:I$1493,Пр11!$D$10:$D$1493,C92)</f>
        <v>0</v>
      </c>
      <c r="G92" s="398">
        <f>SUMIFS(Пр11!J$10:J$1493,Пр11!$D$10:$D$1493,C92)</f>
        <v>0</v>
      </c>
      <c r="H92" s="404">
        <f>SUMIFS(Пр11!K$10:K$1493,Пр11!$D$10:$D$1493,C92)</f>
        <v>0</v>
      </c>
      <c r="I92" s="429">
        <f>SUMIFS(Пр11!L$10:L$1493,Пр11!$D$10:$D$1493,C92)</f>
        <v>0</v>
      </c>
    </row>
    <row r="93" spans="2:9" ht="47.25" hidden="1" x14ac:dyDescent="0.2">
      <c r="B93" s="419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52" t="s">
        <v>353</v>
      </c>
      <c r="D93" s="565">
        <f>SUMIFS(Пр11!G$10:G$1493,Пр11!$D$10:$D$1493,C93)</f>
        <v>0</v>
      </c>
      <c r="E93" s="514">
        <f>SUMIFS(Пр11!H$10:H$1493,Пр11!$D$10:$D$1493,C93)</f>
        <v>0</v>
      </c>
      <c r="F93" s="551">
        <f>SUMIFS(Пр11!I$10:I$1493,Пр11!$D$10:$D$1493,C93)</f>
        <v>0</v>
      </c>
      <c r="G93" s="565">
        <f>SUMIFS(Пр11!J$10:J$1493,Пр11!$D$10:$D$1493,C93)</f>
        <v>0</v>
      </c>
      <c r="H93" s="514">
        <f>SUMIFS(Пр11!K$10:K$1493,Пр11!$D$10:$D$1493,C93)</f>
        <v>0</v>
      </c>
      <c r="I93" s="551">
        <f>SUMIFS(Пр11!L$10:L$1493,Пр11!$D$10:$D$1493,C93)</f>
        <v>0</v>
      </c>
    </row>
    <row r="94" spans="2:9" ht="47.25" hidden="1" x14ac:dyDescent="0.2">
      <c r="B94" s="420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13" t="s">
        <v>355</v>
      </c>
      <c r="D94" s="563">
        <f>SUMIFS(Пр11!G$10:G$1493,Пр11!$D$10:$D$1493,C94)</f>
        <v>0</v>
      </c>
      <c r="E94" s="510">
        <f>SUMIFS(Пр11!H$10:H$1493,Пр11!$D$10:$D$1493,C94)</f>
        <v>0</v>
      </c>
      <c r="F94" s="151">
        <f>SUMIFS(Пр11!I$10:I$1493,Пр11!$D$10:$D$1493,C94)</f>
        <v>0</v>
      </c>
      <c r="G94" s="563">
        <f>SUMIFS(Пр11!J$10:J$1493,Пр11!$D$10:$D$1493,C94)</f>
        <v>0</v>
      </c>
      <c r="H94" s="510">
        <f>SUMIFS(Пр11!K$10:K$1493,Пр11!$D$10:$D$1493,C94)</f>
        <v>0</v>
      </c>
      <c r="I94" s="151">
        <f>SUMIFS(Пр11!L$10:L$1493,Пр11!$D$10:$D$1493,C94)</f>
        <v>0</v>
      </c>
    </row>
    <row r="95" spans="2:9" ht="47.25" hidden="1" x14ac:dyDescent="0.25">
      <c r="B95" s="691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591" t="s">
        <v>338</v>
      </c>
      <c r="D95" s="692">
        <f>SUMIFS(Пр11!G$10:G$1493,Пр11!$D$10:$D$1493,C95)</f>
        <v>0</v>
      </c>
      <c r="E95" s="693">
        <f>SUMIFS(Пр11!H$10:H$1493,Пр11!$D$10:$D$1493,C95)</f>
        <v>0</v>
      </c>
      <c r="F95" s="580">
        <f>SUMIFS(Пр11!I$10:I$1493,Пр11!$D$10:$D$1493,C95)</f>
        <v>0</v>
      </c>
      <c r="G95" s="692">
        <f>SUMIFS(Пр11!J$10:J$1493,Пр11!$D$10:$D$1493,C95)</f>
        <v>0</v>
      </c>
      <c r="H95" s="693">
        <f>SUMIFS(Пр11!K$10:K$1493,Пр11!$D$10:$D$1493,C95)</f>
        <v>0</v>
      </c>
      <c r="I95" s="580">
        <f>SUMIFS(Пр11!L$10:L$1493,Пр11!$D$10:$D$1493,C95)</f>
        <v>0</v>
      </c>
    </row>
    <row r="96" spans="2:9" ht="47.25" hidden="1" x14ac:dyDescent="0.2">
      <c r="B96" s="420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13" t="s">
        <v>340</v>
      </c>
      <c r="D96" s="560">
        <f>SUMIFS(Пр11!G$10:G$1493,Пр11!$D$10:$D$1493,C96)</f>
        <v>0</v>
      </c>
      <c r="E96" s="151">
        <f>SUMIFS(Пр11!H$10:H$1493,Пр11!$D$10:$D$1493,C96)</f>
        <v>0</v>
      </c>
      <c r="F96" s="151">
        <f>SUMIFS(Пр11!I$10:I$1493,Пр11!$D$10:$D$1493,C96)</f>
        <v>0</v>
      </c>
      <c r="G96" s="560">
        <f>SUMIFS(Пр11!J$10:J$1493,Пр11!$D$10:$D$1493,C96)</f>
        <v>0</v>
      </c>
      <c r="H96" s="151">
        <f>SUMIFS(Пр11!K$10:K$1493,Пр11!$D$10:$D$1493,C96)</f>
        <v>0</v>
      </c>
      <c r="I96" s="151">
        <f>SUMIFS(Пр11!L$10:L$1493,Пр11!$D$10:$D$1493,C96)</f>
        <v>0</v>
      </c>
    </row>
    <row r="97" spans="2:9" ht="31.5" hidden="1" x14ac:dyDescent="0.2">
      <c r="B97" s="420" t="str">
        <f>IF(C97&gt;0,VLOOKUP(C97,Программа!A$2:B$5124,2))</f>
        <v xml:space="preserve">Кадровое обеспечение агропромышленного комплекса </v>
      </c>
      <c r="C97" s="113" t="s">
        <v>342</v>
      </c>
      <c r="D97" s="560">
        <f>SUMIFS(Пр11!G$10:G$1493,Пр11!$D$10:$D$1493,C97)</f>
        <v>0</v>
      </c>
      <c r="E97" s="151">
        <f>SUMIFS(Пр11!H$10:H$1493,Пр11!$D$10:$D$1493,C97)</f>
        <v>0</v>
      </c>
      <c r="F97" s="151">
        <f>SUMIFS(Пр11!I$10:I$1493,Пр11!$D$10:$D$1493,C97)</f>
        <v>0</v>
      </c>
      <c r="G97" s="560">
        <f>SUMIFS(Пр11!J$10:J$1493,Пр11!$D$10:$D$1493,C97)</f>
        <v>0</v>
      </c>
      <c r="H97" s="151">
        <f>SUMIFS(Пр11!K$10:K$1493,Пр11!$D$10:$D$1493,C97)</f>
        <v>0</v>
      </c>
      <c r="I97" s="151">
        <f>SUMIFS(Пр11!L$10:L$1493,Пр11!$D$10:$D$1493,C97)</f>
        <v>0</v>
      </c>
    </row>
    <row r="98" spans="2:9" ht="63" hidden="1" x14ac:dyDescent="0.25">
      <c r="B98" s="218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17" t="s">
        <v>345</v>
      </c>
      <c r="D98" s="578">
        <f>SUMIFS(Пр11!G$10:G$1493,Пр11!$D$10:$D$1493,C98)</f>
        <v>0</v>
      </c>
      <c r="E98" s="144">
        <f>SUMIFS(Пр11!H$10:H$1493,Пр11!$D$10:$D$1493,C98)</f>
        <v>0</v>
      </c>
      <c r="F98" s="144">
        <f>SUMIFS(Пр11!I$10:I$1493,Пр11!$D$10:$D$1493,C98)</f>
        <v>0</v>
      </c>
      <c r="G98" s="578">
        <f>SUMIFS(Пр11!J$10:J$1493,Пр11!$D$10:$D$1493,C98)</f>
        <v>0</v>
      </c>
      <c r="H98" s="144">
        <f>SUMIFS(Пр11!K$10:K$1493,Пр11!$D$10:$D$1493,C98)</f>
        <v>0</v>
      </c>
      <c r="I98" s="144">
        <f>SUMIFS(Пр11!L$10:L$1493,Пр11!$D$10:$D$1493,C98)</f>
        <v>0</v>
      </c>
    </row>
    <row r="99" spans="2:9" ht="63.75" hidden="1" thickBot="1" x14ac:dyDescent="0.25">
      <c r="B99" s="534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35" t="s">
        <v>318</v>
      </c>
      <c r="D99" s="536">
        <f>SUMIFS(Пр11!G$10:G$1493,Пр11!$D$10:$D$1493,C99)</f>
        <v>0</v>
      </c>
      <c r="E99" s="536">
        <f>SUMIFS(Пр11!H$10:H$1493,Пр11!$D$10:$D$1493,C99)</f>
        <v>0</v>
      </c>
      <c r="F99" s="409">
        <f>SUMIFS(Пр11!I$10:I$1493,Пр11!$D$10:$D$1493,C99)</f>
        <v>0</v>
      </c>
      <c r="G99" s="409">
        <f>SUMIFS(Пр11!J$10:J$1493,Пр11!$D$10:$D$1493,C99)</f>
        <v>0</v>
      </c>
      <c r="H99" s="409">
        <f>SUMIFS(Пр11!K$10:K$1493,Пр11!$D$10:$D$1493,C99)</f>
        <v>0</v>
      </c>
      <c r="I99" s="410">
        <f>SUMIFS(Пр11!L$10:L$1493,Пр11!$D$10:$D$1493,C99)</f>
        <v>0</v>
      </c>
    </row>
    <row r="100" spans="2:9" s="383" customFormat="1" hidden="1" x14ac:dyDescent="0.2">
      <c r="B100" s="412">
        <f>IF(C100&gt;0,VLOOKUP(C100,Программа!A$2:B$5124,2))</f>
        <v>0</v>
      </c>
      <c r="C100" s="157" t="s">
        <v>484</v>
      </c>
      <c r="D100" s="377">
        <f>SUMIFS(Пр11!G$10:G$1493,Пр11!$D$10:$D$1493,C100)</f>
        <v>0</v>
      </c>
      <c r="E100" s="377">
        <f>SUMIFS(Пр11!H$10:H$1493,Пр11!$D$10:$D$1493,C100)</f>
        <v>0</v>
      </c>
      <c r="F100" s="397">
        <f>SUMIFS(Пр11!I$10:I$1493,Пр11!$D$10:$D$1493,C100)</f>
        <v>0</v>
      </c>
      <c r="G100" s="397">
        <f>SUMIFS(Пр11!J$10:J$1493,Пр11!$D$10:$D$1493,C100)</f>
        <v>0</v>
      </c>
      <c r="H100" s="397">
        <f>SUMIFS(Пр11!K$10:K$1493,Пр11!$D$10:$D$1493,C100)</f>
        <v>0</v>
      </c>
      <c r="I100" s="405">
        <f>SUMIFS(Пр11!L$10:L$1493,Пр11!$D$10:$D$1493,C100)</f>
        <v>0</v>
      </c>
    </row>
    <row r="101" spans="2:9" s="383" customFormat="1" ht="63" hidden="1" x14ac:dyDescent="0.2">
      <c r="B101" s="414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52" t="s">
        <v>481</v>
      </c>
      <c r="D101" s="380">
        <f>SUMIFS(Пр11!G$10:G$1493,Пр11!$D$10:$D$1493,C101)</f>
        <v>0</v>
      </c>
      <c r="E101" s="380">
        <f>SUMIFS(Пр11!H$10:H$1493,Пр11!$D$10:$D$1493,C101)</f>
        <v>0</v>
      </c>
      <c r="F101" s="404">
        <f>SUMIFS(Пр11!I$10:I$1493,Пр11!$D$10:$D$1493,C101)</f>
        <v>0</v>
      </c>
      <c r="G101" s="404">
        <f>SUMIFS(Пр11!J$10:J$1493,Пр11!$D$10:$D$1493,C101)</f>
        <v>0</v>
      </c>
      <c r="H101" s="404">
        <f>SUMIFS(Пр11!K$10:K$1493,Пр11!$D$10:$D$1493,C101)</f>
        <v>0</v>
      </c>
      <c r="I101" s="406">
        <f>SUMIFS(Пр11!L$10:L$1493,Пр11!$D$10:$D$1493,C101)</f>
        <v>0</v>
      </c>
    </row>
    <row r="102" spans="2:9" ht="63" hidden="1" x14ac:dyDescent="0.2">
      <c r="B102" s="414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52" t="s">
        <v>475</v>
      </c>
      <c r="D102" s="380">
        <f>SUMIFS(Пр11!G$10:G$1493,Пр11!$D$10:$D$1493,C102)</f>
        <v>0</v>
      </c>
      <c r="E102" s="380">
        <f>SUMIFS(Пр11!H$10:H$1493,Пр11!$D$10:$D$1493,C102)</f>
        <v>0</v>
      </c>
      <c r="F102" s="404">
        <f>SUMIFS(Пр11!I$10:I$1493,Пр11!$D$10:$D$1493,C102)</f>
        <v>0</v>
      </c>
      <c r="G102" s="404">
        <f>SUMIFS(Пр11!J$10:J$1493,Пр11!$D$10:$D$1493,C102)</f>
        <v>0</v>
      </c>
      <c r="H102" s="404">
        <f>SUMIFS(Пр11!K$10:K$1493,Пр11!$D$10:$D$1493,C102)</f>
        <v>0</v>
      </c>
      <c r="I102" s="406">
        <f>SUMIFS(Пр11!L$10:L$1493,Пр11!$D$10:$D$1493,C102)</f>
        <v>0</v>
      </c>
    </row>
    <row r="103" spans="2:9" ht="63" hidden="1" x14ac:dyDescent="0.2">
      <c r="B103" s="413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13" t="s">
        <v>476</v>
      </c>
      <c r="D103" s="379">
        <f>SUMIFS(Пр11!G$10:G$1493,Пр11!$D$10:$D$1493,C103)</f>
        <v>0</v>
      </c>
      <c r="E103" s="379">
        <f>SUMIFS(Пр11!H$10:H$1493,Пр11!$D$10:$D$1493,C103)</f>
        <v>0</v>
      </c>
      <c r="F103" s="404">
        <f>SUMIFS(Пр11!I$10:I$1493,Пр11!$D$10:$D$1493,C103)</f>
        <v>0</v>
      </c>
      <c r="G103" s="404">
        <f>SUMIFS(Пр11!J$10:J$1493,Пр11!$D$10:$D$1493,C103)</f>
        <v>0</v>
      </c>
      <c r="H103" s="404">
        <f>SUMIFS(Пр11!K$10:K$1493,Пр11!$D$10:$D$1493,C103)</f>
        <v>0</v>
      </c>
      <c r="I103" s="406">
        <f>SUMIFS(Пр11!L$10:L$1493,Пр11!$D$10:$D$1493,C103)</f>
        <v>0</v>
      </c>
    </row>
    <row r="104" spans="2:9" ht="63" hidden="1" x14ac:dyDescent="0.2">
      <c r="B104" s="414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52" t="s">
        <v>319</v>
      </c>
      <c r="D104" s="380">
        <f>SUMIFS(Пр11!G$10:G$1493,Пр11!$D$10:$D$1493,C104)</f>
        <v>0</v>
      </c>
      <c r="E104" s="380">
        <f>SUMIFS(Пр11!H$10:H$1493,Пр11!$D$10:$D$1493,C104)</f>
        <v>0</v>
      </c>
      <c r="F104" s="404">
        <f>SUMIFS(Пр11!I$10:I$1493,Пр11!$D$10:$D$1493,C104)</f>
        <v>0</v>
      </c>
      <c r="G104" s="404">
        <f>SUMIFS(Пр11!J$10:J$1493,Пр11!$D$10:$D$1493,C104)</f>
        <v>0</v>
      </c>
      <c r="H104" s="404">
        <f>SUMIFS(Пр11!K$10:K$1493,Пр11!$D$10:$D$1493,C104)</f>
        <v>0</v>
      </c>
      <c r="I104" s="406">
        <f>SUMIFS(Пр11!L$10:L$1493,Пр11!$D$10:$D$1493,C104)</f>
        <v>0</v>
      </c>
    </row>
    <row r="105" spans="2:9" ht="63.75" hidden="1" thickBot="1" x14ac:dyDescent="0.25">
      <c r="B105" s="415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60" t="s">
        <v>320</v>
      </c>
      <c r="D105" s="384">
        <f>SUMIFS(Пр11!G$10:G$1493,Пр11!$D$10:$D$1493,C105)</f>
        <v>0</v>
      </c>
      <c r="E105" s="384">
        <f>SUMIFS(Пр11!H$10:H$1493,Пр11!$D$10:$D$1493,C105)</f>
        <v>0</v>
      </c>
      <c r="F105" s="407">
        <f>SUMIFS(Пр11!I$10:I$1493,Пр11!$D$10:$D$1493,C105)</f>
        <v>0</v>
      </c>
      <c r="G105" s="407">
        <f>SUMIFS(Пр11!J$10:J$1493,Пр11!$D$10:$D$1493,C105)</f>
        <v>0</v>
      </c>
      <c r="H105" s="407">
        <f>SUMIFS(Пр11!K$10:K$1493,Пр11!$D$10:$D$1493,C105)</f>
        <v>0</v>
      </c>
      <c r="I105" s="408">
        <f>SUMIFS(Пр11!L$10:L$1493,Пр11!$D$10:$D$1493,C105)</f>
        <v>0</v>
      </c>
    </row>
    <row r="106" spans="2:9" ht="79.5" hidden="1" thickBot="1" x14ac:dyDescent="0.25">
      <c r="B106" s="411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49" t="s">
        <v>322</v>
      </c>
      <c r="D106" s="370">
        <f>SUMIFS(Пр11!G$10:G$1493,Пр11!$D$10:$D$1493,C106)</f>
        <v>0</v>
      </c>
      <c r="E106" s="370">
        <f>SUMIFS(Пр11!H$10:H$1493,Пр11!$D$10:$D$1493,C106)</f>
        <v>0</v>
      </c>
      <c r="F106" s="395">
        <f>SUMIFS(Пр11!I$10:I$1493,Пр11!$D$10:$D$1493,C106)</f>
        <v>0</v>
      </c>
      <c r="G106" s="395">
        <f>SUMIFS(Пр11!J$10:J$1493,Пр11!$D$10:$D$1493,C106)</f>
        <v>0</v>
      </c>
      <c r="H106" s="395">
        <f>SUMIFS(Пр11!K$10:K$1493,Пр11!$D$10:$D$1493,C106)</f>
        <v>0</v>
      </c>
      <c r="I106" s="396">
        <f>SUMIFS(Пр11!L$10:L$1493,Пр11!$D$10:$D$1493,C106)</f>
        <v>0</v>
      </c>
    </row>
    <row r="107" spans="2:9" ht="48" hidden="1" thickBot="1" x14ac:dyDescent="0.25">
      <c r="B107" s="430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58" t="s">
        <v>323</v>
      </c>
      <c r="D107" s="387">
        <f>SUMIFS(Пр11!G$10:G$1493,Пр11!$D$10:$D$1493,C107)</f>
        <v>0</v>
      </c>
      <c r="E107" s="371">
        <f>SUMIFS(Пр11!H$10:H$1493,Пр11!$D$10:$D$1493,C107)</f>
        <v>0</v>
      </c>
      <c r="F107" s="399">
        <f>SUMIFS(Пр11!I$10:I$1493,Пр11!$D$10:$D$1493,C107)</f>
        <v>0</v>
      </c>
      <c r="G107" s="399">
        <f>SUMIFS(Пр11!J$10:J$1493,Пр11!$D$10:$D$1493,C107)</f>
        <v>0</v>
      </c>
      <c r="H107" s="409">
        <f>SUMIFS(Пр11!K$10:K$1493,Пр11!$D$10:$D$1493,C107)</f>
        <v>0</v>
      </c>
      <c r="I107" s="431">
        <f>SUMIFS(Пр11!L$10:L$1493,Пр11!$D$10:$D$1493,C107)</f>
        <v>0</v>
      </c>
    </row>
    <row r="108" spans="2:9" ht="48" thickBot="1" x14ac:dyDescent="0.25">
      <c r="B108" s="411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559" t="s">
        <v>326</v>
      </c>
      <c r="D108" s="550">
        <f>SUMIFS(Пр11!G$10:G$1493,Пр11!$D$10:$D$1493,C108)</f>
        <v>1150000</v>
      </c>
      <c r="E108" s="508">
        <f>SUMIFS(Пр11!H$10:H$1493,Пр11!$D$10:$D$1493,C108)</f>
        <v>0</v>
      </c>
      <c r="F108" s="442">
        <f>SUMIFS(Пр11!I$10:I$1493,Пр11!$D$10:$D$1493,C108)</f>
        <v>1150000</v>
      </c>
      <c r="G108" s="550">
        <f>SUMIFS(Пр11!J$10:J$1493,Пр11!$D$10:$D$1493,C108)</f>
        <v>0</v>
      </c>
      <c r="H108" s="508">
        <f>SUMIFS(Пр11!K$10:K$1493,Пр11!$D$10:$D$1493,C108)</f>
        <v>0</v>
      </c>
      <c r="I108" s="442">
        <f>SUMIFS(Пр11!L$10:L$1493,Пр11!$D$10:$D$1493,C108)</f>
        <v>0</v>
      </c>
    </row>
    <row r="109" spans="2:9" ht="32.25" thickBot="1" x14ac:dyDescent="0.3">
      <c r="B109" s="688" t="str">
        <f>IF(C109&gt;0,VLOOKUP(C109,Программа!A$2:B$5124,2))</f>
        <v>Бесперебойное функционирование информационных систем</v>
      </c>
      <c r="C109" s="584" t="s">
        <v>360</v>
      </c>
      <c r="D109" s="689">
        <f>SUMIFS(Пр11!G$10:G$1493,Пр11!$D$10:$D$1493,C109)</f>
        <v>1150000</v>
      </c>
      <c r="E109" s="690">
        <f>SUMIFS(Пр11!H$10:H$1493,Пр11!$D$10:$D$1493,C109)</f>
        <v>0</v>
      </c>
      <c r="F109" s="585">
        <f>SUMIFS(Пр11!I$10:I$1493,Пр11!$D$10:$D$1493,C109)</f>
        <v>1150000</v>
      </c>
      <c r="G109" s="689">
        <f>SUMIFS(Пр11!J$10:J$1493,Пр11!$D$10:$D$1493,C109)</f>
        <v>0</v>
      </c>
      <c r="H109" s="690">
        <f>SUMIFS(Пр11!K$10:K$1493,Пр11!$D$10:$D$1493,C109)</f>
        <v>0</v>
      </c>
      <c r="I109" s="585">
        <f>SUMIFS(Пр11!L$10:L$1493,Пр11!$D$10:$D$1493,C109)</f>
        <v>0</v>
      </c>
    </row>
    <row r="110" spans="2:9" ht="48" hidden="1" thickBot="1" x14ac:dyDescent="0.25">
      <c r="B110" s="424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362" t="s">
        <v>328</v>
      </c>
      <c r="D110" s="371">
        <f>SUMIFS(Пр11!G$10:G$1493,Пр11!$D$10:$D$1493,C110)</f>
        <v>0</v>
      </c>
      <c r="E110" s="384">
        <f>SUMIFS(Пр11!H$10:H$1493,Пр11!$D$10:$D$1493,C110)</f>
        <v>0</v>
      </c>
      <c r="F110" s="409">
        <f>SUMIFS(Пр11!I$10:I$1493,Пр11!$D$10:$D$1493,C110)</f>
        <v>0</v>
      </c>
      <c r="G110" s="409">
        <f>SUMIFS(Пр11!J$10:J$1493,Пр11!$D$10:$D$1493,C110)</f>
        <v>0</v>
      </c>
      <c r="H110" s="407">
        <f>SUMIFS(Пр11!K$10:K$1493,Пр11!$D$10:$D$1493,C110)</f>
        <v>0</v>
      </c>
      <c r="I110" s="410">
        <f>SUMIFS(Пр11!L$10:L$1493,Пр11!$D$10:$D$1493,C110)</f>
        <v>0</v>
      </c>
    </row>
    <row r="111" spans="2:9" ht="79.5" thickBot="1" x14ac:dyDescent="0.25">
      <c r="B111" s="411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559" t="s">
        <v>330</v>
      </c>
      <c r="D111" s="567">
        <f>SUMIFS(Пр11!G$10:G$1493,Пр11!$D$10:$D$1493,C111)</f>
        <v>600000</v>
      </c>
      <c r="E111" s="569">
        <f>SUMIFS(Пр11!H$10:H$1493,Пр11!$D$10:$D$1493,C111)</f>
        <v>0</v>
      </c>
      <c r="F111" s="442">
        <f>SUMIFS(Пр11!I$10:I$1493,Пр11!$D$10:$D$1493,C111)</f>
        <v>600000</v>
      </c>
      <c r="G111" s="567">
        <f>SUMIFS(Пр11!J$10:J$1493,Пр11!$D$10:$D$1493,C111)</f>
        <v>600000</v>
      </c>
      <c r="H111" s="569">
        <f>SUMIFS(Пр11!K$10:K$1493,Пр11!$D$10:$D$1493,C111)</f>
        <v>0</v>
      </c>
      <c r="I111" s="442">
        <f>SUMIFS(Пр11!L$10:L$1493,Пр11!$D$10:$D$1493,C111)</f>
        <v>600000</v>
      </c>
    </row>
    <row r="112" spans="2:9" ht="63.75" thickBot="1" x14ac:dyDescent="0.25">
      <c r="B112" s="421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59" t="s">
        <v>1684</v>
      </c>
      <c r="D112" s="562">
        <f>SUMIFS(Пр11!G$10:G$1493,Пр11!$D$10:$D$1493,C112)</f>
        <v>600000</v>
      </c>
      <c r="E112" s="400">
        <f>SUMIFS(Пр11!H$10:H$1493,Пр11!$D$10:$D$1493,C112)</f>
        <v>0</v>
      </c>
      <c r="F112" s="400">
        <f>SUMIFS(Пр11!I$10:I$1493,Пр11!$D$10:$D$1493,C112)</f>
        <v>600000</v>
      </c>
      <c r="G112" s="562">
        <f>SUMIFS(Пр11!J$10:J$1493,Пр11!$D$10:$D$1493,C112)</f>
        <v>600000</v>
      </c>
      <c r="H112" s="397">
        <f>SUMIFS(Пр11!K$10:K$1493,Пр11!$D$10:$D$1493,C112)</f>
        <v>0</v>
      </c>
      <c r="I112" s="400">
        <f>SUMIFS(Пр11!L$10:L$1493,Пр11!$D$10:$D$1493,C112)</f>
        <v>600000</v>
      </c>
    </row>
    <row r="113" spans="2:9" ht="79.5" hidden="1" thickBot="1" x14ac:dyDescent="0.25">
      <c r="B113" s="418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56" t="s">
        <v>616</v>
      </c>
      <c r="D113" s="386">
        <f>SUMIFS(Пр11!G$10:G$1493,Пр11!$D$10:$D$1493,C113)</f>
        <v>0</v>
      </c>
      <c r="E113" s="384">
        <f>SUMIFS(Пр11!H$10:H$1493,Пр11!$D$10:$D$1493,C113)</f>
        <v>0</v>
      </c>
      <c r="F113" s="398">
        <f>SUMIFS(Пр11!I$10:I$1493,Пр11!$D$10:$D$1493,C113)</f>
        <v>0</v>
      </c>
      <c r="G113" s="398">
        <f>SUMIFS(Пр11!J$10:J$1493,Пр11!$D$10:$D$1493,C113)</f>
        <v>0</v>
      </c>
      <c r="H113" s="407">
        <f>SUMIFS(Пр11!K$10:K$1493,Пр11!$D$10:$D$1493,C113)</f>
        <v>0</v>
      </c>
      <c r="I113" s="429">
        <f>SUMIFS(Пр11!L$10:L$1493,Пр11!$D$10:$D$1493,C113)</f>
        <v>0</v>
      </c>
    </row>
    <row r="114" spans="2:9" ht="63.75" thickBot="1" x14ac:dyDescent="0.25">
      <c r="B114" s="411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559" t="s">
        <v>426</v>
      </c>
      <c r="D114" s="550">
        <f>SUMIFS(Пр11!G$10:G$1493,Пр11!$D$10:$D$1493,C114)</f>
        <v>200000</v>
      </c>
      <c r="E114" s="508">
        <f>SUMIFS(Пр11!H$10:H$1493,Пр11!$D$10:$D$1493,C114)</f>
        <v>0</v>
      </c>
      <c r="F114" s="442">
        <f>SUMIFS(Пр11!I$10:I$1493,Пр11!$D$10:$D$1493,C114)</f>
        <v>200000</v>
      </c>
      <c r="G114" s="550">
        <f>SUMIFS(Пр11!J$10:J$1493,Пр11!$D$10:$D$1493,C114)</f>
        <v>200000</v>
      </c>
      <c r="H114" s="508">
        <f>SUMIFS(Пр11!K$10:K$1493,Пр11!$D$10:$D$1493,C114)</f>
        <v>0</v>
      </c>
      <c r="I114" s="442">
        <f>SUMIFS(Пр11!L$10:L$1493,Пр11!$D$10:$D$1493,C114)</f>
        <v>200000</v>
      </c>
    </row>
    <row r="115" spans="2:9" ht="32.25" thickBot="1" x14ac:dyDescent="0.25">
      <c r="B115" s="417" t="str">
        <f>IF(C115&gt;0,VLOOKUP(C115,Программа!A$2:B$5124,2))</f>
        <v>Реализация мероприятий по профилактике правонарушений</v>
      </c>
      <c r="C115" s="158" t="s">
        <v>428</v>
      </c>
      <c r="D115" s="568">
        <f>SUMIFS(Пр11!G$10:G$1493,Пр11!$D$10:$D$1493,C115)</f>
        <v>200000</v>
      </c>
      <c r="E115" s="484">
        <f>SUMIFS(Пр11!H$10:H$1493,Пр11!$D$10:$D$1493,C115)</f>
        <v>0</v>
      </c>
      <c r="F115" s="433">
        <f>SUMIFS(Пр11!I$10:I$1493,Пр11!$D$10:$D$1493,C115)</f>
        <v>200000</v>
      </c>
      <c r="G115" s="568">
        <f>SUMIFS(Пр11!J$10:J$1493,Пр11!$D$10:$D$1493,C115)</f>
        <v>200000</v>
      </c>
      <c r="H115" s="484">
        <f>SUMIFS(Пр11!K$10:K$1493,Пр11!$D$10:$D$1493,C115)</f>
        <v>0</v>
      </c>
      <c r="I115" s="433">
        <f>SUMIFS(Пр11!L$10:L$1493,Пр11!$D$10:$D$1493,C115)</f>
        <v>200000</v>
      </c>
    </row>
    <row r="116" spans="2:9" ht="63.75" thickBot="1" x14ac:dyDescent="0.25">
      <c r="B116" s="411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559" t="s">
        <v>533</v>
      </c>
      <c r="D116" s="550">
        <f>SUMIFS(Пр11!G$10:G$1493,Пр11!$D$10:$D$1493,C116)</f>
        <v>11830000</v>
      </c>
      <c r="E116" s="508">
        <f>SUMIFS(Пр11!H$10:H$1493,Пр11!$D$10:$D$1493,C116)</f>
        <v>0</v>
      </c>
      <c r="F116" s="442">
        <f>SUMIFS(Пр11!I$10:I$1493,Пр11!$D$10:$D$1493,C116)</f>
        <v>11830000</v>
      </c>
      <c r="G116" s="550">
        <f>SUMIFS(Пр11!J$10:J$1493,Пр11!$D$10:$D$1493,C116)</f>
        <v>0</v>
      </c>
      <c r="H116" s="508">
        <f>SUMIFS(Пр11!K$10:K$1493,Пр11!$D$10:$D$1493,C116)</f>
        <v>0</v>
      </c>
      <c r="I116" s="442">
        <f>SUMIFS(Пр11!L$10:L$1493,Пр11!$D$10:$D$1493,C116)</f>
        <v>0</v>
      </c>
    </row>
    <row r="117" spans="2:9" ht="63" hidden="1" x14ac:dyDescent="0.2">
      <c r="B117" s="425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59" t="s">
        <v>535</v>
      </c>
      <c r="D117" s="378">
        <f>SUMIFS(Пр11!G$10:G$1493,Пр11!$D$10:$D$1493,C117)</f>
        <v>0</v>
      </c>
      <c r="E117" s="378">
        <f>SUMIFS(Пр11!H$10:H$1493,Пр11!$D$10:$D$1493,C117)</f>
        <v>0</v>
      </c>
      <c r="F117" s="400">
        <f>SUMIFS(Пр11!I$10:I$1493,Пр11!$D$10:$D$1493,C117)</f>
        <v>0</v>
      </c>
      <c r="G117" s="400">
        <f>SUMIFS(Пр11!J$10:J$1493,Пр11!$D$10:$D$1493,C117)</f>
        <v>0</v>
      </c>
      <c r="H117" s="400">
        <f>SUMIFS(Пр11!K$10:K$1493,Пр11!$D$10:$D$1493,C117)</f>
        <v>0</v>
      </c>
      <c r="I117" s="401">
        <f>SUMIFS(Пр11!L$10:L$1493,Пр11!$D$10:$D$1493,C117)</f>
        <v>0</v>
      </c>
    </row>
    <row r="118" spans="2:9" ht="63.75" hidden="1" thickBot="1" x14ac:dyDescent="0.25">
      <c r="B118" s="418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56" t="s">
        <v>537</v>
      </c>
      <c r="D118" s="386">
        <f>SUMIFS(Пр11!G$10:G$1493,Пр11!$D$10:$D$1493,C118)</f>
        <v>0</v>
      </c>
      <c r="E118" s="379">
        <f>SUMIFS(Пр11!H$10:H$1493,Пр11!$D$10:$D$1493,C118)</f>
        <v>0</v>
      </c>
      <c r="F118" s="402">
        <f>SUMIFS(Пр11!I$10:I$1493,Пр11!$D$10:$D$1493,C118)</f>
        <v>0</v>
      </c>
      <c r="G118" s="402">
        <f>SUMIFS(Пр11!J$10:J$1493,Пр11!$D$10:$D$1493,C118)</f>
        <v>0</v>
      </c>
      <c r="H118" s="151">
        <f>SUMIFS(Пр11!K$10:K$1493,Пр11!$D$10:$D$1493,C118)</f>
        <v>0</v>
      </c>
      <c r="I118" s="403">
        <f>SUMIFS(Пр11!L$10:L$1493,Пр11!$D$10:$D$1493,C118)</f>
        <v>0</v>
      </c>
    </row>
    <row r="119" spans="2:9" ht="35.25" customHeight="1" thickBot="1" x14ac:dyDescent="0.3">
      <c r="B119" s="218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17" t="s">
        <v>539</v>
      </c>
      <c r="D119" s="686">
        <f>SUMIFS(Пр11!G$10:G$1493,Пр11!$D$10:$D$1493,C119)</f>
        <v>11830000</v>
      </c>
      <c r="E119" s="687">
        <f>SUMIFS(Пр11!H$10:H$1493,Пр11!$D$10:$D$1493,C119)</f>
        <v>0</v>
      </c>
      <c r="F119" s="144">
        <f>SUMIFS(Пр11!I$10:I$1493,Пр11!$D$10:$D$1493,C119)</f>
        <v>11830000</v>
      </c>
      <c r="G119" s="686">
        <f>SUMIFS(Пр11!J$10:J$1493,Пр11!$D$10:$D$1493,C119)</f>
        <v>0</v>
      </c>
      <c r="H119" s="687">
        <f>SUMIFS(Пр11!K$10:K$1493,Пр11!$D$10:$D$1493,C119)</f>
        <v>0</v>
      </c>
      <c r="I119" s="144">
        <f>SUMIFS(Пр11!L$10:L$1493,Пр11!$D$10:$D$1493,C119)</f>
        <v>0</v>
      </c>
    </row>
    <row r="120" spans="2:9" ht="32.25" hidden="1" thickBot="1" x14ac:dyDescent="0.25">
      <c r="B120" s="416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56" t="s">
        <v>1194</v>
      </c>
      <c r="D120" s="564">
        <f>SUMIFS(Пр11!G$10:G$1493,Пр11!$D$10:$D$1493,C120)</f>
        <v>0</v>
      </c>
      <c r="E120" s="518"/>
      <c r="F120" s="402">
        <f>SUMIFS(Пр11!I$10:I$1493,Пр11!$D$10:$D$1493,C120)</f>
        <v>0</v>
      </c>
      <c r="G120" s="564">
        <f>SUMIFS(Пр11!J$10:J$1493,Пр11!$D$10:$D$1493,C120)</f>
        <v>0</v>
      </c>
      <c r="H120" s="518"/>
      <c r="I120" s="402">
        <f>SUMIFS(Пр11!L$10:L$1493,Пр11!$D$10:$D$1493,C120)</f>
        <v>0</v>
      </c>
    </row>
    <row r="121" spans="2:9" ht="32.25" hidden="1" thickBot="1" x14ac:dyDescent="0.25">
      <c r="B121" s="411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570" t="s">
        <v>622</v>
      </c>
      <c r="D121" s="724">
        <f>SUMIFS(Пр11!G$10:G$1493,Пр11!$D$10:$D$1493,C121)</f>
        <v>0</v>
      </c>
      <c r="E121" s="505">
        <f>SUMIFS(Пр11!H$10:H$1493,Пр11!$D$10:$D$1493,C121)</f>
        <v>0</v>
      </c>
      <c r="F121" s="442">
        <f>SUMIFS(Пр11!I$10:I$1493,Пр11!$D$10:$D$1493,C121)</f>
        <v>0</v>
      </c>
      <c r="G121" s="550">
        <f>SUMIFS(Пр11!J$10:J$1493,Пр11!$D$10:$D$1493,C121)</f>
        <v>0</v>
      </c>
      <c r="H121" s="508">
        <f>SUMIFS(Пр11!K$10:K$1493,Пр11!$D$10:$D$1493,C121)</f>
        <v>0</v>
      </c>
      <c r="I121" s="442">
        <f>SUMIFS(Пр11!L$10:L$1493,Пр11!$D$10:$D$1493,C121)</f>
        <v>0</v>
      </c>
    </row>
    <row r="122" spans="2:9" ht="63" hidden="1" x14ac:dyDescent="0.2">
      <c r="B122" s="412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365" t="s">
        <v>625</v>
      </c>
      <c r="D122" s="377">
        <f>SUMIFS(Пр11!G$10:G$1493,Пр11!$D$10:$D$1493,C122)</f>
        <v>0</v>
      </c>
      <c r="E122" s="377">
        <f>SUMIFS(Пр11!H$10:H$1493,Пр11!$D$10:$D$1493,C122)</f>
        <v>0</v>
      </c>
      <c r="F122" s="397">
        <f>SUMIFS(Пр11!I$10:I$1493,Пр11!$D$10:$D$1493,C122)</f>
        <v>0</v>
      </c>
      <c r="G122" s="397">
        <f>SUMIFS(Пр11!J$10:J$1493,Пр11!$D$10:$D$1493,C122)</f>
        <v>0</v>
      </c>
      <c r="H122" s="397">
        <f>SUMIFS(Пр11!K$10:K$1493,Пр11!$D$10:$D$1493,C122)</f>
        <v>0</v>
      </c>
      <c r="I122" s="405">
        <f>SUMIFS(Пр11!L$10:L$1493,Пр11!$D$10:$D$1493,C122)</f>
        <v>0</v>
      </c>
    </row>
    <row r="123" spans="2:9" ht="32.25" hidden="1" thickBot="1" x14ac:dyDescent="0.25">
      <c r="B123" s="418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367" t="s">
        <v>628</v>
      </c>
      <c r="D123" s="386">
        <f>SUMIFS(Пр11!G$10:G$1493,Пр11!$D$10:$D$1493,C123)</f>
        <v>0</v>
      </c>
      <c r="E123" s="379">
        <f>SUMIFS(Пр11!H$10:H$1493,Пр11!$D$10:$D$1493,C123)</f>
        <v>0</v>
      </c>
      <c r="F123" s="398">
        <f>SUMIFS(Пр11!I$10:I$1493,Пр11!$D$10:$D$1493,C123)</f>
        <v>0</v>
      </c>
      <c r="G123" s="398">
        <f>SUMIFS(Пр11!J$10:J$1493,Пр11!$D$10:$D$1493,C123)</f>
        <v>0</v>
      </c>
      <c r="H123" s="404">
        <f>SUMIFS(Пр11!K$10:K$1493,Пр11!$D$10:$D$1493,C123)</f>
        <v>0</v>
      </c>
      <c r="I123" s="429">
        <f>SUMIFS(Пр11!L$10:L$1493,Пр11!$D$10:$D$1493,C123)</f>
        <v>0</v>
      </c>
    </row>
    <row r="124" spans="2:9" ht="47.25" hidden="1" x14ac:dyDescent="0.2">
      <c r="B124" s="438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24" t="s">
        <v>631</v>
      </c>
      <c r="D124" s="522">
        <f>SUMIFS(Пр11!G$10:G$1493,Пр11!$D$10:$D$1493,C124)</f>
        <v>0</v>
      </c>
      <c r="E124" s="511">
        <f>SUMIFS(Пр11!H$10:H$1493,Пр11!$D$10:$D$1493,C124)</f>
        <v>0</v>
      </c>
      <c r="F124" s="502">
        <f>SUMIFS(Пр11!I$10:I$1493,Пр11!$D$10:$D$1493,C124)</f>
        <v>0</v>
      </c>
      <c r="G124" s="439">
        <f>SUMIFS(Пр11!J$10:J$1493,Пр11!$D$10:$D$1493,C124)</f>
        <v>0</v>
      </c>
      <c r="H124" s="514">
        <f>SUMIFS(Пр11!K$10:K$1493,Пр11!$D$10:$D$1493,C124)</f>
        <v>0</v>
      </c>
      <c r="I124" s="439">
        <f>SUMIFS(Пр11!L$10:L$1493,Пр11!$D$10:$D$1493,C124)</f>
        <v>0</v>
      </c>
    </row>
    <row r="125" spans="2:9" ht="32.25" hidden="1" thickBot="1" x14ac:dyDescent="0.25">
      <c r="B125" s="415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25" t="s">
        <v>633</v>
      </c>
      <c r="D125" s="521">
        <f>SUMIFS(Пр11!G$10:G$1493,Пр11!$D$10:$D$1493,C125)</f>
        <v>0</v>
      </c>
      <c r="E125" s="507">
        <f>SUMIFS(Пр11!H$10:H$1493,Пр11!$D$10:$D$1493,C125)</f>
        <v>0</v>
      </c>
      <c r="F125" s="501">
        <f>SUMIFS(Пр11!I$10:I$1493,Пр11!$D$10:$D$1493,C125)</f>
        <v>0</v>
      </c>
      <c r="G125" s="437">
        <f>SUMIFS(Пр11!J$10:J$1493,Пр11!$D$10:$D$1493,C125)</f>
        <v>0</v>
      </c>
      <c r="H125" s="510">
        <f>SUMIFS(Пр11!K$10:K$1493,Пр11!$D$10:$D$1493,C125)</f>
        <v>0</v>
      </c>
      <c r="I125" s="437">
        <f>SUMIFS(Пр11!L$10:L$1493,Пр11!$D$10:$D$1493,C125)</f>
        <v>0</v>
      </c>
    </row>
    <row r="126" spans="2:9" ht="31.5" hidden="1" x14ac:dyDescent="0.2">
      <c r="B126" s="425" t="str">
        <f>IF(C126&gt;0,VLOOKUP(C126,Программа!A$2:B$5124,2))</f>
        <v>Обеспечение мероприятий по ремонту общедомового имущества</v>
      </c>
      <c r="C126" s="369" t="s">
        <v>636</v>
      </c>
      <c r="D126" s="378">
        <f>SUMIFS(Пр11!G$10:G$1493,Пр11!$D$10:$D$1493,C126)</f>
        <v>0</v>
      </c>
      <c r="E126" s="379">
        <f>SUMIFS(Пр11!H$10:H$1493,Пр11!$D$10:$D$1493,C126)</f>
        <v>0</v>
      </c>
      <c r="F126" s="397">
        <f>SUMIFS(Пр11!I$10:I$1493,Пр11!$D$10:$D$1493,C126)</f>
        <v>0</v>
      </c>
      <c r="G126" s="397">
        <f>SUMIFS(Пр11!J$10:J$1493,Пр11!$D$10:$D$1493,C126)</f>
        <v>0</v>
      </c>
      <c r="H126" s="404">
        <f>SUMIFS(Пр11!K$10:K$1493,Пр11!$D$10:$D$1493,C126)</f>
        <v>0</v>
      </c>
      <c r="I126" s="405">
        <f>SUMIFS(Пр11!L$10:L$1493,Пр11!$D$10:$D$1493,C126)</f>
        <v>0</v>
      </c>
    </row>
    <row r="127" spans="2:9" ht="25.5" hidden="1" customHeight="1" thickBot="1" x14ac:dyDescent="0.25">
      <c r="B127" s="418" t="str">
        <f>IF(C127&gt;0,VLOOKUP(C127,Программа!A$2:B$5124,2))</f>
        <v>Обеспечение мероприятий по ремонту муниципальных квартир</v>
      </c>
      <c r="C127" s="367" t="s">
        <v>637</v>
      </c>
      <c r="D127" s="386">
        <f>SUMIFS(Пр11!G$10:G$1493,Пр11!$D$10:$D$1493,C127)</f>
        <v>0</v>
      </c>
      <c r="E127" s="384">
        <f>SUMIFS(Пр11!H$10:H$1493,Пр11!$D$10:$D$1493,C127)</f>
        <v>0</v>
      </c>
      <c r="F127" s="398">
        <f>SUMIFS(Пр11!I$10:I$1493,Пр11!$D$10:$D$1493,C127)</f>
        <v>0</v>
      </c>
      <c r="G127" s="398">
        <f>SUMIFS(Пр11!J$10:J$1493,Пр11!$D$10:$D$1493,C127)</f>
        <v>0</v>
      </c>
      <c r="H127" s="407">
        <f>SUMIFS(Пр11!K$10:K$1493,Пр11!$D$10:$D$1493,C127)</f>
        <v>0</v>
      </c>
      <c r="I127" s="429">
        <f>SUMIFS(Пр11!L$10:L$1493,Пр11!$D$10:$D$1493,C127)</f>
        <v>0</v>
      </c>
    </row>
    <row r="128" spans="2:9" ht="49.9" customHeight="1" thickBot="1" x14ac:dyDescent="0.25">
      <c r="B128" s="411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570" t="s">
        <v>640</v>
      </c>
      <c r="D128" s="550">
        <f>SUMIFS(Пр11!G$10:G$1493,Пр11!$D$10:$D$1493,C128)</f>
        <v>25480078</v>
      </c>
      <c r="E128" s="508">
        <f>SUMIFS(Пр11!H$10:H$1493,Пр11!$D$10:$D$1493,C128)</f>
        <v>-7443000</v>
      </c>
      <c r="F128" s="442">
        <f>SUMIFS(Пр11!I$10:I$1493,Пр11!$D$10:$D$1493,C128)</f>
        <v>18037078</v>
      </c>
      <c r="G128" s="550">
        <f>SUMIFS(Пр11!J$10:J$1493,Пр11!$D$10:$D$1493,C128)</f>
        <v>23430078</v>
      </c>
      <c r="H128" s="508">
        <f>SUMIFS(Пр11!K$10:K$1493,Пр11!$D$10:$D$1493,C128)</f>
        <v>0</v>
      </c>
      <c r="I128" s="442">
        <f>SUMIFS(Пр11!L$10:L$1493,Пр11!$D$10:$D$1493,C128)</f>
        <v>23430078</v>
      </c>
    </row>
    <row r="129" spans="1:9" ht="31.9" customHeight="1" x14ac:dyDescent="0.2">
      <c r="B129" s="412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365" t="s">
        <v>642</v>
      </c>
      <c r="D129" s="526">
        <f>SUMIFS(Пр11!G$10:G$1493,Пр11!$D$10:$D$1493,C129)</f>
        <v>500000</v>
      </c>
      <c r="E129" s="506">
        <f>SUMIFS(Пр11!H$10:H$1493,Пр11!$D$10:$D$1493,C129)</f>
        <v>0</v>
      </c>
      <c r="F129" s="552">
        <f>SUMIFS(Пр11!I$10:I$1493,Пр11!$D$10:$D$1493,C129)</f>
        <v>500000</v>
      </c>
      <c r="G129" s="527">
        <f>SUMIFS(Пр11!J$10:J$1493,Пр11!$D$10:$D$1493,C129)</f>
        <v>500000</v>
      </c>
      <c r="H129" s="509">
        <f>SUMIFS(Пр11!K$10:K$1493,Пр11!$D$10:$D$1493,C129)</f>
        <v>0</v>
      </c>
      <c r="I129" s="527">
        <f>SUMIFS(Пр11!L$10:L$1493,Пр11!$D$10:$D$1493,C129)</f>
        <v>500000</v>
      </c>
    </row>
    <row r="130" spans="1:9" ht="42" customHeight="1" x14ac:dyDescent="0.2">
      <c r="B130" s="413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366" t="s">
        <v>644</v>
      </c>
      <c r="D130" s="444">
        <f>SUMIFS(Пр11!G$10:G$1493,Пр11!$D$10:$D$1493,C130)</f>
        <v>500000</v>
      </c>
      <c r="E130" s="507">
        <f>SUMIFS(Пр11!H$10:H$1493,Пр11!$D$10:$D$1493,C130)</f>
        <v>0</v>
      </c>
      <c r="F130" s="498">
        <f>SUMIFS(Пр11!I$10:I$1493,Пр11!$D$10:$D$1493,C130)</f>
        <v>500000</v>
      </c>
      <c r="G130" s="440">
        <f>SUMIFS(Пр11!J$10:J$1493,Пр11!$D$10:$D$1493,C130)</f>
        <v>500000</v>
      </c>
      <c r="H130" s="510">
        <f>SUMIFS(Пр11!K$10:K$1493,Пр11!$D$10:$D$1493,C130)</f>
        <v>0</v>
      </c>
      <c r="I130" s="440">
        <f>SUMIFS(Пр11!L$10:L$1493,Пр11!$D$10:$D$1493,C130)</f>
        <v>500000</v>
      </c>
    </row>
    <row r="131" spans="1:9" ht="39.75" customHeight="1" x14ac:dyDescent="0.2">
      <c r="B131" s="419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19" t="s">
        <v>645</v>
      </c>
      <c r="D131" s="514">
        <f>SUMIFS(Пр11!G$10:G$1493,Пр11!$D$10:$D$1493,C131)</f>
        <v>11818000</v>
      </c>
      <c r="E131" s="551">
        <f>SUMIFS(Пр11!H$10:H$1493,Пр11!$D$10:$D$1493,C131)</f>
        <v>-7443000</v>
      </c>
      <c r="F131" s="551">
        <f>SUMIFS(Пр11!I$10:I$1493,Пр11!$D$10:$D$1493,C131)</f>
        <v>4375000</v>
      </c>
      <c r="G131" s="561">
        <f>SUMIFS(Пр11!J$10:J$1493,Пр11!$D$10:$D$1493,C131)</f>
        <v>11118000</v>
      </c>
      <c r="H131" s="551">
        <f>SUMIFS(Пр11!K$10:K$1493,Пр11!$D$10:$D$1493,C131)</f>
        <v>0</v>
      </c>
      <c r="I131" s="551">
        <f>SUMIFS(Пр11!L$10:L$1493,Пр11!$D$10:$D$1493,C131)</f>
        <v>11118000</v>
      </c>
    </row>
    <row r="132" spans="1:9" ht="44.25" customHeight="1" x14ac:dyDescent="0.2">
      <c r="B132" s="420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366" t="s">
        <v>647</v>
      </c>
      <c r="D132" s="510">
        <f>SUMIFS(Пр11!G$10:G$1493,Пр11!$D$10:$D$1493,C132)</f>
        <v>5000000</v>
      </c>
      <c r="E132" s="151">
        <f>SUMIFS(Пр11!H$10:H$1493,Пр11!$D$10:$D$1493,C132)</f>
        <v>-2125000</v>
      </c>
      <c r="F132" s="151">
        <f>SUMIFS(Пр11!I$10:I$1493,Пр11!$D$10:$D$1493,C132)</f>
        <v>2875000</v>
      </c>
      <c r="G132" s="560">
        <f>SUMIFS(Пр11!J$10:J$1493,Пр11!$D$10:$D$1493,C132)</f>
        <v>5000000</v>
      </c>
      <c r="H132" s="151">
        <f>SUMIFS(Пр11!K$10:K$1493,Пр11!$D$10:$D$1493,C132)</f>
        <v>2500000</v>
      </c>
      <c r="I132" s="151">
        <f>SUMIFS(Пр11!L$10:L$1493,Пр11!$D$10:$D$1493,C132)</f>
        <v>7500000</v>
      </c>
    </row>
    <row r="133" spans="1:9" ht="42.75" customHeight="1" x14ac:dyDescent="0.2">
      <c r="B133" s="413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366" t="s">
        <v>649</v>
      </c>
      <c r="D133" s="444">
        <f>SUMIFS(Пр11!G$10:G$1493,Пр11!$D$10:$D$1493,C133)</f>
        <v>6818000</v>
      </c>
      <c r="E133" s="427">
        <f>SUMIFS(Пр11!H$10:H$1493,Пр11!$D$10:$D$1493,C133)</f>
        <v>-5318000</v>
      </c>
      <c r="F133" s="746">
        <f>SUMIFS(Пр11!I$10:I$1493,Пр11!$D$10:$D$1493,C133)</f>
        <v>1500000</v>
      </c>
      <c r="G133" s="529">
        <f>SUMIFS(Пр11!J$10:J$1493,Пр11!$D$10:$D$1493,C133)</f>
        <v>6118000</v>
      </c>
      <c r="H133" s="428">
        <f>SUMIFS(Пр11!K$10:K$1493,Пр11!$D$10:$D$1493,C133)</f>
        <v>-2500000</v>
      </c>
      <c r="I133" s="400">
        <f>SUMIFS(Пр11!L$10:L$1493,Пр11!$D$10:$D$1493,C133)</f>
        <v>3618000</v>
      </c>
    </row>
    <row r="134" spans="1:9" ht="38.25" hidden="1" customHeight="1" x14ac:dyDescent="0.2">
      <c r="B134" s="413" t="str">
        <f>IF(C134&gt;0,VLOOKUP(C134,Программа!A$2:B$5124,2))</f>
        <v>Обеспечение мероприятий по благоустройству воинских захоронений</v>
      </c>
      <c r="C134" s="366" t="s">
        <v>650</v>
      </c>
      <c r="D134" s="444">
        <f>SUMIFS(Пр11!G$10:G$1493,Пр11!$D$10:$D$1493,C134)</f>
        <v>0</v>
      </c>
      <c r="E134" s="426">
        <f>SUMIFS(Пр11!H$10:H$1493,Пр11!$D$10:$D$1493,C134)</f>
        <v>0</v>
      </c>
      <c r="F134" s="503">
        <f>SUMIFS(Пр11!I$10:I$1493,Пр11!$D$10:$D$1493,C134)</f>
        <v>0</v>
      </c>
      <c r="G134" s="440">
        <f>SUMIFS(Пр11!J$10:J$1493,Пр11!$D$10:$D$1493,C134)</f>
        <v>0</v>
      </c>
      <c r="H134" s="516">
        <f>SUMIFS(Пр11!K$10:K$1493,Пр11!$D$10:$D$1493,C134)</f>
        <v>0</v>
      </c>
      <c r="I134" s="398">
        <f>SUMIFS(Пр11!L$10:L$1493,Пр11!$D$10:$D$1493,C134)</f>
        <v>0</v>
      </c>
    </row>
    <row r="135" spans="1:9" s="383" customFormat="1" ht="35.25" customHeight="1" x14ac:dyDescent="0.2">
      <c r="A135" s="372"/>
      <c r="B135" s="419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19" t="s">
        <v>1389</v>
      </c>
      <c r="D135" s="514">
        <f>SUMIFS(Пр11!G$10:G$1493,Пр11!$D$10:$D$1493,C135)</f>
        <v>11662078</v>
      </c>
      <c r="E135" s="151">
        <f>SUMIFS(Пр11!H$10:H$1493,Пр11!$D$10:$D$1493,C135)</f>
        <v>0</v>
      </c>
      <c r="F135" s="151">
        <f>SUMIFS(Пр11!I$10:I$1493,Пр11!$D$10:$D$1493,C135)</f>
        <v>11662078</v>
      </c>
      <c r="G135" s="560">
        <f>SUMIFS(Пр11!J$10:J$1493,Пр11!$D$10:$D$1493,C135)</f>
        <v>11662078</v>
      </c>
      <c r="H135" s="151">
        <f>SUMIFS(Пр11!K$10:K$1493,Пр11!$D$10:$D$1493,C135)</f>
        <v>0</v>
      </c>
      <c r="I135" s="151">
        <f>SUMIFS(Пр11!L$10:L$1493,Пр11!$D$10:$D$1493,C135)</f>
        <v>11662078</v>
      </c>
    </row>
    <row r="136" spans="1:9" ht="31.9" customHeight="1" x14ac:dyDescent="0.2">
      <c r="B136" s="420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366" t="s">
        <v>1390</v>
      </c>
      <c r="D136" s="510">
        <f>SUMIFS(Пр11!G$10:G$1493,Пр11!$D$10:$D$1493,C136)</f>
        <v>11662078</v>
      </c>
      <c r="E136" s="151">
        <f>SUMIFS(Пр11!H$10:H$1493,Пр11!$D$10:$D$1493,C136)</f>
        <v>0</v>
      </c>
      <c r="F136" s="151">
        <f>SUMIFS(Пр11!I$10:I$1493,Пр11!$D$10:$D$1493,C136)</f>
        <v>11662078</v>
      </c>
      <c r="G136" s="560">
        <f>SUMIFS(Пр11!J$10:J$1493,Пр11!$D$10:$D$1493,C136)</f>
        <v>11662078</v>
      </c>
      <c r="H136" s="151">
        <f>SUMIFS(Пр11!K$10:K$1493,Пр11!$D$10:$D$1493,C136)</f>
        <v>0</v>
      </c>
      <c r="I136" s="151">
        <f>SUMIFS(Пр11!L$10:L$1493,Пр11!$D$10:$D$1493,C136)</f>
        <v>11662078</v>
      </c>
    </row>
    <row r="137" spans="1:9" s="383" customFormat="1" ht="39.75" customHeight="1" x14ac:dyDescent="0.2">
      <c r="A137" s="372"/>
      <c r="B137" s="419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19" t="s">
        <v>1391</v>
      </c>
      <c r="D137" s="514">
        <f>SUMIFS(Пр11!G$10:G$1493,Пр11!$D$10:$D$1493,C137)</f>
        <v>1500000</v>
      </c>
      <c r="E137" s="151">
        <f>SUMIFS(Пр11!H$10:H$1493,Пр11!$D$10:$D$1493,C137)</f>
        <v>0</v>
      </c>
      <c r="F137" s="151">
        <f>SUMIFS(Пр11!I$10:I$1493,Пр11!$D$10:$D$1493,C137)</f>
        <v>1500000</v>
      </c>
      <c r="G137" s="560">
        <f>SUMIFS(Пр11!J$10:J$1493,Пр11!$D$10:$D$1493,C137)</f>
        <v>150000</v>
      </c>
      <c r="H137" s="151">
        <f>SUMIFS(Пр11!K$10:K$1493,Пр11!$D$10:$D$1493,C137)</f>
        <v>0</v>
      </c>
      <c r="I137" s="151">
        <f>SUMIFS(Пр11!L$10:L$1493,Пр11!$D$10:$D$1493,C137)</f>
        <v>150000</v>
      </c>
    </row>
    <row r="138" spans="1:9" ht="48.75" customHeight="1" thickBot="1" x14ac:dyDescent="0.25">
      <c r="B138" s="416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367" t="s">
        <v>1392</v>
      </c>
      <c r="D138" s="515">
        <f>SUMIFS(Пр11!G$10:G$1493,Пр11!$D$10:$D$1493,C138)</f>
        <v>1500000</v>
      </c>
      <c r="E138" s="151">
        <f>SUMIFS(Пр11!H$10:H$1493,Пр11!$D$10:$D$1493,C138)</f>
        <v>0</v>
      </c>
      <c r="F138" s="402">
        <f>SUMIFS(Пр11!I$10:I$1493,Пр11!$D$10:$D$1493,C138)</f>
        <v>1500000</v>
      </c>
      <c r="G138" s="560">
        <f>SUMIFS(Пр11!J$10:J$1493,Пр11!$D$10:$D$1493,C138)</f>
        <v>150000</v>
      </c>
      <c r="H138" s="151">
        <f>SUMIFS(Пр11!K$10:K$1493,Пр11!$D$10:$D$1493,C138)</f>
        <v>0</v>
      </c>
      <c r="I138" s="402">
        <f>SUMIFS(Пр11!L$10:L$1493,Пр11!$D$10:$D$1493,C138)</f>
        <v>150000</v>
      </c>
    </row>
    <row r="139" spans="1:9" ht="57" hidden="1" customHeight="1" thickBot="1" x14ac:dyDescent="0.25">
      <c r="B139" s="411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559" t="s">
        <v>652</v>
      </c>
      <c r="D139" s="730">
        <f>SUMIFS(Пр11!G$10:G$1493,Пр11!$D$10:$D$1493,C139)</f>
        <v>0</v>
      </c>
      <c r="E139" s="728">
        <f>SUMIFS(Пр11!H$10:H$1493,Пр11!$D$10:$D$1493,C139)</f>
        <v>0</v>
      </c>
      <c r="F139" s="442">
        <f>SUMIFS(Пр11!I$10:I$1493,Пр11!$D$10:$D$1493,C139)</f>
        <v>0</v>
      </c>
      <c r="G139" s="731">
        <f>SUMIFS(Пр11!J$10:J$1493,Пр11!$D$10:$D$1493,C139)</f>
        <v>0</v>
      </c>
      <c r="H139" s="729">
        <f>SUMIFS(Пр11!K$10:K$1493,Пр11!$D$10:$D$1493,C139)</f>
        <v>0</v>
      </c>
      <c r="I139" s="442">
        <f>SUMIFS(Пр11!L$10:L$1493,Пр11!$D$10:$D$1493,C139)</f>
        <v>0</v>
      </c>
    </row>
    <row r="140" spans="1:9" ht="67.900000000000006" hidden="1" customHeight="1" thickBot="1" x14ac:dyDescent="0.25">
      <c r="B140" s="424" t="str">
        <f>IF(C140&gt;0,VLOOKUP(C140,Программа!A$2:B$5124,2))</f>
        <v>Обеспечение населения Тутаевского муниципального района банными услугами</v>
      </c>
      <c r="C140" s="368" t="s">
        <v>654</v>
      </c>
      <c r="D140" s="521">
        <f>SUMIFS(Пр11!G$10:G$1493,Пр11!$D$10:$D$1493,C140)</f>
        <v>0</v>
      </c>
      <c r="E140" s="539">
        <f>SUMIFS(Пр11!H$10:H$1493,Пр11!$D$10:$D$1493,C140)</f>
        <v>0</v>
      </c>
      <c r="F140" s="537">
        <f>SUMIFS(Пр11!I$10:I$1493,Пр11!$D$10:$D$1493,C140)</f>
        <v>0</v>
      </c>
      <c r="G140" s="443">
        <f>SUMIFS(Пр11!J$10:J$1493,Пр11!$D$10:$D$1493,C140)</f>
        <v>0</v>
      </c>
      <c r="H140" s="540">
        <f>SUMIFS(Пр11!K$10:K$1493,Пр11!$D$10:$D$1493,C140)</f>
        <v>0</v>
      </c>
      <c r="I140" s="410">
        <f>SUMIFS(Пр11!L$10:L$1493,Пр11!$D$10:$D$1493,C140)</f>
        <v>0</v>
      </c>
    </row>
    <row r="141" spans="1:9" s="375" customFormat="1" ht="48" thickBot="1" x14ac:dyDescent="0.25">
      <c r="B141" s="534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38" t="s">
        <v>1026</v>
      </c>
      <c r="D141" s="536">
        <f>SUMIFS(Пр11!G$10:G$1493,Пр11!$D$10:$D$1493,C141)</f>
        <v>2936113</v>
      </c>
      <c r="E141" s="370">
        <f>SUMIFS(Пр11!H$10:H$1493,Пр11!$D$10:$D$1493,C141)</f>
        <v>0</v>
      </c>
      <c r="F141" s="395">
        <f>SUMIFS(Пр11!I$10:I$1493,Пр11!$D$10:$D$1493,C141)</f>
        <v>2936113</v>
      </c>
      <c r="G141" s="409">
        <f>SUMIFS(Пр11!J$10:J$1493,Пр11!$D$10:$D$1493,C141)</f>
        <v>6359412</v>
      </c>
      <c r="H141" s="395">
        <f>SUMIFS(Пр11!K$10:K$1493,Пр11!$D$10:$D$1493,C141)</f>
        <v>0</v>
      </c>
      <c r="I141" s="396">
        <f>SUMIFS(Пр11!L$10:L$1493,Пр11!$D$10:$D$1493,C141)</f>
        <v>6359412</v>
      </c>
    </row>
    <row r="142" spans="1:9" ht="73.150000000000006" customHeight="1" thickBot="1" x14ac:dyDescent="0.25">
      <c r="B142" s="424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368" t="s">
        <v>1067</v>
      </c>
      <c r="D142" s="371">
        <f>SUMIFS(Пр11!G$10:G$1493,Пр11!$D$10:$D$1493,C142)</f>
        <v>2936113</v>
      </c>
      <c r="E142" s="371">
        <f>SUMIFS(Пр11!H$10:H$1493,Пр11!$D$10:$D$1493,D142)</f>
        <v>0</v>
      </c>
      <c r="F142" s="717">
        <f>SUMIFS(Пр11!I$10:I$1493,Пр11!$D$10:$D$1493,C142)</f>
        <v>2936113</v>
      </c>
      <c r="G142" s="717">
        <f>SUMIFS(Пр11!J$10:J$1493,Пр11!$D$10:$D$1493,C142)</f>
        <v>6359412</v>
      </c>
      <c r="H142" s="717">
        <f>SUMIFS(Пр11!K$10:K$1493,Пр11!$D$10:$D$1493,C142)</f>
        <v>0</v>
      </c>
      <c r="I142" s="718">
        <f>SUMIFS(Пр11!L$10:L$1493,Пр11!$D$10:$D$1493,C142)</f>
        <v>6359412</v>
      </c>
    </row>
    <row r="143" spans="1:9" s="375" customFormat="1" ht="48" hidden="1" thickBot="1" x14ac:dyDescent="0.25">
      <c r="B143" s="411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364" t="s">
        <v>1038</v>
      </c>
      <c r="D143" s="370">
        <f>SUMIFS(Пр11!G$10:G$1493,Пр11!$D$10:$D$1493,C143)</f>
        <v>0</v>
      </c>
      <c r="E143" s="370">
        <f>SUMIFS(Пр11!H$10:H$1493,Пр11!$D$10:$D$1493,C143)</f>
        <v>0</v>
      </c>
      <c r="F143" s="395">
        <f>SUMIFS(Пр11!I$10:I$1493,Пр11!$D$10:$D$1493,C143)</f>
        <v>0</v>
      </c>
      <c r="G143" s="395">
        <f>SUMIFS(Пр11!J$10:J$1493,Пр11!$D$10:$D$1493,C143)</f>
        <v>0</v>
      </c>
      <c r="H143" s="395">
        <f>SUMIFS(Пр11!K$10:K$1493,Пр11!$D$10:$D$1493,C143)</f>
        <v>0</v>
      </c>
      <c r="I143" s="396">
        <f>SUMIFS(Пр11!L$10:L$1493,Пр11!$D$10:$D$1493,C143)</f>
        <v>0</v>
      </c>
    </row>
    <row r="144" spans="1:9" ht="47.25" hidden="1" x14ac:dyDescent="0.2">
      <c r="B144" s="425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369" t="s">
        <v>1040</v>
      </c>
      <c r="D144" s="378">
        <f>SUMIFS(Пр11!G$10:G$1493,Пр11!$D$10:$D$1493,C144)</f>
        <v>0</v>
      </c>
      <c r="E144" s="378">
        <f>SUMIFS(Пр11!H$10:H$1493,Пр11!$D$10:$D$1493,C144)</f>
        <v>0</v>
      </c>
      <c r="F144" s="397">
        <f>SUMIFS(Пр11!I$10:I$1493,Пр11!$D$10:$D$1493,C144)</f>
        <v>0</v>
      </c>
      <c r="G144" s="397">
        <f>SUMIFS(Пр11!J$10:J$1493,Пр11!$D$10:$D$1493,C144)</f>
        <v>0</v>
      </c>
      <c r="H144" s="397">
        <f>SUMIFS(Пр11!K$10:K$1493,Пр11!$D$10:$D$1493,C144)</f>
        <v>0</v>
      </c>
      <c r="I144" s="405">
        <f>SUMIFS(Пр11!L$10:L$1493,Пр11!$D$10:$D$1493,C144)</f>
        <v>0</v>
      </c>
    </row>
    <row r="145" spans="1:9" ht="79.5" hidden="1" thickBot="1" x14ac:dyDescent="0.25">
      <c r="B145" s="418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367" t="s">
        <v>1042</v>
      </c>
      <c r="D145" s="386">
        <f>SUMIFS(Пр11!G$10:G$1493,Пр11!$D$10:$D$1493,C145)</f>
        <v>0</v>
      </c>
      <c r="E145" s="384">
        <f>SUMIFS(Пр11!H$10:H$1493,Пр11!$D$10:$D$1493,C145)</f>
        <v>0</v>
      </c>
      <c r="F145" s="398">
        <f>SUMIFS(Пр11!I$10:I$1493,Пр11!$D$10:$D$1493,C145)</f>
        <v>0</v>
      </c>
      <c r="G145" s="398">
        <f>SUMIFS(Пр11!J$10:J$1493,Пр11!$D$10:$D$1493,C145)</f>
        <v>0</v>
      </c>
      <c r="H145" s="407">
        <f>SUMIFS(Пр11!K$10:K$1493,Пр11!$D$10:$D$1493,C145)</f>
        <v>0</v>
      </c>
      <c r="I145" s="429">
        <f>SUMIFS(Пр11!L$10:L$1493,Пр11!$D$10:$D$1493,C145)</f>
        <v>0</v>
      </c>
    </row>
    <row r="146" spans="1:9" ht="44.25" customHeight="1" thickBot="1" x14ac:dyDescent="0.25">
      <c r="B146" s="411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570" t="s">
        <v>1134</v>
      </c>
      <c r="D146" s="550">
        <f>SUMIFS(Пр11!G$10:G$1493,Пр11!$D$10:$D$1493,C146)</f>
        <v>7875000</v>
      </c>
      <c r="E146" s="545">
        <f>SUMIFS(Пр11!H$10:H$1493,Пр11!$D$10:$D$1493,C146)</f>
        <v>1625000</v>
      </c>
      <c r="F146" s="442">
        <f>SUMIFS(Пр11!I$10:I$1493,Пр11!$D$10:$D$1493,C146)</f>
        <v>9500000</v>
      </c>
      <c r="G146" s="550">
        <f>SUMIFS(Пр11!J$10:J$1493,Пр11!$D$10:$D$1493,C146)</f>
        <v>3500000</v>
      </c>
      <c r="H146" s="508">
        <f>SUMIFS(Пр11!K$10:K$1493,Пр11!$D$10:$D$1493,C146)</f>
        <v>0</v>
      </c>
      <c r="I146" s="442">
        <f>SUMIFS(Пр11!L$10:L$1493,Пр11!$D$10:$D$1493,C146)</f>
        <v>3500000</v>
      </c>
    </row>
    <row r="147" spans="1:9" ht="31.9" customHeight="1" thickBot="1" x14ac:dyDescent="0.25">
      <c r="B147" s="421" t="str">
        <f>IF(C147&gt;0,VLOOKUP(C147,Программа!A$2:B$5124,2))</f>
        <v>Повышение уровня благоустройства территорий</v>
      </c>
      <c r="C147" s="369" t="s">
        <v>1152</v>
      </c>
      <c r="D147" s="566">
        <f>SUMIFS(Пр11!G$10:G$1493,Пр11!$D$10:$D$1493,C147)</f>
        <v>7875000</v>
      </c>
      <c r="E147" s="517">
        <f>SUMIFS(Пр11!H$10:H$1493,Пр11!$D$10:$D$1493,C147)</f>
        <v>1625000</v>
      </c>
      <c r="F147" s="400">
        <f>SUMIFS(Пр11!I$10:I$1493,Пр11!$D$10:$D$1493,C147)</f>
        <v>9500000</v>
      </c>
      <c r="G147" s="566">
        <f>SUMIFS(Пр11!J$10:J$1493,Пр11!$D$10:$D$1493,C147)</f>
        <v>3500000</v>
      </c>
      <c r="H147" s="517">
        <f>SUMIFS(Пр11!K$10:K$1493,Пр11!$D$10:$D$1493,C147)</f>
        <v>0</v>
      </c>
      <c r="I147" s="400">
        <f>SUMIFS(Пр11!L$10:L$1493,Пр11!$D$10:$D$1493,C147)</f>
        <v>3500000</v>
      </c>
    </row>
    <row r="148" spans="1:9" ht="43.5" hidden="1" customHeight="1" x14ac:dyDescent="0.2">
      <c r="B148" s="425" t="str">
        <f>IF(C148&gt;0,VLOOKUP(C148,Программа!A$2:B$5124,2))</f>
        <v>Реализация  Губернаторского  проекта "Наши дворы"</v>
      </c>
      <c r="C148" s="369" t="s">
        <v>1153</v>
      </c>
      <c r="D148" s="378">
        <f>SUMIFS(Пр11!G$10:G$1493,Пр11!$D$10:$D$1493,C148)</f>
        <v>0</v>
      </c>
      <c r="E148" s="379">
        <f>SUMIFS(Пр11!H$10:H$1493,Пр11!$D$10:$D$1493,C148)</f>
        <v>0</v>
      </c>
      <c r="F148" s="397">
        <f>SUMIFS(Пр11!I$10:I$1493,Пр11!$D$10:$D$1493,C148)</f>
        <v>0</v>
      </c>
      <c r="G148" s="397">
        <f>SUMIFS(Пр11!J$10:J$1493,Пр11!$D$10:$D$1493,C148)</f>
        <v>0</v>
      </c>
      <c r="H148" s="404">
        <f>SUMIFS(Пр11!K$10:K$1493,Пр11!$D$10:$D$1493,C148)</f>
        <v>0</v>
      </c>
      <c r="I148" s="405">
        <f>SUMIFS(Пр11!L$10:L$1493,Пр11!$D$10:$D$1493,C148)</f>
        <v>0</v>
      </c>
    </row>
    <row r="149" spans="1:9" ht="44.25" hidden="1" customHeight="1" x14ac:dyDescent="0.2">
      <c r="B149" s="413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366" t="s">
        <v>1154</v>
      </c>
      <c r="D149" s="379">
        <f>SUMIFS(Пр11!G$10:G$1493,Пр11!$D$10:$D$1493,C149)</f>
        <v>0</v>
      </c>
      <c r="E149" s="379">
        <f>SUMIFS(Пр11!H$10:H$1493,Пр11!$D$10:$D$1493,C149)</f>
        <v>0</v>
      </c>
      <c r="F149" s="404">
        <f>SUMIFS(Пр11!I$10:I$1493,Пр11!$D$10:$D$1493,C149)</f>
        <v>0</v>
      </c>
      <c r="G149" s="404">
        <f>SUMIFS(Пр11!J$10:J$1493,Пр11!$D$10:$D$1493,C149)</f>
        <v>0</v>
      </c>
      <c r="H149" s="404">
        <f>SUMIFS(Пр11!K$10:K$1493,Пр11!$D$10:$D$1493,C149)</f>
        <v>0</v>
      </c>
      <c r="I149" s="406">
        <f>SUMIFS(Пр11!L$10:L$1493,Пр11!$D$10:$D$1493,C149)</f>
        <v>0</v>
      </c>
    </row>
    <row r="150" spans="1:9" ht="54" hidden="1" customHeight="1" thickBot="1" x14ac:dyDescent="0.25">
      <c r="B150" s="418" t="s">
        <v>1313</v>
      </c>
      <c r="C150" s="156" t="s">
        <v>1314</v>
      </c>
      <c r="D150" s="386">
        <f>SUMIFS(Пр11!G$10:G$1493,Пр11!$D$10:$D$1493,C150)</f>
        <v>0</v>
      </c>
      <c r="E150" s="384">
        <f>SUMIFS(Пр11!H$10:H$1493,Пр11!$D$10:$D$1493,C150)</f>
        <v>0</v>
      </c>
      <c r="F150" s="398">
        <f>SUMIFS(Пр11!I$10:I$1493,Пр11!$D$10:$D$1493,C150)</f>
        <v>0</v>
      </c>
      <c r="G150" s="398">
        <f>SUMIFS(Пр11!J$10:J$1493,Пр11!$D$10:$D$1493,C150)</f>
        <v>0</v>
      </c>
      <c r="H150" s="407">
        <f>SUMIFS(Пр11!K$10:K$1493,Пр11!$D$10:$D$1493,C150)</f>
        <v>0</v>
      </c>
      <c r="I150" s="429">
        <f>SUMIFS(Пр11!L$10:L$1493,Пр11!$D$10:$D$1493,C150)</f>
        <v>0</v>
      </c>
    </row>
    <row r="151" spans="1:9" s="375" customFormat="1" ht="69" customHeight="1" thickBot="1" x14ac:dyDescent="0.25">
      <c r="B151" s="411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23" t="s">
        <v>1136</v>
      </c>
      <c r="D151" s="550">
        <f>SUMIFS(Пр11!G$10:G$1493,Пр11!$D$10:$D$1493,C151)</f>
        <v>100000</v>
      </c>
      <c r="E151" s="505">
        <f>SUMIFS(Пр11!H$10:H$1493,Пр11!$D$10:$D$1493,C151)</f>
        <v>0</v>
      </c>
      <c r="F151" s="442">
        <f>SUMIFS(Пр11!I$10:I$1493,Пр11!$D$10:$D$1493,C151)</f>
        <v>220000</v>
      </c>
      <c r="G151" s="550">
        <f>SUMIFS(Пр11!J$10:J$1493,Пр11!$D$10:$D$1493,C151)</f>
        <v>100000</v>
      </c>
      <c r="H151" s="508">
        <f>SUMIFS(Пр11!K$10:K$1493,Пр11!$D$10:$D$1493,C151)</f>
        <v>0</v>
      </c>
      <c r="I151" s="442">
        <f>SUMIFS(Пр11!L$10:L$1493,Пр11!$D$10:$D$1493,C151)</f>
        <v>100000</v>
      </c>
    </row>
    <row r="152" spans="1:9" ht="52.5" customHeight="1" thickBot="1" x14ac:dyDescent="0.25">
      <c r="B152" s="430" t="str">
        <f>IF(C152&gt;0,VLOOKUP(C152,Программа!A$2:B$5124,2))</f>
        <v>Мероприятия по обеспечению безопасности жителей района</v>
      </c>
      <c r="C152" s="387" t="s">
        <v>1137</v>
      </c>
      <c r="D152" s="433">
        <f>SUMIFS(Пр11!G$10:G$1493,Пр11!$D$10:$D$1493,C152)</f>
        <v>100000</v>
      </c>
      <c r="E152" s="513">
        <f>SUMIFS(Пр11!H$10:H$1493,Пр11!$D$10:$D$1493,C152)</f>
        <v>0</v>
      </c>
      <c r="F152" s="725">
        <f>SUMIFS(Пр11!I$10:I$1493,Пр11!$D$10:$D$1493,C152)</f>
        <v>220000</v>
      </c>
      <c r="G152" s="433">
        <f>SUMIFS(Пр11!J$10:J$1493,Пр11!$D$10:$D$1493,C152)</f>
        <v>100000</v>
      </c>
      <c r="H152" s="484">
        <f>SUMIFS(Пр11!K$10:K$1493,Пр11!$D$10:$D$1493,C152)</f>
        <v>0</v>
      </c>
      <c r="I152" s="726">
        <f>SUMIFS(Пр11!L$10:L$1493,Пр11!$D$10:$D$1493,C152)</f>
        <v>100000</v>
      </c>
    </row>
    <row r="153" spans="1:9" ht="66" hidden="1" customHeight="1" thickBot="1" x14ac:dyDescent="0.25">
      <c r="B153" s="411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727" t="s">
        <v>1188</v>
      </c>
      <c r="D153" s="505">
        <f>SUMIFS(Пр11!G$10:G$1493,Пр11!$D$10:$D$1493,C153)</f>
        <v>0</v>
      </c>
      <c r="E153" s="749"/>
      <c r="F153" s="744"/>
      <c r="G153" s="508">
        <f>SUMIFS(Пр11!J$10:J$1493,Пр11!$D$10:$D$1493,C153)</f>
        <v>0</v>
      </c>
      <c r="H153" s="750"/>
      <c r="I153" s="744"/>
    </row>
    <row r="154" spans="1:9" ht="57.75" hidden="1" customHeight="1" x14ac:dyDescent="0.25">
      <c r="B154" s="425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65" t="s">
        <v>1189</v>
      </c>
      <c r="D154" s="742">
        <f>SUMIFS(Пр11!G$10:G$1493,Пр11!$D$10:$D$1493,C154)</f>
        <v>0</v>
      </c>
      <c r="E154" s="378"/>
      <c r="F154" s="517"/>
      <c r="G154" s="746">
        <f>SUMIFS(Пр11!J$10:J$1493,Пр11!$D$10:$D$1493,C154)</f>
        <v>0</v>
      </c>
      <c r="H154" s="400"/>
      <c r="I154" s="748"/>
    </row>
    <row r="155" spans="1:9" ht="54" hidden="1" customHeight="1" thickBot="1" x14ac:dyDescent="0.25">
      <c r="B155" s="418" t="str">
        <f>IF(C155&gt;0,VLOOKUP(C155,Программа!A$2:B$5124,2))</f>
        <v>Проведение историко-культурной экспертизы объектов культурного наследия</v>
      </c>
      <c r="C155" s="496" t="s">
        <v>1192</v>
      </c>
      <c r="D155" s="743">
        <f>SUMIFS(Пр11!G$10:G$1493,Пр11!$D$10:$D$1493,C155)</f>
        <v>0</v>
      </c>
      <c r="E155" s="386"/>
      <c r="F155" s="745"/>
      <c r="G155" s="747">
        <f>SUMIFS(Пр11!J$10:J$1493,Пр11!$D$10:$D$1493,C155)</f>
        <v>0</v>
      </c>
      <c r="H155" s="402"/>
      <c r="I155" s="564"/>
    </row>
    <row r="156" spans="1:9" ht="44.25" hidden="1" customHeight="1" thickBot="1" x14ac:dyDescent="0.25">
      <c r="B156" s="411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727" t="s">
        <v>1335</v>
      </c>
      <c r="D156" s="505">
        <f>SUMIFS(Пр11!G$10:G$1493,Пр11!$D$10:$D$1493,C156)</f>
        <v>0</v>
      </c>
      <c r="E156" s="749"/>
      <c r="F156" s="744"/>
      <c r="G156" s="508">
        <f>SUMIFS(Пр11!J$10:J$1493,Пр11!$D$10:$D$1493,C156)</f>
        <v>0</v>
      </c>
      <c r="H156" s="750"/>
      <c r="I156" s="744"/>
    </row>
    <row r="157" spans="1:9" ht="57.75" hidden="1" customHeight="1" x14ac:dyDescent="0.2">
      <c r="B157" s="425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497" t="s">
        <v>1336</v>
      </c>
      <c r="D157" s="742">
        <f>SUMIFS(Пр11!G$10:G$1493,Пр11!$D$10:$D$1493,C157)</f>
        <v>0</v>
      </c>
      <c r="E157" s="378"/>
      <c r="F157" s="517"/>
      <c r="G157" s="746">
        <f>SUMIFS(Пр11!J$10:J$1493,Пр11!$D$10:$D$1493,C157)</f>
        <v>0</v>
      </c>
      <c r="H157" s="400"/>
      <c r="I157" s="748"/>
    </row>
    <row r="158" spans="1:9" ht="42.75" hidden="1" customHeight="1" thickBot="1" x14ac:dyDescent="0.3">
      <c r="B158" s="418" t="str">
        <f>IF(C158&gt;0,VLOOKUP(C158,Программа!A$2:B$5124,2))</f>
        <v>Разработка проектов планирования и (или) проектов межевания территории</v>
      </c>
      <c r="C158" s="162" t="s">
        <v>1337</v>
      </c>
      <c r="D158" s="743">
        <f>SUMIFS(Пр11!G$10:G$1493,Пр11!$D$10:$D$1493,C158)</f>
        <v>0</v>
      </c>
      <c r="E158" s="379"/>
      <c r="F158" s="745"/>
      <c r="G158" s="747">
        <f>SUMIFS(Пр11!J$10:J$1493,Пр11!$D$10:$D$1493,C158)</f>
        <v>0</v>
      </c>
      <c r="H158" s="151"/>
      <c r="I158" s="564"/>
    </row>
    <row r="159" spans="1:9" s="375" customFormat="1" ht="32.25" thickBot="1" x14ac:dyDescent="0.3">
      <c r="A159" s="372"/>
      <c r="B159" s="411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571" t="s">
        <v>1409</v>
      </c>
      <c r="D159" s="550">
        <f>SUMIFS(Пр11!G$10:G$1493,Пр11!$D$10:$D$1493,C159)</f>
        <v>258440368</v>
      </c>
      <c r="E159" s="729">
        <f>SUMIFS(Пр11!H$10:H$1493,Пр11!$D$10:$D$1493,C159)</f>
        <v>-101790000</v>
      </c>
      <c r="F159" s="442">
        <f>SUMIFS(Пр11!I$10:I$1493,Пр11!$D$10:$D$1493,C159)</f>
        <v>156650368</v>
      </c>
      <c r="G159" s="550">
        <f>SUMIFS(Пр11!J$10:J$1493,Пр11!$D$10:$D$1493,C159)</f>
        <v>152504338</v>
      </c>
      <c r="H159" s="729">
        <f>SUMIFS(Пр11!K$10:K$1493,Пр11!$D$10:$D$1493,C159)</f>
        <v>0</v>
      </c>
      <c r="I159" s="442">
        <f>SUMIFS(Пр11!L$10:L$1493,Пр11!$D$10:$D$1493,C159)</f>
        <v>152504338</v>
      </c>
    </row>
    <row r="160" spans="1:9" ht="47.25" x14ac:dyDescent="0.25">
      <c r="B160" s="421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65" t="s">
        <v>1410</v>
      </c>
      <c r="D160" s="587">
        <f>SUMIFS(Пр11!G$10:G$1493,Пр11!$D$10:$D$1493,C160)</f>
        <v>1800000</v>
      </c>
      <c r="E160" s="684">
        <f>SUMIFS(Пр11!H$10:H$1493,Пр11!$D$10:$D$1493,C160)</f>
        <v>0</v>
      </c>
      <c r="F160" s="585">
        <f>SUMIFS(Пр11!I$10:I$1493,Пр11!$D$10:$D$1493,C160)</f>
        <v>1800000</v>
      </c>
      <c r="G160" s="685">
        <f>SUMIFS(Пр11!J$10:J$1493,Пр11!$D$10:$D$1493,C160)</f>
        <v>2000000</v>
      </c>
      <c r="H160" s="684">
        <f>SUMIFS(Пр11!K$10:K$1493,Пр11!$D$10:$D$1493,C160)</f>
        <v>0</v>
      </c>
      <c r="I160" s="585">
        <f>SUMIFS(Пр11!L$10:L$1493,Пр11!$D$10:$D$1493,C160)</f>
        <v>2000000</v>
      </c>
    </row>
    <row r="161" spans="2:9" ht="63" x14ac:dyDescent="0.25">
      <c r="B161" s="420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60" t="s">
        <v>1411</v>
      </c>
      <c r="D161" s="144">
        <f>SUMIFS(Пр11!G$10:G$1493,Пр11!$D$10:$D$1493,C161)</f>
        <v>104405368</v>
      </c>
      <c r="E161" s="144">
        <f>SUMIFS(Пр11!H$10:H$1493,Пр11!$D$10:$D$1493,C161)</f>
        <v>0</v>
      </c>
      <c r="F161" s="144">
        <f>SUMIFS(Пр11!I$10:I$1493,Пр11!$D$10:$D$1493,C161)</f>
        <v>104405368</v>
      </c>
      <c r="G161" s="144">
        <f>SUMIFS(Пр11!J$10:J$1493,Пр11!$D$10:$D$1493,C161)</f>
        <v>106059338</v>
      </c>
      <c r="H161" s="144">
        <f>SUMIFS(Пр11!K$10:K$1493,Пр11!$D$10:$D$1493,C161)</f>
        <v>0</v>
      </c>
      <c r="I161" s="144">
        <f>SUMIFS(Пр11!L$10:L$1493,Пр11!$D$10:$D$1493,C161)</f>
        <v>106059338</v>
      </c>
    </row>
    <row r="162" spans="2:9" ht="63" x14ac:dyDescent="0.25">
      <c r="B162" s="420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60" t="s">
        <v>1574</v>
      </c>
      <c r="D162" s="144">
        <f>SUMIFS(Пр11!G$10:G$1493,Пр11!$D$10:$D$1493,C162)</f>
        <v>107790000</v>
      </c>
      <c r="E162" s="144">
        <f>SUMIFS(Пр11!H$10:H$1493,Пр11!$D$10:$D$1493,C162)</f>
        <v>-101790000</v>
      </c>
      <c r="F162" s="144">
        <f>SUMIFS(Пр11!I$10:I$1493,Пр11!$D$10:$D$1493,C162)</f>
        <v>6000000</v>
      </c>
      <c r="G162" s="144">
        <f>SUMIFS(Пр11!J$10:J$1493,Пр11!$D$10:$D$1493,C162)</f>
        <v>0</v>
      </c>
      <c r="H162" s="144">
        <f>SUMIFS(Пр11!K$10:K$1493,Пр11!$D$10:$D$1493,C162)</f>
        <v>0</v>
      </c>
      <c r="I162" s="144">
        <f>SUMIFS(Пр11!L$10:L$1493,Пр11!$D$10:$D$1493,C162)</f>
        <v>0</v>
      </c>
    </row>
    <row r="163" spans="2:9" x14ac:dyDescent="0.25">
      <c r="B163" s="420" t="str">
        <f>IF(C163&gt;0,VLOOKUP(C163,Программа!A$2:B$5124,2))</f>
        <v>Реализация федерального проекта "Дорожная сеть"</v>
      </c>
      <c r="C163" s="160" t="s">
        <v>1412</v>
      </c>
      <c r="D163" s="144">
        <f>SUMIFS(Пр11!G$10:G$1493,Пр11!$D$10:$D$1493,C163)</f>
        <v>44445000</v>
      </c>
      <c r="E163" s="144">
        <f>SUMIFS(Пр11!H$10:H$1493,Пр11!$D$10:$D$1493,C163)</f>
        <v>0</v>
      </c>
      <c r="F163" s="144">
        <f>SUMIFS(Пр11!I$10:I$1493,Пр11!$D$10:$D$1493,C163)</f>
        <v>44445000</v>
      </c>
      <c r="G163" s="144">
        <f>SUMIFS(Пр11!J$10:J$1493,Пр11!$D$10:$D$1493,C163)</f>
        <v>44445000</v>
      </c>
      <c r="H163" s="144">
        <f>SUMIFS(Пр11!K$10:K$1493,Пр11!$D$10:$D$1493,C163)</f>
        <v>0</v>
      </c>
      <c r="I163" s="144">
        <f>SUMIFS(Пр11!L$10:L$1493,Пр11!$D$10:$D$1493,C163)</f>
        <v>44445000</v>
      </c>
    </row>
    <row r="164" spans="2:9" ht="57" customHeight="1" thickBot="1" x14ac:dyDescent="0.25">
      <c r="B164" s="534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739" t="s">
        <v>1414</v>
      </c>
      <c r="D164" s="540">
        <f>SUMIFS(Пр11!G$10:G$1493,Пр11!$D$10:$D$1493,C164)</f>
        <v>500000</v>
      </c>
      <c r="E164" s="740">
        <f>SUMIFS(Пр11!H$10:H$1493,Пр11!$D$10:$D$1493,C164)</f>
        <v>0</v>
      </c>
      <c r="F164" s="741">
        <f>SUMIFS(Пр11!I$10:I$1493,Пр11!$D$10:$D$1493,C164)</f>
        <v>500000</v>
      </c>
      <c r="G164" s="540">
        <f>SUMIFS(Пр11!J$10:J$1493,Пр11!$D$10:$D$1493,C164)</f>
        <v>500000</v>
      </c>
      <c r="H164" s="740">
        <f>SUMIFS(Пр11!K$10:K$1493,Пр11!$D$10:$D$1493,C164)</f>
        <v>0</v>
      </c>
      <c r="I164" s="741">
        <f>SUMIFS(Пр11!L$10:L$1493,Пр11!$D$10:$D$1493,C164)</f>
        <v>500000</v>
      </c>
    </row>
    <row r="165" spans="2:9" ht="55.5" customHeight="1" thickBot="1" x14ac:dyDescent="0.3">
      <c r="B165" s="421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65" t="s">
        <v>1416</v>
      </c>
      <c r="D165" s="576">
        <f>SUMIFS(Пр11!G$10:G$1493,Пр11!$D$10:$D$1493,C165)</f>
        <v>500000</v>
      </c>
      <c r="E165" s="144">
        <f>SUMIFS(Пр11!H$10:H$1493,Пр11!$D$10:$D$1493,C165)</f>
        <v>0</v>
      </c>
      <c r="F165" s="585">
        <f>SUMIFS(Пр11!I$10:I$1493,Пр11!$D$10:$D$1493,C165)</f>
        <v>500000</v>
      </c>
      <c r="G165" s="576">
        <f>SUMIFS(Пр11!J$10:J$1493,Пр11!$D$10:$D$1493,C165)</f>
        <v>500000</v>
      </c>
      <c r="H165" s="144">
        <f>SUMIFS(Пр11!K$10:K$1493,Пр11!$D$10:$D$1493,C165)</f>
        <v>0</v>
      </c>
      <c r="I165" s="585">
        <f>SUMIFS(Пр11!L$10:L$1493,Пр11!$D$10:$D$1493,C165)</f>
        <v>500000</v>
      </c>
    </row>
    <row r="166" spans="2:9" ht="29.25" hidden="1" customHeight="1" thickBot="1" x14ac:dyDescent="0.25">
      <c r="B166" s="411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570" t="s">
        <v>1458</v>
      </c>
      <c r="D166" s="719">
        <v>0</v>
      </c>
      <c r="E166" s="723">
        <v>0</v>
      </c>
      <c r="F166" s="442">
        <v>0</v>
      </c>
      <c r="G166" s="631">
        <v>0</v>
      </c>
      <c r="H166" s="723">
        <f>SUMIFS(Пр11!K$10:K$1493,Пр11!$D$10:$D$1493,C166)</f>
        <v>0</v>
      </c>
      <c r="I166" s="442">
        <f>SUMIFS(Пр11!L$10:L$1493,Пр11!$D$10:$D$1493,C166)</f>
        <v>0</v>
      </c>
    </row>
    <row r="167" spans="2:9" ht="39" hidden="1" customHeight="1" thickBot="1" x14ac:dyDescent="0.3">
      <c r="B167" s="417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63" t="s">
        <v>1459</v>
      </c>
      <c r="D167" s="144">
        <v>0</v>
      </c>
      <c r="E167" s="144">
        <v>0</v>
      </c>
      <c r="F167" s="589">
        <v>0</v>
      </c>
      <c r="G167" s="144">
        <v>0</v>
      </c>
      <c r="H167" s="144">
        <f>SUMIFS(Пр11!K$10:K$1493,Пр11!$D$10:$D$1493,C167)</f>
        <v>0</v>
      </c>
      <c r="I167" s="589">
        <f>SUMIFS(Пр11!L$10:L$1493,Пр11!$D$10:$D$1493,C167)</f>
        <v>0</v>
      </c>
    </row>
    <row r="168" spans="2:9" ht="48" thickBot="1" x14ac:dyDescent="0.25">
      <c r="B168" s="411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559" t="s">
        <v>1672</v>
      </c>
      <c r="D168" s="550">
        <f>SUMIFS(Пр11!G$10:G$1493,Пр11!$D$10:$D$1493,C168)</f>
        <v>4590</v>
      </c>
      <c r="E168" s="508">
        <f>SUMIFS(Пр11!H$10:H$1493,Пр11!$D$10:$D$1493,C168)</f>
        <v>0</v>
      </c>
      <c r="F168" s="442">
        <f>SUMIFS(Пр11!I$10:I$1493,Пр11!$D$10:$D$1493,C168)</f>
        <v>4590</v>
      </c>
      <c r="G168" s="550">
        <f>SUMIFS(Пр11!J$10:J$1493,Пр11!$D$10:$D$1493,C168)</f>
        <v>4590</v>
      </c>
      <c r="H168" s="508">
        <f>SUMIFS(Пр11!K$10:K$1493,Пр11!$D$10:$D$1493,C168)</f>
        <v>0</v>
      </c>
      <c r="I168" s="442">
        <f>SUMIFS(Пр11!L$10:L$1493,Пр11!$D$10:$D$1493,C168)</f>
        <v>4590</v>
      </c>
    </row>
    <row r="169" spans="2:9" ht="31.5" hidden="1" x14ac:dyDescent="0.25">
      <c r="B169" s="720" t="str">
        <f>IF(C169&gt;0,VLOOKUP(C169,Программа!A$2:B$5124,2))</f>
        <v>Стимулирование развития сельскохозяйственного производства</v>
      </c>
      <c r="C169" s="721" t="s">
        <v>1673</v>
      </c>
      <c r="D169" s="144">
        <v>0</v>
      </c>
      <c r="E169" s="716">
        <f>SUMIFS(Пр11!H$10:H$1493,Пр11!$D$10:$D$1493,C169)</f>
        <v>0</v>
      </c>
      <c r="F169" s="722">
        <f>SUMIFS(Пр11!I$10:I$1493,Пр11!$D$10:$D$1493,C169)</f>
        <v>0</v>
      </c>
      <c r="G169" s="144">
        <v>0</v>
      </c>
      <c r="H169" s="716">
        <f>SUMIFS(Пр11!K$10:K$1493,Пр11!$D$10:$D$1493,C169)</f>
        <v>0</v>
      </c>
      <c r="I169" s="722">
        <f>SUMIFS(Пр11!L$10:L$1493,Пр11!$D$10:$D$1493,C169)</f>
        <v>0</v>
      </c>
    </row>
    <row r="170" spans="2:9" ht="63.75" thickBot="1" x14ac:dyDescent="0.3">
      <c r="B170" s="420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217" t="s">
        <v>1674</v>
      </c>
      <c r="D170" s="144">
        <f>SUMIFS(Пр11!G$10:G$1493,Пр11!$D$10:$D$1493,C170)</f>
        <v>4590</v>
      </c>
      <c r="E170" s="144">
        <f>SUMIFS(Пр11!H$10:H$1493,Пр11!$D$10:$D$1493,C170)</f>
        <v>0</v>
      </c>
      <c r="F170" s="144">
        <f>SUMIFS(Пр11!I$10:I$1493,Пр11!$D$10:$D$1493,C170)</f>
        <v>4590</v>
      </c>
      <c r="G170" s="144">
        <f>SUMIFS(Пр11!J$10:J$1493,Пр11!$D$10:$D$1493,C170)</f>
        <v>4590</v>
      </c>
      <c r="H170" s="144">
        <f>SUMIFS(Пр11!K$10:K$1493,Пр11!$D$10:$D$1493,C170)</f>
        <v>0</v>
      </c>
      <c r="I170" s="144">
        <f>SUMIFS(Пр11!L$10:L$1493,Пр11!$D$10:$D$1493,C170)</f>
        <v>4590</v>
      </c>
    </row>
    <row r="171" spans="2:9" s="375" customFormat="1" ht="16.5" thickBot="1" x14ac:dyDescent="0.25">
      <c r="B171" s="534" t="s">
        <v>129</v>
      </c>
      <c r="C171" s="535"/>
      <c r="D171" s="395">
        <f>D139+D128+D121+D116+D114+D111+D108+D106+D99+D89+D80+D75+D73+D59+D57+D47+D26+D10+D141+D143+D146+D151+D153+D156+D159+D164+D168</f>
        <v>2163086183</v>
      </c>
      <c r="E171" s="395">
        <f t="shared" ref="E171:I171" si="0">E139+E128+E121+E116+E114+E111+E108+E106+E99+E89+E80+E75+E73+E59+E57+E47+E26+E10+E141+E143+E146+E151+E153+E156+E159+E164+E168</f>
        <v>-107608000</v>
      </c>
      <c r="F171" s="395">
        <f t="shared" si="0"/>
        <v>2055598183</v>
      </c>
      <c r="G171" s="395">
        <f t="shared" si="0"/>
        <v>2178006685</v>
      </c>
      <c r="H171" s="395">
        <f t="shared" si="0"/>
        <v>0</v>
      </c>
      <c r="I171" s="395">
        <f t="shared" si="0"/>
        <v>2178006685</v>
      </c>
    </row>
    <row r="172" spans="2:9" ht="16.5" thickBot="1" x14ac:dyDescent="0.25">
      <c r="B172" s="411" t="str">
        <f>IF(C172&gt;0,VLOOKUP(C172,Программа!A$2:B$5124,2))</f>
        <v>Непрограммные расходы бюджета</v>
      </c>
      <c r="C172" s="149" t="s">
        <v>311</v>
      </c>
      <c r="D172" s="395">
        <f>SUMIFS(Пр11!G$10:G$1493,Пр11!$D$10:$D$1493,C172)</f>
        <v>88028885</v>
      </c>
      <c r="E172" s="395">
        <f>SUMIFS(Пр11!H$10:H$1493,Пр11!$D$10:$D$1493,C172)</f>
        <v>-2500000</v>
      </c>
      <c r="F172" s="395">
        <f>SUMIFS(Пр11!I$10:I$1493,Пр11!$D$10:$D$1493,C172)</f>
        <v>85408885</v>
      </c>
      <c r="G172" s="395">
        <f>SUMIFS(Пр11!J$10:J$1493,Пр11!$D$10:$D$1493,C172)</f>
        <v>42021339</v>
      </c>
      <c r="H172" s="395">
        <f>SUMIFS(Пр11!K$10:K$1493,Пр11!$D$10:$D$1493,C172)</f>
        <v>0</v>
      </c>
      <c r="I172" s="396">
        <f>SUMIFS(Пр11!L$10:L$1493,Пр11!$D$10:$D$1493,C172)</f>
        <v>42021339</v>
      </c>
    </row>
    <row r="173" spans="2:9" ht="16.5" hidden="1" thickBot="1" x14ac:dyDescent="0.25">
      <c r="B173" s="411" t="str">
        <f>IF(C173&gt;0,VLOOKUP(C173,Программа!A$2:B$5124,2))</f>
        <v>Межбюджетные трансферты  поселениям района</v>
      </c>
      <c r="C173" s="149" t="s">
        <v>478</v>
      </c>
      <c r="D173" s="395">
        <f>SUMIFS(Пр11!G$10:G$1493,Пр11!$D$10:$D$1493,C173)</f>
        <v>0</v>
      </c>
      <c r="E173" s="370">
        <f>SUMIFS(Пр11!H$10:H$1493,Пр11!$D$10:$D$1493,C173)</f>
        <v>0</v>
      </c>
      <c r="F173" s="395">
        <f>SUMIFS(Пр11!I$10:I$1493,Пр11!$D$10:$D$1493,C173)</f>
        <v>0</v>
      </c>
      <c r="G173" s="395">
        <f>SUMIFS(Пр11!J$10:J$1493,Пр11!$D$10:$D$1493,C173)</f>
        <v>0</v>
      </c>
      <c r="H173" s="395">
        <f>SUMIFS(Пр11!K$10:K$1493,Пр11!$D$10:$D$1493,C173)</f>
        <v>0</v>
      </c>
      <c r="I173" s="396">
        <f>SUMIFS(Пр11!L$10:L$1493,Пр11!$D$10:$D$1493,C173)</f>
        <v>0</v>
      </c>
    </row>
    <row r="174" spans="2:9" ht="16.5" thickBot="1" x14ac:dyDescent="0.25">
      <c r="B174" s="411" t="s">
        <v>657</v>
      </c>
      <c r="C174" s="702"/>
      <c r="D174" s="703">
        <f>D171+D172+D173</f>
        <v>2251115068</v>
      </c>
      <c r="E174" s="703">
        <f t="shared" ref="E174:I174" si="1">E171+E172+E173</f>
        <v>-110108000</v>
      </c>
      <c r="F174" s="703">
        <f>F171+F172+F173</f>
        <v>2141007068</v>
      </c>
      <c r="G174" s="703">
        <f t="shared" si="1"/>
        <v>2220028024</v>
      </c>
      <c r="H174" s="703">
        <f t="shared" si="1"/>
        <v>0</v>
      </c>
      <c r="I174" s="704">
        <f t="shared" si="1"/>
        <v>2220028024</v>
      </c>
    </row>
  </sheetData>
  <autoFilter ref="F1:I17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49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40625" defaultRowHeight="12.75" x14ac:dyDescent="0.2"/>
  <cols>
    <col min="1" max="1" width="50.28515625" style="89" customWidth="1"/>
    <col min="2" max="2" width="14.28515625" style="89" customWidth="1"/>
    <col min="3" max="3" width="10.140625" style="89" hidden="1" customWidth="1"/>
    <col min="4" max="16384" width="9.140625" style="89"/>
  </cols>
  <sheetData>
    <row r="1" spans="1:3" ht="15.75" x14ac:dyDescent="0.25">
      <c r="A1" s="829" t="s">
        <v>1650</v>
      </c>
      <c r="B1" s="829"/>
      <c r="C1" s="829"/>
    </row>
    <row r="2" spans="1:3" ht="15.75" x14ac:dyDescent="0.25">
      <c r="A2" s="829" t="s">
        <v>1</v>
      </c>
      <c r="B2" s="829"/>
      <c r="C2" s="829"/>
    </row>
    <row r="3" spans="1:3" ht="15.75" x14ac:dyDescent="0.25">
      <c r="A3" s="829" t="s">
        <v>2</v>
      </c>
      <c r="B3" s="829"/>
      <c r="C3" s="829"/>
    </row>
    <row r="4" spans="1:3" ht="15.75" x14ac:dyDescent="0.25">
      <c r="A4" s="829" t="s">
        <v>1653</v>
      </c>
      <c r="B4" s="829"/>
      <c r="C4" s="829"/>
    </row>
    <row r="5" spans="1:3" ht="15.75" x14ac:dyDescent="0.25">
      <c r="A5" s="5"/>
      <c r="B5" s="5"/>
      <c r="C5" s="35"/>
    </row>
    <row r="6" spans="1:3" ht="15.75" x14ac:dyDescent="0.25">
      <c r="A6" s="35"/>
      <c r="B6" s="35"/>
      <c r="C6" s="35"/>
    </row>
    <row r="7" spans="1:3" ht="37.15" customHeight="1" x14ac:dyDescent="0.2">
      <c r="A7" s="830" t="s">
        <v>1635</v>
      </c>
      <c r="B7" s="830"/>
      <c r="C7" s="830"/>
    </row>
    <row r="8" spans="1:3" ht="15.75" x14ac:dyDescent="0.2">
      <c r="A8" s="6"/>
      <c r="B8" s="6"/>
      <c r="C8" s="6"/>
    </row>
    <row r="9" spans="1:3" ht="41.25" customHeight="1" x14ac:dyDescent="0.2">
      <c r="A9" s="933" t="s">
        <v>665</v>
      </c>
      <c r="B9" s="933"/>
      <c r="C9" s="830"/>
    </row>
    <row r="10" spans="1:3" ht="15.75" x14ac:dyDescent="0.2">
      <c r="A10" s="445" t="s">
        <v>666</v>
      </c>
      <c r="B10" s="445" t="s">
        <v>140</v>
      </c>
      <c r="C10" s="142"/>
    </row>
    <row r="11" spans="1:3" ht="15.75" x14ac:dyDescent="0.25">
      <c r="A11" s="143" t="s">
        <v>667</v>
      </c>
      <c r="B11" s="710">
        <v>42000</v>
      </c>
      <c r="C11" s="145"/>
    </row>
    <row r="12" spans="1:3" ht="15.75" x14ac:dyDescent="0.25">
      <c r="A12" s="143" t="s">
        <v>670</v>
      </c>
      <c r="B12" s="710">
        <v>133000</v>
      </c>
      <c r="C12" s="145"/>
    </row>
    <row r="13" spans="1:3" ht="15.75" x14ac:dyDescent="0.25">
      <c r="A13" s="143" t="s">
        <v>669</v>
      </c>
      <c r="B13" s="710">
        <v>39000</v>
      </c>
      <c r="C13" s="145"/>
    </row>
    <row r="14" spans="1:3" ht="15.75" x14ac:dyDescent="0.25">
      <c r="A14" s="143" t="s">
        <v>668</v>
      </c>
      <c r="B14" s="710">
        <v>86000</v>
      </c>
      <c r="C14" s="145"/>
    </row>
    <row r="15" spans="1:3" ht="15.75" x14ac:dyDescent="0.25">
      <c r="A15" s="146" t="s">
        <v>129</v>
      </c>
      <c r="B15" s="711">
        <f>SUM(B11:B14)</f>
        <v>300000</v>
      </c>
      <c r="C15" s="147"/>
    </row>
    <row r="16" spans="1:3" ht="15.75" x14ac:dyDescent="0.25">
      <c r="A16" s="35"/>
      <c r="B16" s="35"/>
      <c r="C16" s="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7109375" style="254" customWidth="1"/>
    <col min="2" max="2" width="16.140625" style="254" hidden="1" customWidth="1"/>
    <col min="3" max="3" width="12.7109375" style="254" hidden="1" customWidth="1"/>
    <col min="4" max="4" width="16.7109375" style="254" customWidth="1"/>
    <col min="5" max="16384" width="9.140625" style="254"/>
  </cols>
  <sheetData>
    <row r="1" spans="1:4" ht="15.75" x14ac:dyDescent="0.25">
      <c r="A1" s="842" t="s">
        <v>1535</v>
      </c>
      <c r="B1" s="842"/>
      <c r="C1" s="842"/>
      <c r="D1" s="842"/>
    </row>
    <row r="2" spans="1:4" ht="15.75" x14ac:dyDescent="0.25">
      <c r="A2" s="842" t="s">
        <v>1</v>
      </c>
      <c r="B2" s="842"/>
      <c r="C2" s="842"/>
      <c r="D2" s="842"/>
    </row>
    <row r="3" spans="1:4" ht="15.75" x14ac:dyDescent="0.25">
      <c r="A3" s="842" t="s">
        <v>2</v>
      </c>
      <c r="B3" s="842"/>
      <c r="C3" s="842"/>
      <c r="D3" s="842"/>
    </row>
    <row r="4" spans="1:4" ht="15.75" x14ac:dyDescent="0.25">
      <c r="A4" s="842" t="s">
        <v>1754</v>
      </c>
      <c r="B4" s="842"/>
      <c r="C4" s="842"/>
      <c r="D4" s="842"/>
    </row>
    <row r="5" spans="1:4" x14ac:dyDescent="0.2">
      <c r="A5" s="255"/>
      <c r="B5" s="255"/>
      <c r="C5" s="255"/>
      <c r="D5"/>
    </row>
    <row r="6" spans="1:4" ht="35.25" customHeight="1" x14ac:dyDescent="0.2">
      <c r="A6" s="879" t="s">
        <v>1636</v>
      </c>
      <c r="B6" s="879"/>
      <c r="C6" s="879"/>
      <c r="D6" s="879"/>
    </row>
    <row r="7" spans="1:4" ht="19.5" thickBot="1" x14ac:dyDescent="0.25">
      <c r="A7" s="259"/>
      <c r="B7" s="259"/>
      <c r="C7" s="259"/>
      <c r="D7"/>
    </row>
    <row r="8" spans="1:4" ht="37.15" customHeight="1" thickBot="1" x14ac:dyDescent="0.25">
      <c r="A8" s="604" t="s">
        <v>666</v>
      </c>
      <c r="B8" s="605" t="s">
        <v>1387</v>
      </c>
      <c r="C8" s="606" t="s">
        <v>671</v>
      </c>
      <c r="D8" s="605" t="s">
        <v>1387</v>
      </c>
    </row>
    <row r="9" spans="1:4" s="326" customFormat="1" ht="38.25" hidden="1" customHeight="1" x14ac:dyDescent="0.25">
      <c r="A9" s="607" t="s">
        <v>1035</v>
      </c>
      <c r="B9" s="609">
        <v>360000</v>
      </c>
      <c r="C9" s="608">
        <f>SUM(C10:C13)</f>
        <v>0</v>
      </c>
      <c r="D9" s="609">
        <f>SUM(D10:D13)</f>
        <v>0</v>
      </c>
    </row>
    <row r="10" spans="1:4" ht="13.9" hidden="1" customHeight="1" x14ac:dyDescent="0.25">
      <c r="A10" s="544" t="s">
        <v>667</v>
      </c>
      <c r="B10" s="260">
        <v>200000</v>
      </c>
      <c r="C10" s="603"/>
      <c r="D10" s="260">
        <v>0</v>
      </c>
    </row>
    <row r="11" spans="1:4" ht="19.5" hidden="1" customHeight="1" x14ac:dyDescent="0.25">
      <c r="A11" s="544" t="s">
        <v>672</v>
      </c>
      <c r="B11" s="260">
        <v>0</v>
      </c>
      <c r="C11" s="603"/>
      <c r="D11" s="260">
        <v>0</v>
      </c>
    </row>
    <row r="12" spans="1:4" ht="13.9" hidden="1" customHeight="1" x14ac:dyDescent="0.25">
      <c r="A12" s="544" t="s">
        <v>670</v>
      </c>
      <c r="B12" s="260">
        <v>160000</v>
      </c>
      <c r="C12" s="603"/>
      <c r="D12" s="260">
        <v>0</v>
      </c>
    </row>
    <row r="13" spans="1:4" ht="36" hidden="1" customHeight="1" thickBot="1" x14ac:dyDescent="0.3">
      <c r="A13" s="610" t="s">
        <v>668</v>
      </c>
      <c r="B13" s="613">
        <v>0</v>
      </c>
      <c r="C13" s="612"/>
      <c r="D13" s="613">
        <v>0</v>
      </c>
    </row>
    <row r="14" spans="1:4" ht="97.5" hidden="1" customHeight="1" x14ac:dyDescent="0.2">
      <c r="A14" s="614" t="s">
        <v>1329</v>
      </c>
      <c r="B14" s="616">
        <v>6075160</v>
      </c>
      <c r="C14" s="615">
        <f t="shared" ref="C14:D14" si="0">SUM(C15:C15)</f>
        <v>0</v>
      </c>
      <c r="D14" s="616">
        <f t="shared" si="0"/>
        <v>0</v>
      </c>
    </row>
    <row r="15" spans="1:4" ht="18" hidden="1" customHeight="1" thickBot="1" x14ac:dyDescent="0.3">
      <c r="A15" s="617" t="s">
        <v>668</v>
      </c>
      <c r="B15" s="620">
        <v>6075160</v>
      </c>
      <c r="C15" s="619">
        <v>0</v>
      </c>
      <c r="D15" s="620">
        <v>0</v>
      </c>
    </row>
    <row r="16" spans="1:4" ht="33" customHeight="1" x14ac:dyDescent="0.2">
      <c r="A16" s="621" t="s">
        <v>1654</v>
      </c>
      <c r="B16" s="616">
        <f>B17</f>
        <v>210708</v>
      </c>
      <c r="C16" s="615">
        <f>SUM(C18:C18)</f>
        <v>0</v>
      </c>
      <c r="D16" s="616">
        <f>SUM(D17:D18)</f>
        <v>210708</v>
      </c>
    </row>
    <row r="17" spans="1:4" ht="16.5" thickBot="1" x14ac:dyDescent="0.25">
      <c r="A17" s="707" t="s">
        <v>670</v>
      </c>
      <c r="B17" s="708">
        <v>210708</v>
      </c>
      <c r="C17" s="706"/>
      <c r="D17" s="708">
        <v>210708</v>
      </c>
    </row>
    <row r="18" spans="1:4" ht="18" hidden="1" customHeight="1" thickBot="1" x14ac:dyDescent="0.3">
      <c r="A18" s="622" t="s">
        <v>668</v>
      </c>
      <c r="B18" s="620">
        <v>0</v>
      </c>
      <c r="C18" s="623">
        <v>0</v>
      </c>
      <c r="D18" s="620">
        <v>0</v>
      </c>
    </row>
    <row r="19" spans="1:4" ht="94.5" x14ac:dyDescent="0.25">
      <c r="A19" s="607" t="s">
        <v>1688</v>
      </c>
      <c r="B19" s="609">
        <f t="shared" ref="B19:D19" si="1">SUM(B20:B23)</f>
        <v>200000</v>
      </c>
      <c r="C19" s="609">
        <f t="shared" si="1"/>
        <v>598800</v>
      </c>
      <c r="D19" s="609">
        <f t="shared" si="1"/>
        <v>798800</v>
      </c>
    </row>
    <row r="20" spans="1:4" ht="13.9" hidden="1" customHeight="1" x14ac:dyDescent="0.25">
      <c r="A20" s="544" t="s">
        <v>667</v>
      </c>
      <c r="B20" s="260">
        <v>0</v>
      </c>
      <c r="C20" s="603"/>
      <c r="D20" s="260">
        <f>SUM(B20:C20)</f>
        <v>0</v>
      </c>
    </row>
    <row r="21" spans="1:4" ht="13.9" hidden="1" customHeight="1" x14ac:dyDescent="0.25">
      <c r="A21" s="544" t="s">
        <v>672</v>
      </c>
      <c r="B21" s="260">
        <v>0</v>
      </c>
      <c r="C21" s="603"/>
      <c r="D21" s="260">
        <f t="shared" ref="D21:D23" si="2">SUM(B21:C21)</f>
        <v>0</v>
      </c>
    </row>
    <row r="22" spans="1:4" ht="13.9" customHeight="1" x14ac:dyDescent="0.25">
      <c r="A22" s="544" t="s">
        <v>670</v>
      </c>
      <c r="B22" s="260">
        <v>200000</v>
      </c>
      <c r="C22" s="603">
        <v>598800</v>
      </c>
      <c r="D22" s="260">
        <f>B22+C22</f>
        <v>798800</v>
      </c>
    </row>
    <row r="23" spans="1:4" ht="13.9" hidden="1" customHeight="1" x14ac:dyDescent="0.25">
      <c r="A23" s="544" t="s">
        <v>668</v>
      </c>
      <c r="B23" s="260">
        <v>0</v>
      </c>
      <c r="C23" s="603"/>
      <c r="D23" s="260">
        <f t="shared" si="2"/>
        <v>0</v>
      </c>
    </row>
    <row r="24" spans="1:4" ht="13.5" thickBot="1" x14ac:dyDescent="0.25">
      <c r="A24" s="624" t="s">
        <v>570</v>
      </c>
      <c r="B24" s="625">
        <f>B16+B19</f>
        <v>410708</v>
      </c>
      <c r="C24" s="626">
        <f>C9+C14+C16+C19</f>
        <v>598800</v>
      </c>
      <c r="D24" s="627">
        <f>D9+D14+D16+D19</f>
        <v>1009508</v>
      </c>
    </row>
    <row r="25" spans="1:4" ht="13.9" customHeight="1" x14ac:dyDescent="0.2"/>
    <row r="26" spans="1:4" ht="13.9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7109375" style="165" customWidth="1"/>
    <col min="2" max="2" width="85.7109375" style="164" customWidth="1"/>
  </cols>
  <sheetData>
    <row r="1" spans="1:2" hidden="1" x14ac:dyDescent="0.2">
      <c r="A1" s="165" t="s">
        <v>673</v>
      </c>
      <c r="B1" s="164" t="s">
        <v>674</v>
      </c>
    </row>
    <row r="2" spans="1:2" hidden="1" x14ac:dyDescent="0.2">
      <c r="A2" s="166" t="s">
        <v>675</v>
      </c>
      <c r="B2" s="167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9" hidden="1" customHeight="1" x14ac:dyDescent="0.2"/>
    <row r="998" spans="1:2" hidden="1" x14ac:dyDescent="0.2"/>
    <row r="999" spans="1:2" hidden="1" x14ac:dyDescent="0.2"/>
    <row r="1000" spans="1:2" x14ac:dyDescent="0.2">
      <c r="A1000" s="168">
        <v>0</v>
      </c>
      <c r="B1000" s="169" t="s">
        <v>677</v>
      </c>
    </row>
    <row r="1001" spans="1:2" x14ac:dyDescent="0.2">
      <c r="A1001" s="168">
        <v>4</v>
      </c>
      <c r="B1001" s="169" t="s">
        <v>678</v>
      </c>
    </row>
    <row r="1002" spans="1:2" x14ac:dyDescent="0.2">
      <c r="A1002" s="168">
        <v>20</v>
      </c>
      <c r="B1002" s="169" t="s">
        <v>679</v>
      </c>
    </row>
    <row r="1003" spans="1:2" x14ac:dyDescent="0.2">
      <c r="A1003" s="168">
        <v>22</v>
      </c>
      <c r="B1003" s="169" t="s">
        <v>680</v>
      </c>
    </row>
    <row r="1004" spans="1:2" x14ac:dyDescent="0.2">
      <c r="A1004" s="168">
        <v>29</v>
      </c>
      <c r="B1004" s="169" t="s">
        <v>681</v>
      </c>
    </row>
    <row r="1005" spans="1:2" x14ac:dyDescent="0.2">
      <c r="A1005" s="168">
        <v>48</v>
      </c>
      <c r="B1005" s="169" t="s">
        <v>682</v>
      </c>
    </row>
    <row r="1006" spans="1:2" x14ac:dyDescent="0.2">
      <c r="A1006" s="168">
        <v>50</v>
      </c>
      <c r="B1006" s="169" t="s">
        <v>683</v>
      </c>
    </row>
    <row r="1007" spans="1:2" x14ac:dyDescent="0.2">
      <c r="A1007" s="168">
        <v>53</v>
      </c>
      <c r="B1007" s="169" t="s">
        <v>684</v>
      </c>
    </row>
    <row r="1008" spans="1:2" x14ac:dyDescent="0.2">
      <c r="A1008" s="168">
        <v>54</v>
      </c>
      <c r="B1008" s="169" t="s">
        <v>685</v>
      </c>
    </row>
    <row r="1009" spans="1:2" x14ac:dyDescent="0.2">
      <c r="A1009" s="168">
        <v>56</v>
      </c>
      <c r="B1009" s="169" t="s">
        <v>686</v>
      </c>
    </row>
    <row r="1010" spans="1:2" x14ac:dyDescent="0.2">
      <c r="A1010" s="168">
        <v>58</v>
      </c>
      <c r="B1010" s="169" t="s">
        <v>687</v>
      </c>
    </row>
    <row r="1011" spans="1:2" x14ac:dyDescent="0.2">
      <c r="A1011" s="168">
        <v>70</v>
      </c>
      <c r="B1011" s="169" t="s">
        <v>688</v>
      </c>
    </row>
    <row r="1012" spans="1:2" x14ac:dyDescent="0.2">
      <c r="A1012" s="168">
        <v>71</v>
      </c>
      <c r="B1012" s="169" t="s">
        <v>689</v>
      </c>
    </row>
    <row r="1013" spans="1:2" x14ac:dyDescent="0.2">
      <c r="A1013" s="168">
        <v>72</v>
      </c>
      <c r="B1013" s="169" t="s">
        <v>690</v>
      </c>
    </row>
    <row r="1014" spans="1:2" x14ac:dyDescent="0.2">
      <c r="A1014" s="168">
        <v>75</v>
      </c>
      <c r="B1014" s="169" t="s">
        <v>691</v>
      </c>
    </row>
    <row r="1015" spans="1:2" x14ac:dyDescent="0.2">
      <c r="A1015" s="168">
        <v>76</v>
      </c>
      <c r="B1015" s="169" t="s">
        <v>692</v>
      </c>
    </row>
    <row r="1016" spans="1:2" x14ac:dyDescent="0.2">
      <c r="A1016" s="168">
        <v>78</v>
      </c>
      <c r="B1016" s="169" t="s">
        <v>693</v>
      </c>
    </row>
    <row r="1017" spans="1:2" x14ac:dyDescent="0.2">
      <c r="A1017" s="168">
        <v>81</v>
      </c>
      <c r="B1017" s="169" t="s">
        <v>694</v>
      </c>
    </row>
    <row r="1018" spans="1:2" x14ac:dyDescent="0.2">
      <c r="A1018" s="168">
        <v>82</v>
      </c>
      <c r="B1018" s="169" t="s">
        <v>695</v>
      </c>
    </row>
    <row r="1019" spans="1:2" x14ac:dyDescent="0.2">
      <c r="A1019" s="168">
        <v>83</v>
      </c>
      <c r="B1019" s="169" t="s">
        <v>696</v>
      </c>
    </row>
    <row r="1020" spans="1:2" x14ac:dyDescent="0.2">
      <c r="A1020" s="168">
        <v>85</v>
      </c>
      <c r="B1020" s="169" t="s">
        <v>697</v>
      </c>
    </row>
    <row r="1021" spans="1:2" x14ac:dyDescent="0.2">
      <c r="A1021" s="168">
        <v>89</v>
      </c>
      <c r="B1021" s="169" t="s">
        <v>698</v>
      </c>
    </row>
    <row r="1022" spans="1:2" x14ac:dyDescent="0.2">
      <c r="A1022" s="168">
        <v>92</v>
      </c>
      <c r="B1022" s="169" t="s">
        <v>699</v>
      </c>
    </row>
    <row r="1023" spans="1:2" x14ac:dyDescent="0.2">
      <c r="A1023" s="168">
        <v>99</v>
      </c>
      <c r="B1023" s="169" t="s">
        <v>700</v>
      </c>
    </row>
    <row r="1024" spans="1:2" x14ac:dyDescent="0.2">
      <c r="A1024" s="168">
        <v>104</v>
      </c>
      <c r="B1024" s="169" t="s">
        <v>701</v>
      </c>
    </row>
    <row r="1025" spans="1:2" x14ac:dyDescent="0.2">
      <c r="A1025" s="168">
        <v>125</v>
      </c>
      <c r="B1025" s="169" t="s">
        <v>702</v>
      </c>
    </row>
    <row r="1026" spans="1:2" x14ac:dyDescent="0.2">
      <c r="A1026" s="168">
        <v>126</v>
      </c>
      <c r="B1026" s="169" t="s">
        <v>703</v>
      </c>
    </row>
    <row r="1027" spans="1:2" x14ac:dyDescent="0.2">
      <c r="A1027" s="168">
        <v>128</v>
      </c>
      <c r="B1027" s="169" t="s">
        <v>704</v>
      </c>
    </row>
    <row r="1028" spans="1:2" x14ac:dyDescent="0.2">
      <c r="A1028" s="168">
        <v>129</v>
      </c>
      <c r="B1028" s="169" t="s">
        <v>705</v>
      </c>
    </row>
    <row r="1029" spans="1:2" ht="25.5" x14ac:dyDescent="0.2">
      <c r="A1029" s="168">
        <v>133</v>
      </c>
      <c r="B1029" s="169" t="s">
        <v>706</v>
      </c>
    </row>
    <row r="1030" spans="1:2" ht="25.5" x14ac:dyDescent="0.2">
      <c r="A1030" s="168">
        <v>134</v>
      </c>
      <c r="B1030" s="169" t="s">
        <v>707</v>
      </c>
    </row>
    <row r="1031" spans="1:2" x14ac:dyDescent="0.2">
      <c r="A1031" s="168">
        <v>136</v>
      </c>
      <c r="B1031" s="169" t="s">
        <v>708</v>
      </c>
    </row>
    <row r="1032" spans="1:2" x14ac:dyDescent="0.2">
      <c r="A1032" s="168">
        <v>139</v>
      </c>
      <c r="B1032" s="169" t="s">
        <v>709</v>
      </c>
    </row>
    <row r="1033" spans="1:2" x14ac:dyDescent="0.2">
      <c r="A1033" s="168">
        <v>140</v>
      </c>
      <c r="B1033" s="169" t="s">
        <v>710</v>
      </c>
    </row>
    <row r="1034" spans="1:2" x14ac:dyDescent="0.2">
      <c r="A1034" s="168">
        <v>141</v>
      </c>
      <c r="B1034" s="169" t="s">
        <v>711</v>
      </c>
    </row>
    <row r="1035" spans="1:2" x14ac:dyDescent="0.2">
      <c r="A1035" s="168">
        <v>142</v>
      </c>
      <c r="B1035" s="169" t="s">
        <v>712</v>
      </c>
    </row>
    <row r="1036" spans="1:2" x14ac:dyDescent="0.2">
      <c r="A1036" s="168">
        <v>148</v>
      </c>
      <c r="B1036" s="169" t="s">
        <v>713</v>
      </c>
    </row>
    <row r="1037" spans="1:2" x14ac:dyDescent="0.2">
      <c r="A1037" s="168">
        <v>149</v>
      </c>
      <c r="B1037" s="169" t="s">
        <v>714</v>
      </c>
    </row>
    <row r="1038" spans="1:2" x14ac:dyDescent="0.2">
      <c r="A1038" s="168">
        <v>152</v>
      </c>
      <c r="B1038" s="169" t="s">
        <v>715</v>
      </c>
    </row>
    <row r="1039" spans="1:2" x14ac:dyDescent="0.2">
      <c r="A1039" s="168">
        <v>153</v>
      </c>
      <c r="B1039" s="169" t="s">
        <v>716</v>
      </c>
    </row>
    <row r="1040" spans="1:2" x14ac:dyDescent="0.2">
      <c r="A1040" s="168">
        <v>154</v>
      </c>
      <c r="B1040" s="169" t="s">
        <v>717</v>
      </c>
    </row>
    <row r="1041" spans="1:2" x14ac:dyDescent="0.2">
      <c r="A1041" s="168">
        <v>156</v>
      </c>
      <c r="B1041" s="169" t="s">
        <v>718</v>
      </c>
    </row>
    <row r="1042" spans="1:2" x14ac:dyDescent="0.2">
      <c r="A1042" s="168">
        <v>157</v>
      </c>
      <c r="B1042" s="169" t="s">
        <v>719</v>
      </c>
    </row>
    <row r="1043" spans="1:2" x14ac:dyDescent="0.2">
      <c r="A1043" s="168">
        <v>158</v>
      </c>
      <c r="B1043" s="169" t="s">
        <v>720</v>
      </c>
    </row>
    <row r="1044" spans="1:2" x14ac:dyDescent="0.2">
      <c r="A1044" s="168">
        <v>159</v>
      </c>
      <c r="B1044" s="169" t="s">
        <v>721</v>
      </c>
    </row>
    <row r="1045" spans="1:2" x14ac:dyDescent="0.2">
      <c r="A1045" s="168">
        <v>160</v>
      </c>
      <c r="B1045" s="169" t="s">
        <v>722</v>
      </c>
    </row>
    <row r="1046" spans="1:2" x14ac:dyDescent="0.2">
      <c r="A1046" s="168">
        <v>162</v>
      </c>
      <c r="B1046" s="169" t="s">
        <v>723</v>
      </c>
    </row>
    <row r="1047" spans="1:2" x14ac:dyDescent="0.2">
      <c r="A1047" s="168">
        <v>163</v>
      </c>
      <c r="B1047" s="169" t="s">
        <v>724</v>
      </c>
    </row>
    <row r="1048" spans="1:2" x14ac:dyDescent="0.2">
      <c r="A1048" s="168">
        <v>164</v>
      </c>
      <c r="B1048" s="169" t="s">
        <v>725</v>
      </c>
    </row>
    <row r="1049" spans="1:2" x14ac:dyDescent="0.2">
      <c r="A1049" s="168">
        <v>165</v>
      </c>
      <c r="B1049" s="169" t="s">
        <v>726</v>
      </c>
    </row>
    <row r="1050" spans="1:2" ht="25.5" x14ac:dyDescent="0.2">
      <c r="A1050" s="168">
        <v>166</v>
      </c>
      <c r="B1050" s="169" t="s">
        <v>727</v>
      </c>
    </row>
    <row r="1051" spans="1:2" ht="25.5" x14ac:dyDescent="0.2">
      <c r="A1051" s="168">
        <v>177</v>
      </c>
      <c r="B1051" s="169" t="s">
        <v>728</v>
      </c>
    </row>
    <row r="1052" spans="1:2" x14ac:dyDescent="0.2">
      <c r="A1052" s="168">
        <v>181</v>
      </c>
      <c r="B1052" s="169" t="s">
        <v>729</v>
      </c>
    </row>
    <row r="1053" spans="1:2" x14ac:dyDescent="0.2">
      <c r="A1053" s="168">
        <v>182</v>
      </c>
      <c r="B1053" s="169" t="s">
        <v>730</v>
      </c>
    </row>
    <row r="1054" spans="1:2" x14ac:dyDescent="0.2">
      <c r="A1054" s="168">
        <v>184</v>
      </c>
      <c r="B1054" s="169" t="s">
        <v>731</v>
      </c>
    </row>
    <row r="1055" spans="1:2" x14ac:dyDescent="0.2">
      <c r="A1055" s="168">
        <v>186</v>
      </c>
      <c r="B1055" s="169" t="s">
        <v>732</v>
      </c>
    </row>
    <row r="1056" spans="1:2" x14ac:dyDescent="0.2">
      <c r="A1056" s="168">
        <v>187</v>
      </c>
      <c r="B1056" s="169" t="s">
        <v>733</v>
      </c>
    </row>
    <row r="1057" spans="1:2" x14ac:dyDescent="0.2">
      <c r="A1057" s="168">
        <v>188</v>
      </c>
      <c r="B1057" s="169" t="s">
        <v>734</v>
      </c>
    </row>
    <row r="1058" spans="1:2" x14ac:dyDescent="0.2">
      <c r="A1058" s="168">
        <v>189</v>
      </c>
      <c r="B1058" s="169" t="s">
        <v>735</v>
      </c>
    </row>
    <row r="1059" spans="1:2" x14ac:dyDescent="0.2">
      <c r="A1059" s="168">
        <v>190</v>
      </c>
      <c r="B1059" s="169" t="s">
        <v>736</v>
      </c>
    </row>
    <row r="1060" spans="1:2" x14ac:dyDescent="0.2">
      <c r="A1060" s="168">
        <v>192</v>
      </c>
      <c r="B1060" s="169" t="s">
        <v>737</v>
      </c>
    </row>
    <row r="1061" spans="1:2" x14ac:dyDescent="0.2">
      <c r="A1061" s="168">
        <v>197</v>
      </c>
      <c r="B1061" s="169" t="s">
        <v>738</v>
      </c>
    </row>
    <row r="1062" spans="1:2" x14ac:dyDescent="0.2">
      <c r="A1062" s="168">
        <v>202</v>
      </c>
      <c r="B1062" s="169" t="s">
        <v>739</v>
      </c>
    </row>
    <row r="1063" spans="1:2" ht="25.5" x14ac:dyDescent="0.2">
      <c r="A1063" s="168">
        <v>206</v>
      </c>
      <c r="B1063" s="169" t="s">
        <v>740</v>
      </c>
    </row>
    <row r="1064" spans="1:2" x14ac:dyDescent="0.2">
      <c r="A1064" s="168">
        <v>207</v>
      </c>
      <c r="B1064" s="169" t="s">
        <v>741</v>
      </c>
    </row>
    <row r="1065" spans="1:2" x14ac:dyDescent="0.2">
      <c r="A1065" s="168">
        <v>226</v>
      </c>
      <c r="B1065" s="169" t="s">
        <v>742</v>
      </c>
    </row>
    <row r="1066" spans="1:2" x14ac:dyDescent="0.2">
      <c r="A1066" s="168">
        <v>258</v>
      </c>
      <c r="B1066" s="169" t="s">
        <v>743</v>
      </c>
    </row>
    <row r="1067" spans="1:2" x14ac:dyDescent="0.2">
      <c r="A1067" s="168">
        <v>262</v>
      </c>
      <c r="B1067" s="169" t="s">
        <v>744</v>
      </c>
    </row>
    <row r="1068" spans="1:2" x14ac:dyDescent="0.2">
      <c r="A1068" s="168">
        <v>263</v>
      </c>
      <c r="B1068" s="169" t="s">
        <v>745</v>
      </c>
    </row>
    <row r="1069" spans="1:2" x14ac:dyDescent="0.2">
      <c r="A1069" s="168">
        <v>279</v>
      </c>
      <c r="B1069" s="169" t="s">
        <v>746</v>
      </c>
    </row>
    <row r="1070" spans="1:2" x14ac:dyDescent="0.2">
      <c r="A1070" s="168">
        <v>302</v>
      </c>
      <c r="B1070" s="169" t="s">
        <v>747</v>
      </c>
    </row>
    <row r="1071" spans="1:2" x14ac:dyDescent="0.2">
      <c r="A1071" s="168">
        <v>303</v>
      </c>
      <c r="B1071" s="169" t="s">
        <v>748</v>
      </c>
    </row>
    <row r="1072" spans="1:2" x14ac:dyDescent="0.2">
      <c r="A1072" s="168">
        <v>304</v>
      </c>
      <c r="B1072" s="169" t="s">
        <v>749</v>
      </c>
    </row>
    <row r="1073" spans="1:2" x14ac:dyDescent="0.2">
      <c r="A1073" s="168">
        <v>305</v>
      </c>
      <c r="B1073" s="169" t="s">
        <v>750</v>
      </c>
    </row>
    <row r="1074" spans="1:2" x14ac:dyDescent="0.2">
      <c r="A1074" s="168">
        <v>306</v>
      </c>
      <c r="B1074" s="169" t="s">
        <v>751</v>
      </c>
    </row>
    <row r="1075" spans="1:2" x14ac:dyDescent="0.2">
      <c r="A1075" s="168">
        <v>308</v>
      </c>
      <c r="B1075" s="169" t="s">
        <v>752</v>
      </c>
    </row>
    <row r="1076" spans="1:2" x14ac:dyDescent="0.2">
      <c r="A1076" s="168">
        <v>310</v>
      </c>
      <c r="B1076" s="169" t="s">
        <v>753</v>
      </c>
    </row>
    <row r="1077" spans="1:2" x14ac:dyDescent="0.2">
      <c r="A1077" s="168">
        <v>316</v>
      </c>
      <c r="B1077" s="169" t="s">
        <v>754</v>
      </c>
    </row>
    <row r="1078" spans="1:2" x14ac:dyDescent="0.2">
      <c r="A1078" s="168">
        <v>318</v>
      </c>
      <c r="B1078" s="169" t="s">
        <v>755</v>
      </c>
    </row>
    <row r="1079" spans="1:2" x14ac:dyDescent="0.2">
      <c r="A1079" s="168">
        <v>319</v>
      </c>
      <c r="B1079" s="169" t="s">
        <v>756</v>
      </c>
    </row>
    <row r="1080" spans="1:2" x14ac:dyDescent="0.2">
      <c r="A1080" s="168">
        <v>320</v>
      </c>
      <c r="B1080" s="169" t="s">
        <v>757</v>
      </c>
    </row>
    <row r="1081" spans="1:2" x14ac:dyDescent="0.2">
      <c r="A1081" s="168">
        <v>321</v>
      </c>
      <c r="B1081" s="169" t="s">
        <v>758</v>
      </c>
    </row>
    <row r="1082" spans="1:2" x14ac:dyDescent="0.2">
      <c r="A1082" s="168">
        <v>322</v>
      </c>
      <c r="B1082" s="169" t="s">
        <v>759</v>
      </c>
    </row>
    <row r="1083" spans="1:2" x14ac:dyDescent="0.2">
      <c r="A1083" s="168">
        <v>330</v>
      </c>
      <c r="B1083" s="169" t="s">
        <v>760</v>
      </c>
    </row>
    <row r="1084" spans="1:2" x14ac:dyDescent="0.2">
      <c r="A1084" s="168">
        <v>333</v>
      </c>
      <c r="B1084" s="169" t="s">
        <v>761</v>
      </c>
    </row>
    <row r="1085" spans="1:2" x14ac:dyDescent="0.2">
      <c r="A1085" s="168">
        <v>352</v>
      </c>
      <c r="B1085" s="169" t="s">
        <v>762</v>
      </c>
    </row>
    <row r="1086" spans="1:2" x14ac:dyDescent="0.2">
      <c r="A1086" s="168">
        <v>386</v>
      </c>
      <c r="B1086" s="169" t="s">
        <v>763</v>
      </c>
    </row>
    <row r="1087" spans="1:2" ht="25.5" x14ac:dyDescent="0.2">
      <c r="A1087" s="168">
        <v>387</v>
      </c>
      <c r="B1087" s="169" t="s">
        <v>764</v>
      </c>
    </row>
    <row r="1088" spans="1:2" x14ac:dyDescent="0.2">
      <c r="A1088" s="168">
        <v>392</v>
      </c>
      <c r="B1088" s="169" t="s">
        <v>765</v>
      </c>
    </row>
    <row r="1089" spans="1:2" x14ac:dyDescent="0.2">
      <c r="A1089" s="168">
        <v>393</v>
      </c>
      <c r="B1089" s="169" t="s">
        <v>766</v>
      </c>
    </row>
    <row r="1090" spans="1:2" x14ac:dyDescent="0.2">
      <c r="A1090" s="168">
        <v>397</v>
      </c>
      <c r="B1090" s="169" t="s">
        <v>767</v>
      </c>
    </row>
    <row r="1091" spans="1:2" x14ac:dyDescent="0.2">
      <c r="A1091" s="168">
        <v>401</v>
      </c>
      <c r="B1091" s="169" t="s">
        <v>768</v>
      </c>
    </row>
    <row r="1092" spans="1:2" x14ac:dyDescent="0.2">
      <c r="A1092" s="168">
        <v>409</v>
      </c>
      <c r="B1092" s="169" t="s">
        <v>769</v>
      </c>
    </row>
    <row r="1093" spans="1:2" x14ac:dyDescent="0.2">
      <c r="A1093" s="168">
        <v>415</v>
      </c>
      <c r="B1093" s="169" t="s">
        <v>770</v>
      </c>
    </row>
    <row r="1094" spans="1:2" x14ac:dyDescent="0.2">
      <c r="A1094" s="168">
        <v>423</v>
      </c>
      <c r="B1094" s="169" t="s">
        <v>771</v>
      </c>
    </row>
    <row r="1095" spans="1:2" x14ac:dyDescent="0.2">
      <c r="A1095" s="168">
        <v>424</v>
      </c>
      <c r="B1095" s="169" t="s">
        <v>772</v>
      </c>
    </row>
    <row r="1096" spans="1:2" x14ac:dyDescent="0.2">
      <c r="A1096" s="168">
        <v>425</v>
      </c>
      <c r="B1096" s="169" t="s">
        <v>773</v>
      </c>
    </row>
    <row r="1097" spans="1:2" x14ac:dyDescent="0.2">
      <c r="A1097" s="168">
        <v>434</v>
      </c>
      <c r="B1097" s="169" t="s">
        <v>774</v>
      </c>
    </row>
    <row r="1098" spans="1:2" x14ac:dyDescent="0.2">
      <c r="A1098" s="168">
        <v>436</v>
      </c>
      <c r="B1098" s="169" t="s">
        <v>775</v>
      </c>
    </row>
    <row r="1099" spans="1:2" x14ac:dyDescent="0.2">
      <c r="A1099" s="168">
        <v>437</v>
      </c>
      <c r="B1099" s="169" t="s">
        <v>776</v>
      </c>
    </row>
    <row r="1100" spans="1:2" x14ac:dyDescent="0.2">
      <c r="A1100" s="168">
        <v>438</v>
      </c>
      <c r="B1100" s="169" t="s">
        <v>777</v>
      </c>
    </row>
    <row r="1101" spans="1:2" x14ac:dyDescent="0.2">
      <c r="A1101" s="168">
        <v>464</v>
      </c>
      <c r="B1101" s="169" t="s">
        <v>778</v>
      </c>
    </row>
    <row r="1102" spans="1:2" x14ac:dyDescent="0.2">
      <c r="A1102" s="168">
        <v>486</v>
      </c>
      <c r="B1102" s="169" t="s">
        <v>779</v>
      </c>
    </row>
    <row r="1103" spans="1:2" x14ac:dyDescent="0.2">
      <c r="A1103" s="168">
        <v>494</v>
      </c>
      <c r="B1103" s="169" t="s">
        <v>780</v>
      </c>
    </row>
    <row r="1104" spans="1:2" x14ac:dyDescent="0.2">
      <c r="A1104" s="168">
        <v>497</v>
      </c>
      <c r="B1104" s="169" t="s">
        <v>781</v>
      </c>
    </row>
    <row r="1105" spans="1:2" x14ac:dyDescent="0.2">
      <c r="A1105" s="168">
        <v>498</v>
      </c>
      <c r="B1105" s="169" t="s">
        <v>782</v>
      </c>
    </row>
    <row r="1106" spans="1:2" x14ac:dyDescent="0.2">
      <c r="A1106" s="168">
        <v>520</v>
      </c>
      <c r="B1106" s="169" t="s">
        <v>783</v>
      </c>
    </row>
    <row r="1107" spans="1:2" x14ac:dyDescent="0.2">
      <c r="A1107" s="168">
        <v>573</v>
      </c>
      <c r="B1107" s="169" t="s">
        <v>784</v>
      </c>
    </row>
    <row r="1108" spans="1:2" x14ac:dyDescent="0.2">
      <c r="A1108" s="168">
        <v>588</v>
      </c>
      <c r="B1108" s="169" t="s">
        <v>785</v>
      </c>
    </row>
    <row r="1109" spans="1:2" x14ac:dyDescent="0.2">
      <c r="A1109" s="168">
        <v>589</v>
      </c>
      <c r="B1109" s="169" t="s">
        <v>786</v>
      </c>
    </row>
    <row r="1110" spans="1:2" x14ac:dyDescent="0.2">
      <c r="A1110" s="168">
        <v>591</v>
      </c>
      <c r="B1110" s="169" t="s">
        <v>787</v>
      </c>
    </row>
    <row r="1111" spans="1:2" x14ac:dyDescent="0.2">
      <c r="A1111" s="168">
        <v>597</v>
      </c>
      <c r="B1111" s="169" t="s">
        <v>788</v>
      </c>
    </row>
    <row r="1112" spans="1:2" x14ac:dyDescent="0.2">
      <c r="A1112" s="168">
        <v>653</v>
      </c>
      <c r="B1112" s="169" t="s">
        <v>789</v>
      </c>
    </row>
    <row r="1113" spans="1:2" x14ac:dyDescent="0.2">
      <c r="A1113" s="168">
        <v>665</v>
      </c>
      <c r="B1113" s="169" t="s">
        <v>790</v>
      </c>
    </row>
    <row r="1114" spans="1:2" x14ac:dyDescent="0.2">
      <c r="A1114" s="168">
        <v>677</v>
      </c>
      <c r="B1114" s="169" t="s">
        <v>791</v>
      </c>
    </row>
    <row r="1115" spans="1:2" x14ac:dyDescent="0.2">
      <c r="A1115" s="168">
        <v>693</v>
      </c>
      <c r="B1115" s="169" t="s">
        <v>792</v>
      </c>
    </row>
    <row r="1116" spans="1:2" x14ac:dyDescent="0.2">
      <c r="A1116" s="168">
        <v>720</v>
      </c>
      <c r="B1116" s="169" t="s">
        <v>793</v>
      </c>
    </row>
    <row r="1117" spans="1:2" x14ac:dyDescent="0.2">
      <c r="A1117" s="168">
        <v>721</v>
      </c>
      <c r="B1117" s="169" t="s">
        <v>794</v>
      </c>
    </row>
    <row r="1118" spans="1:2" ht="25.5" x14ac:dyDescent="0.2">
      <c r="A1118" s="168">
        <v>722</v>
      </c>
      <c r="B1118" s="169" t="s">
        <v>795</v>
      </c>
    </row>
    <row r="1119" spans="1:2" x14ac:dyDescent="0.2">
      <c r="A1119" s="168">
        <v>801</v>
      </c>
      <c r="B1119" s="169" t="s">
        <v>796</v>
      </c>
    </row>
    <row r="1120" spans="1:2" x14ac:dyDescent="0.2">
      <c r="A1120" s="168">
        <v>804</v>
      </c>
      <c r="B1120" s="169" t="s">
        <v>797</v>
      </c>
    </row>
    <row r="1121" spans="1:2" ht="25.5" x14ac:dyDescent="0.2">
      <c r="A1121" s="168">
        <v>807</v>
      </c>
      <c r="B1121" s="169" t="s">
        <v>798</v>
      </c>
    </row>
    <row r="1122" spans="1:2" x14ac:dyDescent="0.2">
      <c r="A1122" s="168">
        <v>812</v>
      </c>
      <c r="B1122" s="169" t="s">
        <v>799</v>
      </c>
    </row>
    <row r="1123" spans="1:2" x14ac:dyDescent="0.2">
      <c r="A1123" s="168">
        <v>905</v>
      </c>
      <c r="B1123" s="169" t="s">
        <v>800</v>
      </c>
    </row>
    <row r="1124" spans="1:2" x14ac:dyDescent="0.2">
      <c r="A1124" s="168">
        <v>906</v>
      </c>
      <c r="B1124" s="169" t="s">
        <v>801</v>
      </c>
    </row>
    <row r="1125" spans="1:2" x14ac:dyDescent="0.2">
      <c r="A1125" s="168">
        <v>914</v>
      </c>
      <c r="B1125" s="169" t="s">
        <v>802</v>
      </c>
    </row>
    <row r="1126" spans="1:2" x14ac:dyDescent="0.2">
      <c r="A1126" s="168">
        <v>932</v>
      </c>
      <c r="B1126" s="169" t="s">
        <v>803</v>
      </c>
    </row>
    <row r="1127" spans="1:2" x14ac:dyDescent="0.2">
      <c r="A1127" s="168">
        <v>950</v>
      </c>
      <c r="B1127" s="169" t="s">
        <v>309</v>
      </c>
    </row>
    <row r="1128" spans="1:2" x14ac:dyDescent="0.2">
      <c r="A1128" s="168">
        <v>951</v>
      </c>
      <c r="B1128" s="169" t="s">
        <v>804</v>
      </c>
    </row>
    <row r="1129" spans="1:2" x14ac:dyDescent="0.2">
      <c r="A1129" s="168">
        <v>952</v>
      </c>
      <c r="B1129" s="169" t="s">
        <v>359</v>
      </c>
    </row>
    <row r="1130" spans="1:2" x14ac:dyDescent="0.2">
      <c r="A1130" s="168">
        <v>953</v>
      </c>
      <c r="B1130" s="169" t="s">
        <v>365</v>
      </c>
    </row>
    <row r="1131" spans="1:2" x14ac:dyDescent="0.2">
      <c r="A1131" s="168">
        <v>954</v>
      </c>
      <c r="B1131" s="169" t="s">
        <v>444</v>
      </c>
    </row>
    <row r="1132" spans="1:2" x14ac:dyDescent="0.2">
      <c r="A1132" s="168">
        <v>955</v>
      </c>
      <c r="B1132" s="169" t="s">
        <v>473</v>
      </c>
    </row>
    <row r="1133" spans="1:2" x14ac:dyDescent="0.2">
      <c r="A1133" s="168">
        <v>956</v>
      </c>
      <c r="B1133" s="169" t="s">
        <v>487</v>
      </c>
    </row>
    <row r="1134" spans="1:2" x14ac:dyDescent="0.2">
      <c r="A1134" s="168">
        <v>957</v>
      </c>
      <c r="B1134" s="169" t="s">
        <v>805</v>
      </c>
    </row>
    <row r="1135" spans="1:2" x14ac:dyDescent="0.2">
      <c r="A1135" s="168">
        <v>958</v>
      </c>
      <c r="B1135" s="169" t="s">
        <v>523</v>
      </c>
    </row>
    <row r="1136" spans="1:2" x14ac:dyDescent="0.2">
      <c r="A1136" s="168">
        <v>959</v>
      </c>
      <c r="B1136" s="169" t="s">
        <v>806</v>
      </c>
    </row>
    <row r="1137" spans="1:2" x14ac:dyDescent="0.2">
      <c r="A1137" s="168">
        <v>960</v>
      </c>
      <c r="B1137" s="169" t="s">
        <v>807</v>
      </c>
    </row>
    <row r="1138" spans="1:2" x14ac:dyDescent="0.2">
      <c r="A1138" s="168">
        <v>961</v>
      </c>
      <c r="B1138" s="169" t="s">
        <v>808</v>
      </c>
    </row>
    <row r="1139" spans="1:2" x14ac:dyDescent="0.2">
      <c r="A1139" s="168">
        <v>962</v>
      </c>
      <c r="B1139" s="169" t="s">
        <v>809</v>
      </c>
    </row>
    <row r="1140" spans="1:2" x14ac:dyDescent="0.2">
      <c r="A1140" s="168">
        <v>963</v>
      </c>
      <c r="B1140" s="169" t="s">
        <v>810</v>
      </c>
    </row>
    <row r="1141" spans="1:2" x14ac:dyDescent="0.2">
      <c r="A1141" s="168">
        <v>964</v>
      </c>
      <c r="B1141" s="169" t="s">
        <v>811</v>
      </c>
    </row>
    <row r="1142" spans="1:2" x14ac:dyDescent="0.2">
      <c r="A1142" s="168">
        <v>965</v>
      </c>
      <c r="B1142" s="169" t="s">
        <v>812</v>
      </c>
    </row>
    <row r="1143" spans="1:2" x14ac:dyDescent="0.2">
      <c r="A1143" s="168">
        <v>966</v>
      </c>
      <c r="B1143" s="169" t="s">
        <v>813</v>
      </c>
    </row>
    <row r="1144" spans="1:2" x14ac:dyDescent="0.2">
      <c r="A1144" s="168">
        <v>967</v>
      </c>
      <c r="B1144" s="169" t="s">
        <v>814</v>
      </c>
    </row>
    <row r="1145" spans="1:2" x14ac:dyDescent="0.2">
      <c r="A1145" s="168">
        <v>968</v>
      </c>
      <c r="B1145" s="169" t="s">
        <v>815</v>
      </c>
    </row>
    <row r="1146" spans="1:2" x14ac:dyDescent="0.2">
      <c r="A1146" s="168">
        <v>969</v>
      </c>
      <c r="B1146" s="169" t="s">
        <v>816</v>
      </c>
    </row>
    <row r="1147" spans="1:2" x14ac:dyDescent="0.2">
      <c r="A1147" s="168">
        <v>970</v>
      </c>
      <c r="B1147" s="169" t="s">
        <v>817</v>
      </c>
    </row>
    <row r="1148" spans="1:2" x14ac:dyDescent="0.2">
      <c r="A1148" s="168">
        <v>971</v>
      </c>
      <c r="B1148" s="169" t="s">
        <v>818</v>
      </c>
    </row>
    <row r="1149" spans="1:2" x14ac:dyDescent="0.2">
      <c r="A1149" s="168">
        <v>972</v>
      </c>
      <c r="B1149" s="169" t="s">
        <v>819</v>
      </c>
    </row>
    <row r="1150" spans="1:2" x14ac:dyDescent="0.2">
      <c r="A1150" s="168">
        <v>973</v>
      </c>
      <c r="B1150" s="169" t="s">
        <v>820</v>
      </c>
    </row>
    <row r="1151" spans="1:2" x14ac:dyDescent="0.2">
      <c r="A1151" s="168">
        <v>974</v>
      </c>
      <c r="B1151" s="169" t="s">
        <v>821</v>
      </c>
    </row>
    <row r="1152" spans="1:2" x14ac:dyDescent="0.2">
      <c r="A1152" s="168">
        <v>975</v>
      </c>
      <c r="B1152" s="169" t="s">
        <v>822</v>
      </c>
    </row>
    <row r="1153" spans="1:2" x14ac:dyDescent="0.2">
      <c r="A1153" s="168">
        <v>976</v>
      </c>
      <c r="B1153" s="169" t="s">
        <v>823</v>
      </c>
    </row>
    <row r="1154" spans="1:2" x14ac:dyDescent="0.2">
      <c r="A1154" s="168">
        <v>977</v>
      </c>
      <c r="B1154" s="169" t="s">
        <v>824</v>
      </c>
    </row>
    <row r="1155" spans="1:2" x14ac:dyDescent="0.2">
      <c r="A1155" s="168">
        <v>978</v>
      </c>
      <c r="B1155" s="169" t="s">
        <v>825</v>
      </c>
    </row>
    <row r="1156" spans="1:2" x14ac:dyDescent="0.2">
      <c r="A1156" s="168">
        <v>979</v>
      </c>
      <c r="B1156" s="169" t="s">
        <v>826</v>
      </c>
    </row>
    <row r="1157" spans="1:2" x14ac:dyDescent="0.2">
      <c r="A1157" s="168">
        <v>980</v>
      </c>
      <c r="B1157" s="169" t="s">
        <v>827</v>
      </c>
    </row>
    <row r="1158" spans="1:2" x14ac:dyDescent="0.2">
      <c r="A1158" s="168">
        <v>981</v>
      </c>
      <c r="B1158" s="169" t="s">
        <v>828</v>
      </c>
    </row>
    <row r="1159" spans="1:2" x14ac:dyDescent="0.2">
      <c r="A1159" s="168">
        <v>982</v>
      </c>
      <c r="B1159" s="169" t="s">
        <v>568</v>
      </c>
    </row>
    <row r="1160" spans="1:2" x14ac:dyDescent="0.2">
      <c r="A1160" s="168">
        <v>983</v>
      </c>
      <c r="B1160" s="169" t="s">
        <v>829</v>
      </c>
    </row>
    <row r="1161" spans="1:2" x14ac:dyDescent="0.2">
      <c r="A1161" s="168">
        <v>984</v>
      </c>
      <c r="B1161" s="169" t="s">
        <v>830</v>
      </c>
    </row>
    <row r="1162" spans="1:2" x14ac:dyDescent="0.2">
      <c r="A1162" s="168">
        <v>985</v>
      </c>
      <c r="B1162" s="169" t="s">
        <v>831</v>
      </c>
    </row>
    <row r="1163" spans="1:2" x14ac:dyDescent="0.2">
      <c r="A1163" s="168">
        <v>986</v>
      </c>
      <c r="B1163" s="169" t="s">
        <v>832</v>
      </c>
    </row>
    <row r="1164" spans="1:2" x14ac:dyDescent="0.2">
      <c r="A1164" s="168">
        <v>987</v>
      </c>
      <c r="B1164" s="169" t="s">
        <v>833</v>
      </c>
    </row>
    <row r="1165" spans="1:2" x14ac:dyDescent="0.2">
      <c r="A1165" s="168">
        <v>988</v>
      </c>
      <c r="B1165" s="169" t="s">
        <v>834</v>
      </c>
    </row>
    <row r="1166" spans="1:2" x14ac:dyDescent="0.2">
      <c r="A1166" s="168">
        <v>989</v>
      </c>
      <c r="B1166" s="169" t="s">
        <v>835</v>
      </c>
    </row>
    <row r="1167" spans="1:2" x14ac:dyDescent="0.2">
      <c r="A1167" s="165">
        <v>995</v>
      </c>
      <c r="B1167" s="164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77" bestFit="1" customWidth="1"/>
    <col min="2" max="2" width="106.140625" style="178" customWidth="1"/>
    <col min="3" max="16384" width="31.85546875" style="170"/>
  </cols>
  <sheetData>
    <row r="1" spans="1:2" s="179" customFormat="1" hidden="1" x14ac:dyDescent="0.2">
      <c r="A1" s="177"/>
      <c r="B1" s="180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70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81">
        <v>100</v>
      </c>
      <c r="B1400" s="182" t="s">
        <v>141</v>
      </c>
      <c r="C1400" s="178"/>
    </row>
    <row r="1401" spans="1:3" x14ac:dyDescent="0.2">
      <c r="A1401" s="183">
        <v>101</v>
      </c>
      <c r="B1401" s="184" t="s">
        <v>142</v>
      </c>
      <c r="C1401" s="178"/>
    </row>
    <row r="1402" spans="1:3" x14ac:dyDescent="0.2">
      <c r="A1402" s="183">
        <v>102</v>
      </c>
      <c r="B1402" s="185" t="s">
        <v>143</v>
      </c>
      <c r="C1402" s="178"/>
    </row>
    <row r="1403" spans="1:3" ht="25.5" x14ac:dyDescent="0.2">
      <c r="A1403" s="183">
        <v>103</v>
      </c>
      <c r="B1403" s="185" t="s">
        <v>144</v>
      </c>
      <c r="C1403" s="178"/>
    </row>
    <row r="1404" spans="1:3" ht="25.5" x14ac:dyDescent="0.2">
      <c r="A1404" s="183">
        <v>104</v>
      </c>
      <c r="B1404" s="185" t="s">
        <v>145</v>
      </c>
      <c r="C1404" s="178"/>
    </row>
    <row r="1405" spans="1:3" x14ac:dyDescent="0.2">
      <c r="A1405" s="183">
        <v>105</v>
      </c>
      <c r="B1405" s="185" t="s">
        <v>146</v>
      </c>
      <c r="C1405" s="178"/>
    </row>
    <row r="1406" spans="1:3" ht="25.5" x14ac:dyDescent="0.2">
      <c r="A1406" s="183">
        <v>106</v>
      </c>
      <c r="B1406" s="185" t="s">
        <v>147</v>
      </c>
      <c r="C1406" s="178"/>
    </row>
    <row r="1407" spans="1:3" x14ac:dyDescent="0.2">
      <c r="A1407" s="183">
        <v>107</v>
      </c>
      <c r="B1407" s="185" t="s">
        <v>148</v>
      </c>
      <c r="C1407" s="178"/>
    </row>
    <row r="1408" spans="1:3" x14ac:dyDescent="0.2">
      <c r="A1408" s="183">
        <v>108</v>
      </c>
      <c r="B1408" s="185" t="s">
        <v>149</v>
      </c>
      <c r="C1408" s="178"/>
    </row>
    <row r="1409" spans="1:3" x14ac:dyDescent="0.2">
      <c r="A1409" s="183">
        <v>109</v>
      </c>
      <c r="B1409" s="185" t="s">
        <v>150</v>
      </c>
      <c r="C1409" s="178"/>
    </row>
    <row r="1410" spans="1:3" x14ac:dyDescent="0.2">
      <c r="A1410" s="183">
        <v>110</v>
      </c>
      <c r="B1410" s="185" t="s">
        <v>151</v>
      </c>
      <c r="C1410" s="178"/>
    </row>
    <row r="1411" spans="1:3" x14ac:dyDescent="0.2">
      <c r="A1411" s="183">
        <v>111</v>
      </c>
      <c r="B1411" s="185" t="s">
        <v>152</v>
      </c>
      <c r="C1411" s="178"/>
    </row>
    <row r="1412" spans="1:3" x14ac:dyDescent="0.2">
      <c r="A1412" s="183">
        <v>112</v>
      </c>
      <c r="B1412" s="185" t="s">
        <v>153</v>
      </c>
      <c r="C1412" s="178"/>
    </row>
    <row r="1413" spans="1:3" x14ac:dyDescent="0.2">
      <c r="A1413" s="183">
        <v>113</v>
      </c>
      <c r="B1413" s="185" t="s">
        <v>154</v>
      </c>
      <c r="C1413" s="178"/>
    </row>
    <row r="1414" spans="1:3" x14ac:dyDescent="0.2">
      <c r="A1414" s="181">
        <v>200</v>
      </c>
      <c r="B1414" s="186" t="s">
        <v>155</v>
      </c>
      <c r="C1414" s="178"/>
    </row>
    <row r="1415" spans="1:3" x14ac:dyDescent="0.2">
      <c r="A1415" s="183">
        <v>201</v>
      </c>
      <c r="B1415" s="185" t="s">
        <v>156</v>
      </c>
      <c r="C1415" s="178"/>
    </row>
    <row r="1416" spans="1:3" x14ac:dyDescent="0.2">
      <c r="A1416" s="183">
        <v>202</v>
      </c>
      <c r="B1416" s="185" t="s">
        <v>157</v>
      </c>
      <c r="C1416" s="178"/>
    </row>
    <row r="1417" spans="1:3" x14ac:dyDescent="0.2">
      <c r="A1417" s="183">
        <v>203</v>
      </c>
      <c r="B1417" s="185" t="s">
        <v>158</v>
      </c>
      <c r="C1417" s="178"/>
    </row>
    <row r="1418" spans="1:3" x14ac:dyDescent="0.2">
      <c r="A1418" s="183">
        <v>204</v>
      </c>
      <c r="B1418" s="185" t="s">
        <v>159</v>
      </c>
      <c r="C1418" s="178"/>
    </row>
    <row r="1419" spans="1:3" x14ac:dyDescent="0.2">
      <c r="A1419" s="183">
        <v>205</v>
      </c>
      <c r="B1419" s="185" t="s">
        <v>160</v>
      </c>
      <c r="C1419" s="178"/>
    </row>
    <row r="1420" spans="1:3" x14ac:dyDescent="0.2">
      <c r="A1420" s="183">
        <v>206</v>
      </c>
      <c r="B1420" s="185" t="s">
        <v>161</v>
      </c>
      <c r="C1420" s="178"/>
    </row>
    <row r="1421" spans="1:3" x14ac:dyDescent="0.2">
      <c r="A1421" s="183">
        <v>207</v>
      </c>
      <c r="B1421" s="185" t="s">
        <v>162</v>
      </c>
      <c r="C1421" s="178"/>
    </row>
    <row r="1422" spans="1:3" x14ac:dyDescent="0.2">
      <c r="A1422" s="183">
        <v>208</v>
      </c>
      <c r="B1422" s="185" t="s">
        <v>163</v>
      </c>
      <c r="C1422" s="178"/>
    </row>
    <row r="1423" spans="1:3" x14ac:dyDescent="0.2">
      <c r="A1423" s="183">
        <v>209</v>
      </c>
      <c r="B1423" s="185" t="s">
        <v>164</v>
      </c>
      <c r="C1423" s="178"/>
    </row>
    <row r="1424" spans="1:3" x14ac:dyDescent="0.2">
      <c r="A1424" s="181">
        <v>300</v>
      </c>
      <c r="B1424" s="186" t="s">
        <v>165</v>
      </c>
      <c r="C1424" s="178"/>
    </row>
    <row r="1425" spans="1:3" x14ac:dyDescent="0.2">
      <c r="A1425" s="183">
        <v>301</v>
      </c>
      <c r="B1425" s="185" t="s">
        <v>935</v>
      </c>
      <c r="C1425" s="178"/>
    </row>
    <row r="1426" spans="1:3" x14ac:dyDescent="0.2">
      <c r="A1426" s="183">
        <v>302</v>
      </c>
      <c r="B1426" s="185" t="s">
        <v>936</v>
      </c>
      <c r="C1426" s="178"/>
    </row>
    <row r="1427" spans="1:3" x14ac:dyDescent="0.2">
      <c r="A1427" s="183">
        <v>303</v>
      </c>
      <c r="B1427" s="185" t="s">
        <v>166</v>
      </c>
      <c r="C1427" s="178"/>
    </row>
    <row r="1428" spans="1:3" x14ac:dyDescent="0.2">
      <c r="A1428" s="183">
        <v>304</v>
      </c>
      <c r="B1428" s="185" t="s">
        <v>167</v>
      </c>
      <c r="C1428" s="178"/>
    </row>
    <row r="1429" spans="1:3" x14ac:dyDescent="0.2">
      <c r="A1429" s="183">
        <v>305</v>
      </c>
      <c r="B1429" s="185" t="s">
        <v>168</v>
      </c>
      <c r="C1429" s="178"/>
    </row>
    <row r="1430" spans="1:3" x14ac:dyDescent="0.2">
      <c r="A1430" s="183">
        <v>306</v>
      </c>
      <c r="B1430" s="185" t="s">
        <v>169</v>
      </c>
      <c r="C1430" s="178"/>
    </row>
    <row r="1431" spans="1:3" x14ac:dyDescent="0.2">
      <c r="A1431" s="183">
        <v>307</v>
      </c>
      <c r="B1431" s="185" t="s">
        <v>170</v>
      </c>
      <c r="C1431" s="178"/>
    </row>
    <row r="1432" spans="1:3" x14ac:dyDescent="0.2">
      <c r="A1432" s="183">
        <v>308</v>
      </c>
      <c r="B1432" s="185" t="s">
        <v>171</v>
      </c>
      <c r="C1432" s="178"/>
    </row>
    <row r="1433" spans="1:3" x14ac:dyDescent="0.2">
      <c r="A1433" s="183">
        <v>309</v>
      </c>
      <c r="B1433" s="184" t="s">
        <v>1559</v>
      </c>
      <c r="C1433" s="178"/>
    </row>
    <row r="1434" spans="1:3" x14ac:dyDescent="0.2">
      <c r="A1434" s="183">
        <v>310</v>
      </c>
      <c r="B1434" s="184" t="s">
        <v>1560</v>
      </c>
      <c r="C1434" s="178"/>
    </row>
    <row r="1435" spans="1:3" x14ac:dyDescent="0.2">
      <c r="A1435" s="183">
        <v>311</v>
      </c>
      <c r="B1435" s="184" t="s">
        <v>172</v>
      </c>
      <c r="C1435" s="178"/>
    </row>
    <row r="1436" spans="1:3" x14ac:dyDescent="0.2">
      <c r="A1436" s="183">
        <v>312</v>
      </c>
      <c r="B1436" s="184" t="s">
        <v>174</v>
      </c>
      <c r="C1436" s="178"/>
    </row>
    <row r="1437" spans="1:3" ht="15.75" x14ac:dyDescent="0.2">
      <c r="A1437" s="183">
        <v>313</v>
      </c>
      <c r="B1437" s="87" t="s">
        <v>175</v>
      </c>
      <c r="C1437" s="178"/>
    </row>
    <row r="1438" spans="1:3" x14ac:dyDescent="0.2">
      <c r="A1438" s="183">
        <v>314</v>
      </c>
      <c r="B1438" s="185" t="s">
        <v>175</v>
      </c>
      <c r="C1438" s="178"/>
    </row>
    <row r="1439" spans="1:3" x14ac:dyDescent="0.2">
      <c r="A1439" s="181">
        <v>400</v>
      </c>
      <c r="B1439" s="186" t="s">
        <v>176</v>
      </c>
      <c r="C1439" s="178"/>
    </row>
    <row r="1440" spans="1:3" x14ac:dyDescent="0.2">
      <c r="A1440" s="183">
        <v>401</v>
      </c>
      <c r="B1440" s="187" t="s">
        <v>177</v>
      </c>
      <c r="C1440" s="178"/>
    </row>
    <row r="1441" spans="1:3" x14ac:dyDescent="0.2">
      <c r="A1441" s="183">
        <v>402</v>
      </c>
      <c r="B1441" s="184" t="s">
        <v>178</v>
      </c>
      <c r="C1441" s="178"/>
    </row>
    <row r="1442" spans="1:3" x14ac:dyDescent="0.2">
      <c r="A1442" s="183">
        <v>403</v>
      </c>
      <c r="B1442" s="185" t="s">
        <v>179</v>
      </c>
      <c r="C1442" s="178"/>
    </row>
    <row r="1443" spans="1:3" x14ac:dyDescent="0.2">
      <c r="A1443" s="183">
        <v>404</v>
      </c>
      <c r="B1443" s="185" t="s">
        <v>180</v>
      </c>
      <c r="C1443" s="178"/>
    </row>
    <row r="1444" spans="1:3" x14ac:dyDescent="0.2">
      <c r="A1444" s="183">
        <v>405</v>
      </c>
      <c r="B1444" s="185" t="s">
        <v>181</v>
      </c>
      <c r="C1444" s="178"/>
    </row>
    <row r="1445" spans="1:3" x14ac:dyDescent="0.2">
      <c r="A1445" s="183">
        <v>406</v>
      </c>
      <c r="B1445" s="185" t="s">
        <v>182</v>
      </c>
      <c r="C1445" s="178"/>
    </row>
    <row r="1446" spans="1:3" x14ac:dyDescent="0.2">
      <c r="A1446" s="183">
        <v>407</v>
      </c>
      <c r="B1446" s="185" t="s">
        <v>183</v>
      </c>
      <c r="C1446" s="178"/>
    </row>
    <row r="1447" spans="1:3" x14ac:dyDescent="0.2">
      <c r="A1447" s="183">
        <v>408</v>
      </c>
      <c r="B1447" s="185" t="s">
        <v>184</v>
      </c>
      <c r="C1447" s="178"/>
    </row>
    <row r="1448" spans="1:3" x14ac:dyDescent="0.2">
      <c r="A1448" s="183">
        <v>409</v>
      </c>
      <c r="B1448" s="185" t="s">
        <v>185</v>
      </c>
      <c r="C1448" s="178"/>
    </row>
    <row r="1449" spans="1:3" x14ac:dyDescent="0.2">
      <c r="A1449" s="183">
        <v>410</v>
      </c>
      <c r="B1449" s="185" t="s">
        <v>186</v>
      </c>
      <c r="C1449" s="178"/>
    </row>
    <row r="1450" spans="1:3" x14ac:dyDescent="0.2">
      <c r="A1450" s="183">
        <v>411</v>
      </c>
      <c r="B1450" s="185" t="s">
        <v>187</v>
      </c>
      <c r="C1450" s="178"/>
    </row>
    <row r="1451" spans="1:3" x14ac:dyDescent="0.2">
      <c r="A1451" s="183">
        <v>412</v>
      </c>
      <c r="B1451" s="185" t="s">
        <v>188</v>
      </c>
      <c r="C1451" s="178"/>
    </row>
    <row r="1452" spans="1:3" x14ac:dyDescent="0.2">
      <c r="A1452" s="181">
        <v>500</v>
      </c>
      <c r="B1452" s="186" t="s">
        <v>189</v>
      </c>
      <c r="C1452" s="178"/>
    </row>
    <row r="1453" spans="1:3" x14ac:dyDescent="0.2">
      <c r="A1453" s="183">
        <v>501</v>
      </c>
      <c r="B1453" s="185" t="s">
        <v>190</v>
      </c>
      <c r="C1453" s="178"/>
    </row>
    <row r="1454" spans="1:3" x14ac:dyDescent="0.2">
      <c r="A1454" s="183">
        <v>502</v>
      </c>
      <c r="B1454" s="185" t="s">
        <v>191</v>
      </c>
      <c r="C1454" s="178"/>
    </row>
    <row r="1455" spans="1:3" x14ac:dyDescent="0.2">
      <c r="A1455" s="183">
        <v>503</v>
      </c>
      <c r="B1455" s="184" t="s">
        <v>192</v>
      </c>
      <c r="C1455" s="178"/>
    </row>
    <row r="1456" spans="1:3" x14ac:dyDescent="0.2">
      <c r="A1456" s="183">
        <v>504</v>
      </c>
      <c r="B1456" s="185" t="s">
        <v>193</v>
      </c>
      <c r="C1456" s="178"/>
    </row>
    <row r="1457" spans="1:3" x14ac:dyDescent="0.2">
      <c r="A1457" s="183">
        <v>505</v>
      </c>
      <c r="B1457" s="185" t="s">
        <v>194</v>
      </c>
      <c r="C1457" s="178"/>
    </row>
    <row r="1458" spans="1:3" x14ac:dyDescent="0.2">
      <c r="A1458" s="181">
        <v>600</v>
      </c>
      <c r="B1458" s="188" t="s">
        <v>195</v>
      </c>
      <c r="C1458" s="178"/>
    </row>
    <row r="1459" spans="1:3" x14ac:dyDescent="0.2">
      <c r="A1459" s="183">
        <v>601</v>
      </c>
      <c r="B1459" s="184" t="s">
        <v>196</v>
      </c>
      <c r="C1459" s="178"/>
    </row>
    <row r="1460" spans="1:3" x14ac:dyDescent="0.2">
      <c r="A1460" s="183">
        <v>602</v>
      </c>
      <c r="B1460" s="185" t="s">
        <v>197</v>
      </c>
      <c r="C1460" s="178"/>
    </row>
    <row r="1461" spans="1:3" x14ac:dyDescent="0.2">
      <c r="A1461" s="183">
        <v>603</v>
      </c>
      <c r="B1461" s="185" t="s">
        <v>198</v>
      </c>
      <c r="C1461" s="178"/>
    </row>
    <row r="1462" spans="1:3" x14ac:dyDescent="0.2">
      <c r="A1462" s="183">
        <v>604</v>
      </c>
      <c r="B1462" s="185" t="s">
        <v>199</v>
      </c>
      <c r="C1462" s="178"/>
    </row>
    <row r="1463" spans="1:3" x14ac:dyDescent="0.2">
      <c r="A1463" s="183">
        <v>605</v>
      </c>
      <c r="B1463" s="185" t="s">
        <v>200</v>
      </c>
      <c r="C1463" s="178"/>
    </row>
    <row r="1464" spans="1:3" x14ac:dyDescent="0.2">
      <c r="A1464" s="181">
        <v>700</v>
      </c>
      <c r="B1464" s="188" t="s">
        <v>201</v>
      </c>
      <c r="C1464" s="178"/>
    </row>
    <row r="1465" spans="1:3" x14ac:dyDescent="0.2">
      <c r="A1465" s="183">
        <v>701</v>
      </c>
      <c r="B1465" s="185" t="s">
        <v>202</v>
      </c>
      <c r="C1465" s="178"/>
    </row>
    <row r="1466" spans="1:3" x14ac:dyDescent="0.2">
      <c r="A1466" s="183">
        <v>702</v>
      </c>
      <c r="B1466" s="185" t="s">
        <v>203</v>
      </c>
      <c r="C1466" s="178"/>
    </row>
    <row r="1467" spans="1:3" x14ac:dyDescent="0.2">
      <c r="A1467" s="183">
        <v>703</v>
      </c>
      <c r="B1467" s="185" t="s">
        <v>1028</v>
      </c>
      <c r="C1467" s="178"/>
    </row>
    <row r="1468" spans="1:3" x14ac:dyDescent="0.2">
      <c r="A1468" s="183">
        <v>704</v>
      </c>
      <c r="B1468" s="185" t="s">
        <v>204</v>
      </c>
      <c r="C1468" s="178"/>
    </row>
    <row r="1469" spans="1:3" x14ac:dyDescent="0.2">
      <c r="A1469" s="183">
        <v>705</v>
      </c>
      <c r="B1469" s="185" t="s">
        <v>205</v>
      </c>
      <c r="C1469" s="178"/>
    </row>
    <row r="1470" spans="1:3" x14ac:dyDescent="0.2">
      <c r="A1470" s="189">
        <v>706</v>
      </c>
      <c r="B1470" s="184" t="s">
        <v>1561</v>
      </c>
      <c r="C1470" s="178"/>
    </row>
    <row r="1471" spans="1:3" x14ac:dyDescent="0.2">
      <c r="A1471" s="183">
        <v>707</v>
      </c>
      <c r="B1471" s="185" t="s">
        <v>1029</v>
      </c>
      <c r="C1471" s="178"/>
    </row>
    <row r="1472" spans="1:3" x14ac:dyDescent="0.2">
      <c r="A1472" s="183">
        <v>708</v>
      </c>
      <c r="B1472" s="185" t="s">
        <v>206</v>
      </c>
      <c r="C1472" s="178"/>
    </row>
    <row r="1473" spans="1:3" x14ac:dyDescent="0.2">
      <c r="A1473" s="183">
        <v>709</v>
      </c>
      <c r="B1473" s="185" t="s">
        <v>207</v>
      </c>
      <c r="C1473" s="178"/>
    </row>
    <row r="1474" spans="1:3" x14ac:dyDescent="0.2">
      <c r="A1474" s="181">
        <v>800</v>
      </c>
      <c r="B1474" s="188" t="s">
        <v>208</v>
      </c>
      <c r="C1474" s="178"/>
    </row>
    <row r="1475" spans="1:3" x14ac:dyDescent="0.2">
      <c r="A1475" s="183">
        <v>801</v>
      </c>
      <c r="B1475" s="185" t="s">
        <v>209</v>
      </c>
      <c r="C1475" s="178"/>
    </row>
    <row r="1476" spans="1:3" x14ac:dyDescent="0.2">
      <c r="A1476" s="183">
        <v>802</v>
      </c>
      <c r="B1476" s="185" t="s">
        <v>210</v>
      </c>
      <c r="C1476" s="178"/>
    </row>
    <row r="1477" spans="1:3" x14ac:dyDescent="0.2">
      <c r="A1477" s="183">
        <v>803</v>
      </c>
      <c r="B1477" s="185" t="s">
        <v>211</v>
      </c>
      <c r="C1477" s="178"/>
    </row>
    <row r="1478" spans="1:3" x14ac:dyDescent="0.2">
      <c r="A1478" s="183">
        <v>804</v>
      </c>
      <c r="B1478" s="185" t="s">
        <v>212</v>
      </c>
      <c r="C1478" s="178"/>
    </row>
    <row r="1479" spans="1:3" x14ac:dyDescent="0.2">
      <c r="A1479" s="181">
        <v>900</v>
      </c>
      <c r="B1479" s="188" t="s">
        <v>213</v>
      </c>
      <c r="C1479" s="178"/>
    </row>
    <row r="1480" spans="1:3" x14ac:dyDescent="0.2">
      <c r="A1480" s="183">
        <v>901</v>
      </c>
      <c r="B1480" s="185" t="s">
        <v>214</v>
      </c>
      <c r="C1480" s="178"/>
    </row>
    <row r="1481" spans="1:3" x14ac:dyDescent="0.2">
      <c r="A1481" s="183">
        <v>902</v>
      </c>
      <c r="B1481" s="185" t="s">
        <v>215</v>
      </c>
      <c r="C1481" s="178"/>
    </row>
    <row r="1482" spans="1:3" x14ac:dyDescent="0.2">
      <c r="A1482" s="183">
        <v>903</v>
      </c>
      <c r="B1482" s="185" t="s">
        <v>216</v>
      </c>
      <c r="C1482" s="178"/>
    </row>
    <row r="1483" spans="1:3" x14ac:dyDescent="0.2">
      <c r="A1483" s="183">
        <v>904</v>
      </c>
      <c r="B1483" s="185" t="s">
        <v>217</v>
      </c>
      <c r="C1483" s="178"/>
    </row>
    <row r="1484" spans="1:3" x14ac:dyDescent="0.2">
      <c r="A1484" s="183">
        <v>905</v>
      </c>
      <c r="B1484" s="190" t="s">
        <v>218</v>
      </c>
      <c r="C1484" s="178"/>
    </row>
    <row r="1485" spans="1:3" x14ac:dyDescent="0.2">
      <c r="A1485" s="183">
        <v>906</v>
      </c>
      <c r="B1485" s="190" t="s">
        <v>219</v>
      </c>
      <c r="C1485" s="178"/>
    </row>
    <row r="1486" spans="1:3" x14ac:dyDescent="0.2">
      <c r="A1486" s="183">
        <v>907</v>
      </c>
      <c r="B1486" s="185" t="s">
        <v>220</v>
      </c>
      <c r="C1486" s="178"/>
    </row>
    <row r="1487" spans="1:3" x14ac:dyDescent="0.2">
      <c r="A1487" s="183">
        <v>908</v>
      </c>
      <c r="B1487" s="184" t="s">
        <v>221</v>
      </c>
      <c r="C1487" s="178"/>
    </row>
    <row r="1488" spans="1:3" x14ac:dyDescent="0.2">
      <c r="A1488" s="183">
        <v>909</v>
      </c>
      <c r="B1488" s="185" t="s">
        <v>222</v>
      </c>
      <c r="C1488" s="178"/>
    </row>
    <row r="1489" spans="1:3" x14ac:dyDescent="0.2">
      <c r="A1489" s="181">
        <v>1000</v>
      </c>
      <c r="B1489" s="188" t="s">
        <v>223</v>
      </c>
      <c r="C1489" s="178"/>
    </row>
    <row r="1490" spans="1:3" x14ac:dyDescent="0.2">
      <c r="A1490" s="183">
        <v>1001</v>
      </c>
      <c r="B1490" s="185" t="s">
        <v>224</v>
      </c>
      <c r="C1490" s="178"/>
    </row>
    <row r="1491" spans="1:3" x14ac:dyDescent="0.2">
      <c r="A1491" s="183">
        <v>1002</v>
      </c>
      <c r="B1491" s="185" t="s">
        <v>225</v>
      </c>
      <c r="C1491" s="178"/>
    </row>
    <row r="1492" spans="1:3" x14ac:dyDescent="0.2">
      <c r="A1492" s="183">
        <v>1003</v>
      </c>
      <c r="B1492" s="185" t="s">
        <v>226</v>
      </c>
      <c r="C1492" s="178"/>
    </row>
    <row r="1493" spans="1:3" x14ac:dyDescent="0.2">
      <c r="A1493" s="183">
        <v>1004</v>
      </c>
      <c r="B1493" s="184" t="s">
        <v>227</v>
      </c>
      <c r="C1493" s="178"/>
    </row>
    <row r="1494" spans="1:3" x14ac:dyDescent="0.2">
      <c r="A1494" s="183">
        <v>1005</v>
      </c>
      <c r="B1494" s="185" t="s">
        <v>228</v>
      </c>
      <c r="C1494" s="178"/>
    </row>
    <row r="1495" spans="1:3" x14ac:dyDescent="0.2">
      <c r="A1495" s="183">
        <v>1006</v>
      </c>
      <c r="B1495" s="185" t="s">
        <v>229</v>
      </c>
      <c r="C1495" s="178"/>
    </row>
    <row r="1496" spans="1:3" x14ac:dyDescent="0.2">
      <c r="A1496" s="181">
        <v>1100</v>
      </c>
      <c r="B1496" s="188" t="s">
        <v>230</v>
      </c>
      <c r="C1496" s="178"/>
    </row>
    <row r="1497" spans="1:3" x14ac:dyDescent="0.2">
      <c r="A1497" s="183">
        <v>1101</v>
      </c>
      <c r="B1497" s="185" t="s">
        <v>231</v>
      </c>
      <c r="C1497" s="178"/>
    </row>
    <row r="1498" spans="1:3" x14ac:dyDescent="0.2">
      <c r="A1498" s="183">
        <v>1102</v>
      </c>
      <c r="B1498" s="190" t="s">
        <v>232</v>
      </c>
      <c r="C1498" s="178"/>
    </row>
    <row r="1499" spans="1:3" x14ac:dyDescent="0.2">
      <c r="A1499" s="183">
        <v>1103</v>
      </c>
      <c r="B1499" s="185" t="s">
        <v>233</v>
      </c>
      <c r="C1499" s="178"/>
    </row>
    <row r="1500" spans="1:3" x14ac:dyDescent="0.2">
      <c r="A1500" s="183">
        <v>1104</v>
      </c>
      <c r="B1500" s="185" t="s">
        <v>234</v>
      </c>
      <c r="C1500" s="178"/>
    </row>
    <row r="1501" spans="1:3" x14ac:dyDescent="0.2">
      <c r="A1501" s="183">
        <v>1105</v>
      </c>
      <c r="B1501" s="185" t="s">
        <v>235</v>
      </c>
      <c r="C1501" s="178"/>
    </row>
    <row r="1502" spans="1:3" x14ac:dyDescent="0.2">
      <c r="A1502" s="181">
        <v>1200</v>
      </c>
      <c r="B1502" s="188" t="s">
        <v>236</v>
      </c>
    </row>
    <row r="1503" spans="1:3" x14ac:dyDescent="0.2">
      <c r="A1503" s="183">
        <v>1201</v>
      </c>
      <c r="B1503" s="185" t="s">
        <v>237</v>
      </c>
    </row>
    <row r="1504" spans="1:3" x14ac:dyDescent="0.2">
      <c r="A1504" s="183">
        <v>1202</v>
      </c>
      <c r="B1504" s="185" t="s">
        <v>238</v>
      </c>
    </row>
    <row r="1505" spans="1:2" x14ac:dyDescent="0.2">
      <c r="A1505" s="183">
        <v>1203</v>
      </c>
      <c r="B1505" s="185" t="s">
        <v>239</v>
      </c>
    </row>
    <row r="1506" spans="1:2" x14ac:dyDescent="0.2">
      <c r="A1506" s="183">
        <v>1204</v>
      </c>
      <c r="B1506" s="185" t="s">
        <v>240</v>
      </c>
    </row>
    <row r="1507" spans="1:2" x14ac:dyDescent="0.2">
      <c r="A1507" s="181">
        <v>1300</v>
      </c>
      <c r="B1507" s="663" t="s">
        <v>1562</v>
      </c>
    </row>
    <row r="1508" spans="1:2" x14ac:dyDescent="0.2">
      <c r="A1508" s="183">
        <v>1301</v>
      </c>
      <c r="B1508" s="184" t="s">
        <v>1563</v>
      </c>
    </row>
    <row r="1509" spans="1:2" x14ac:dyDescent="0.2">
      <c r="A1509" s="183">
        <v>1302</v>
      </c>
      <c r="B1509" s="184" t="s">
        <v>1564</v>
      </c>
    </row>
    <row r="1510" spans="1:2" ht="25.5" x14ac:dyDescent="0.2">
      <c r="A1510" s="181">
        <v>1400</v>
      </c>
      <c r="B1510" s="188" t="s">
        <v>242</v>
      </c>
    </row>
    <row r="1511" spans="1:2" x14ac:dyDescent="0.2">
      <c r="A1511" s="183">
        <v>1401</v>
      </c>
      <c r="B1511" s="185" t="s">
        <v>243</v>
      </c>
    </row>
    <row r="1512" spans="1:2" x14ac:dyDescent="0.2">
      <c r="A1512" s="183">
        <v>1402</v>
      </c>
      <c r="B1512" s="185" t="s">
        <v>244</v>
      </c>
    </row>
    <row r="1513" spans="1:2" x14ac:dyDescent="0.2">
      <c r="A1513" s="183">
        <v>1403</v>
      </c>
      <c r="B1513" s="184" t="s">
        <v>1565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54" customWidth="1"/>
    <col min="2" max="2" width="16.140625" style="254" customWidth="1"/>
    <col min="3" max="3" width="12.7109375" style="254" customWidth="1"/>
    <col min="4" max="4" width="16.7109375" style="254" customWidth="1"/>
    <col min="5" max="5" width="20.140625" style="254" customWidth="1"/>
    <col min="6" max="16384" width="9.140625" style="254"/>
  </cols>
  <sheetData>
    <row r="1" spans="1:5" ht="15.75" x14ac:dyDescent="0.25">
      <c r="A1" s="842" t="s">
        <v>1541</v>
      </c>
      <c r="B1" s="842"/>
      <c r="C1" s="842"/>
      <c r="D1" s="842"/>
      <c r="E1" s="842"/>
    </row>
    <row r="2" spans="1:5" ht="15.75" x14ac:dyDescent="0.25">
      <c r="A2" s="842" t="s">
        <v>1</v>
      </c>
      <c r="B2" s="842"/>
      <c r="C2" s="842"/>
      <c r="D2" s="842"/>
      <c r="E2" s="842"/>
    </row>
    <row r="3" spans="1:5" ht="15.75" x14ac:dyDescent="0.25">
      <c r="A3" s="842" t="s">
        <v>2</v>
      </c>
      <c r="B3" s="842"/>
      <c r="C3" s="842"/>
      <c r="D3" s="842"/>
      <c r="E3" s="842"/>
    </row>
    <row r="4" spans="1:5" ht="15.75" x14ac:dyDescent="0.25">
      <c r="A4" s="842" t="s">
        <v>1537</v>
      </c>
      <c r="B4" s="842"/>
      <c r="C4" s="842"/>
      <c r="D4" s="842"/>
      <c r="E4" s="842"/>
    </row>
    <row r="5" spans="1:5" x14ac:dyDescent="0.2">
      <c r="A5" s="255"/>
      <c r="B5" s="255"/>
      <c r="C5" s="255"/>
      <c r="D5" s="255"/>
      <c r="E5"/>
    </row>
    <row r="6" spans="1:5" ht="48.75" customHeight="1" x14ac:dyDescent="0.2">
      <c r="A6" s="879" t="s">
        <v>1637</v>
      </c>
      <c r="B6" s="879"/>
      <c r="C6" s="879"/>
      <c r="D6" s="879"/>
      <c r="E6" s="879"/>
    </row>
    <row r="7" spans="1:5" ht="21.75" customHeight="1" thickBot="1" x14ac:dyDescent="0.25">
      <c r="A7" s="259"/>
      <c r="B7" s="259"/>
      <c r="C7" s="259"/>
      <c r="D7" s="259"/>
      <c r="E7"/>
    </row>
    <row r="8" spans="1:5" ht="32.25" thickBot="1" x14ac:dyDescent="0.25">
      <c r="A8" s="604" t="s">
        <v>666</v>
      </c>
      <c r="B8" s="605" t="s">
        <v>1387</v>
      </c>
      <c r="C8" s="606" t="s">
        <v>671</v>
      </c>
      <c r="D8" s="605" t="s">
        <v>1571</v>
      </c>
      <c r="E8" s="605" t="s">
        <v>1638</v>
      </c>
    </row>
    <row r="9" spans="1:5" s="326" customFormat="1" ht="31.5" x14ac:dyDescent="0.25">
      <c r="A9" s="607" t="s">
        <v>1035</v>
      </c>
      <c r="B9" s="608">
        <f>SUM(B10:B13)</f>
        <v>884420</v>
      </c>
      <c r="C9" s="608">
        <f t="shared" ref="C9:E9" si="0">SUM(C10:C13)</f>
        <v>-7324</v>
      </c>
      <c r="D9" s="609">
        <f t="shared" ref="D9" si="1">SUM(D10:D13)</f>
        <v>0</v>
      </c>
      <c r="E9" s="609">
        <f t="shared" si="0"/>
        <v>0</v>
      </c>
    </row>
    <row r="10" spans="1:5" ht="15.75" x14ac:dyDescent="0.25">
      <c r="A10" s="544" t="s">
        <v>667</v>
      </c>
      <c r="B10" s="543">
        <v>200000</v>
      </c>
      <c r="C10" s="603"/>
      <c r="D10" s="260">
        <v>0</v>
      </c>
      <c r="E10" s="260">
        <v>0</v>
      </c>
    </row>
    <row r="11" spans="1:5" ht="15.75" x14ac:dyDescent="0.25">
      <c r="A11" s="544" t="s">
        <v>672</v>
      </c>
      <c r="B11" s="543">
        <v>240000</v>
      </c>
      <c r="C11" s="603"/>
      <c r="D11" s="260">
        <v>0</v>
      </c>
      <c r="E11" s="260">
        <v>0</v>
      </c>
    </row>
    <row r="12" spans="1:5" ht="15.75" x14ac:dyDescent="0.25">
      <c r="A12" s="544" t="s">
        <v>670</v>
      </c>
      <c r="B12" s="543">
        <v>120000</v>
      </c>
      <c r="C12" s="603"/>
      <c r="D12" s="260">
        <v>0</v>
      </c>
      <c r="E12" s="260">
        <v>0</v>
      </c>
    </row>
    <row r="13" spans="1:5" ht="16.5" thickBot="1" x14ac:dyDescent="0.3">
      <c r="A13" s="610" t="s">
        <v>668</v>
      </c>
      <c r="B13" s="611">
        <v>324420</v>
      </c>
      <c r="C13" s="612">
        <v>-7324</v>
      </c>
      <c r="D13" s="613">
        <v>0</v>
      </c>
      <c r="E13" s="613">
        <v>0</v>
      </c>
    </row>
    <row r="14" spans="1:5" ht="99" customHeight="1" x14ac:dyDescent="0.2">
      <c r="A14" s="614" t="s">
        <v>1569</v>
      </c>
      <c r="B14" s="615">
        <f>SUM(B15:B15)</f>
        <v>6075160</v>
      </c>
      <c r="C14" s="615">
        <f t="shared" ref="C14:E16" si="2">SUM(C15:C15)</f>
        <v>0</v>
      </c>
      <c r="D14" s="616">
        <f t="shared" si="2"/>
        <v>6200000</v>
      </c>
      <c r="E14" s="616">
        <f t="shared" si="2"/>
        <v>6400000</v>
      </c>
    </row>
    <row r="15" spans="1:5" ht="16.5" thickBot="1" x14ac:dyDescent="0.3">
      <c r="A15" s="617" t="s">
        <v>668</v>
      </c>
      <c r="B15" s="618">
        <v>6075160</v>
      </c>
      <c r="C15" s="619">
        <v>0</v>
      </c>
      <c r="D15" s="620">
        <v>6200000</v>
      </c>
      <c r="E15" s="620">
        <v>6400000</v>
      </c>
    </row>
    <row r="16" spans="1:5" ht="31.5" x14ac:dyDescent="0.2">
      <c r="A16" s="621" t="s">
        <v>1328</v>
      </c>
      <c r="B16" s="615">
        <f>SUM(B17:B17)</f>
        <v>202604</v>
      </c>
      <c r="C16" s="615">
        <f t="shared" si="2"/>
        <v>0</v>
      </c>
      <c r="D16" s="616">
        <f t="shared" si="2"/>
        <v>0</v>
      </c>
      <c r="E16" s="616">
        <f t="shared" si="2"/>
        <v>0</v>
      </c>
    </row>
    <row r="17" spans="1:5" ht="16.5" thickBot="1" x14ac:dyDescent="0.3">
      <c r="A17" s="622" t="s">
        <v>668</v>
      </c>
      <c r="B17" s="618">
        <v>202604</v>
      </c>
      <c r="C17" s="623">
        <v>0</v>
      </c>
      <c r="D17" s="620"/>
      <c r="E17" s="620"/>
    </row>
    <row r="18" spans="1:5" ht="94.5" x14ac:dyDescent="0.25">
      <c r="A18" s="607" t="s">
        <v>1493</v>
      </c>
      <c r="B18" s="608">
        <f>SUM(B19:B22)</f>
        <v>0</v>
      </c>
      <c r="C18" s="608">
        <f t="shared" ref="C18:E18" si="3">SUM(C19:C22)</f>
        <v>0</v>
      </c>
      <c r="D18" s="609">
        <f t="shared" ref="D18" si="4">SUM(D19:D22)</f>
        <v>0</v>
      </c>
      <c r="E18" s="609">
        <f t="shared" si="3"/>
        <v>0</v>
      </c>
    </row>
    <row r="19" spans="1:5" ht="15.75" x14ac:dyDescent="0.25">
      <c r="A19" s="544" t="s">
        <v>667</v>
      </c>
      <c r="B19" s="543"/>
      <c r="C19" s="603"/>
      <c r="D19" s="260">
        <f>SUM(A19:B19)</f>
        <v>0</v>
      </c>
      <c r="E19" s="260">
        <f>SUM(B19:C19)</f>
        <v>0</v>
      </c>
    </row>
    <row r="20" spans="1:5" ht="15.75" x14ac:dyDescent="0.25">
      <c r="A20" s="544" t="s">
        <v>672</v>
      </c>
      <c r="B20" s="543"/>
      <c r="C20" s="603"/>
      <c r="D20" s="260">
        <f t="shared" ref="D20:E22" si="5">SUM(A20:B20)</f>
        <v>0</v>
      </c>
      <c r="E20" s="260">
        <f t="shared" si="5"/>
        <v>0</v>
      </c>
    </row>
    <row r="21" spans="1:5" ht="15.75" x14ac:dyDescent="0.25">
      <c r="A21" s="544" t="s">
        <v>670</v>
      </c>
      <c r="B21" s="543"/>
      <c r="C21" s="603"/>
      <c r="D21" s="260">
        <f t="shared" si="5"/>
        <v>0</v>
      </c>
      <c r="E21" s="260">
        <f t="shared" si="5"/>
        <v>0</v>
      </c>
    </row>
    <row r="22" spans="1:5" ht="16.5" thickBot="1" x14ac:dyDescent="0.3">
      <c r="A22" s="655" t="s">
        <v>668</v>
      </c>
      <c r="B22" s="656"/>
      <c r="C22" s="657"/>
      <c r="D22" s="658">
        <f t="shared" si="5"/>
        <v>0</v>
      </c>
      <c r="E22" s="658">
        <f t="shared" si="5"/>
        <v>0</v>
      </c>
    </row>
    <row r="23" spans="1:5" ht="13.5" thickBot="1" x14ac:dyDescent="0.25">
      <c r="A23" s="659" t="s">
        <v>570</v>
      </c>
      <c r="B23" s="660">
        <f>B9+B14+B16+B18</f>
        <v>7162184</v>
      </c>
      <c r="C23" s="661">
        <f>C9+C14+C16+C18</f>
        <v>-7324</v>
      </c>
      <c r="D23" s="662">
        <f>D9+D14+D16+D18</f>
        <v>6200000</v>
      </c>
      <c r="E23" s="66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showGridLines="0" view="pageBreakPreview" topLeftCell="A117" zoomScaleSheetLayoutView="100" workbookViewId="0">
      <selection activeCell="M60" sqref="M60"/>
    </sheetView>
  </sheetViews>
  <sheetFormatPr defaultColWidth="9.140625" defaultRowHeight="12.75" x14ac:dyDescent="0.2"/>
  <cols>
    <col min="1" max="1" width="5.140625" style="40" bestFit="1" customWidth="1"/>
    <col min="2" max="3" width="3" style="40" bestFit="1" customWidth="1"/>
    <col min="4" max="4" width="3" style="40" customWidth="1"/>
    <col min="5" max="5" width="5.28515625" style="40" customWidth="1"/>
    <col min="6" max="6" width="3" style="40" customWidth="1"/>
    <col min="7" max="7" width="5.85546875" style="40" customWidth="1"/>
    <col min="8" max="8" width="4.85546875" style="40" bestFit="1" customWidth="1"/>
    <col min="9" max="9" width="46.7109375" style="40" customWidth="1"/>
    <col min="10" max="10" width="16.28515625" style="40" customWidth="1"/>
    <col min="11" max="12" width="14.28515625" style="40" customWidth="1"/>
    <col min="13" max="13" width="16.140625" style="40" customWidth="1"/>
    <col min="14" max="15" width="14.28515625" style="40" customWidth="1"/>
    <col min="16" max="16384" width="9.140625" style="40"/>
  </cols>
  <sheetData>
    <row r="1" spans="1:15" ht="15.75" x14ac:dyDescent="0.25">
      <c r="A1" s="842" t="s">
        <v>130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</row>
    <row r="3" spans="1:15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</row>
    <row r="4" spans="1:15" ht="15.75" x14ac:dyDescent="0.25">
      <c r="A4" s="842" t="s">
        <v>1754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</row>
    <row r="5" spans="1:15" ht="15.75" x14ac:dyDescent="0.25">
      <c r="A5" s="280"/>
      <c r="B5" s="280"/>
      <c r="C5" s="280"/>
      <c r="D5" s="280"/>
      <c r="E5" s="280"/>
      <c r="F5" s="280"/>
      <c r="G5" s="281"/>
      <c r="H5" s="282"/>
      <c r="I5" s="841"/>
      <c r="J5" s="841"/>
      <c r="K5" s="279"/>
      <c r="L5" s="279"/>
      <c r="M5" s="279"/>
      <c r="N5" s="279"/>
      <c r="O5" s="279"/>
    </row>
    <row r="6" spans="1:15" ht="55.15" customHeight="1" x14ac:dyDescent="0.2">
      <c r="A6" s="835" t="s">
        <v>1614</v>
      </c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</row>
    <row r="7" spans="1:15" ht="18.75" hidden="1" x14ac:dyDescent="0.2">
      <c r="A7" s="280"/>
      <c r="B7" s="280"/>
      <c r="C7" s="280"/>
      <c r="D7" s="280"/>
      <c r="E7" s="280"/>
      <c r="F7" s="280"/>
      <c r="G7" s="258"/>
      <c r="H7" s="257"/>
      <c r="I7" s="836"/>
      <c r="J7" s="836"/>
      <c r="K7" s="279"/>
      <c r="L7" s="279"/>
      <c r="M7" s="279"/>
      <c r="N7" s="279"/>
      <c r="O7" s="279"/>
    </row>
    <row r="8" spans="1:15" ht="18.75" hidden="1" x14ac:dyDescent="0.2">
      <c r="A8" s="280"/>
      <c r="B8" s="280"/>
      <c r="C8" s="280"/>
      <c r="D8" s="280"/>
      <c r="E8" s="280"/>
      <c r="F8" s="280"/>
      <c r="G8" s="258"/>
      <c r="H8" s="257"/>
      <c r="I8" s="837"/>
      <c r="J8" s="837"/>
      <c r="K8" s="279"/>
      <c r="L8" s="279"/>
      <c r="M8" s="279"/>
      <c r="N8" s="279"/>
      <c r="O8" s="279"/>
    </row>
    <row r="9" spans="1:15" x14ac:dyDescent="0.2">
      <c r="A9" s="838" t="s">
        <v>3</v>
      </c>
      <c r="B9" s="838"/>
      <c r="C9" s="838"/>
      <c r="D9" s="838"/>
      <c r="E9" s="838"/>
      <c r="F9" s="838"/>
      <c r="G9" s="838"/>
      <c r="H9" s="838"/>
      <c r="I9" s="834" t="s">
        <v>4</v>
      </c>
      <c r="J9" s="834" t="s">
        <v>1538</v>
      </c>
      <c r="K9" s="834" t="s">
        <v>658</v>
      </c>
      <c r="L9" s="834" t="s">
        <v>1538</v>
      </c>
      <c r="M9" s="834" t="s">
        <v>1615</v>
      </c>
      <c r="N9" s="839" t="s">
        <v>658</v>
      </c>
      <c r="O9" s="834" t="s">
        <v>1615</v>
      </c>
    </row>
    <row r="10" spans="1:15" ht="138.75" x14ac:dyDescent="0.2">
      <c r="A10" s="446" t="s">
        <v>6</v>
      </c>
      <c r="B10" s="446" t="s">
        <v>7</v>
      </c>
      <c r="C10" s="446" t="s">
        <v>8</v>
      </c>
      <c r="D10" s="446" t="s">
        <v>131</v>
      </c>
      <c r="E10" s="447" t="s">
        <v>132</v>
      </c>
      <c r="F10" s="446" t="s">
        <v>133</v>
      </c>
      <c r="G10" s="448" t="s">
        <v>12</v>
      </c>
      <c r="H10" s="447" t="s">
        <v>13</v>
      </c>
      <c r="I10" s="834"/>
      <c r="J10" s="834"/>
      <c r="K10" s="834"/>
      <c r="L10" s="834"/>
      <c r="M10" s="834"/>
      <c r="N10" s="840"/>
      <c r="O10" s="834"/>
    </row>
    <row r="11" spans="1:15" ht="15.75" x14ac:dyDescent="0.2">
      <c r="A11" s="283" t="s">
        <v>14</v>
      </c>
      <c r="B11" s="283" t="s">
        <v>15</v>
      </c>
      <c r="C11" s="283" t="s">
        <v>16</v>
      </c>
      <c r="D11" s="283" t="s">
        <v>16</v>
      </c>
      <c r="E11" s="283" t="s">
        <v>14</v>
      </c>
      <c r="F11" s="283" t="s">
        <v>16</v>
      </c>
      <c r="G11" s="284" t="s">
        <v>17</v>
      </c>
      <c r="H11" s="284" t="s">
        <v>14</v>
      </c>
      <c r="I11" s="285" t="s">
        <v>1186</v>
      </c>
      <c r="J11" s="286">
        <v>237229620</v>
      </c>
      <c r="K11" s="286">
        <f>K12+K14+K16+K20+K24+K33+K36+K38+K44+K45</f>
        <v>0</v>
      </c>
      <c r="L11" s="286">
        <f>J11+K11</f>
        <v>237229620</v>
      </c>
      <c r="M11" s="286">
        <v>243604670</v>
      </c>
      <c r="N11" s="286"/>
      <c r="O11" s="286">
        <f>M11+N11</f>
        <v>243604670</v>
      </c>
    </row>
    <row r="12" spans="1:15" ht="15.75" x14ac:dyDescent="0.2">
      <c r="A12" s="283" t="s">
        <v>14</v>
      </c>
      <c r="B12" s="283" t="s">
        <v>15</v>
      </c>
      <c r="C12" s="283" t="s">
        <v>18</v>
      </c>
      <c r="D12" s="283" t="s">
        <v>16</v>
      </c>
      <c r="E12" s="283" t="s">
        <v>14</v>
      </c>
      <c r="F12" s="283" t="s">
        <v>16</v>
      </c>
      <c r="G12" s="284" t="s">
        <v>17</v>
      </c>
      <c r="H12" s="284" t="s">
        <v>14</v>
      </c>
      <c r="I12" s="285" t="s">
        <v>19</v>
      </c>
      <c r="J12" s="286">
        <v>134472000</v>
      </c>
      <c r="K12" s="286">
        <f>K13</f>
        <v>0</v>
      </c>
      <c r="L12" s="286">
        <f t="shared" ref="L12:L79" si="0">J12+K12</f>
        <v>134472000</v>
      </c>
      <c r="M12" s="286">
        <v>140255000</v>
      </c>
      <c r="N12" s="286"/>
      <c r="O12" s="286">
        <f t="shared" ref="O12:O79" si="1">M12+N12</f>
        <v>140255000</v>
      </c>
    </row>
    <row r="13" spans="1:15" ht="15.75" x14ac:dyDescent="0.2">
      <c r="A13" s="287" t="s">
        <v>20</v>
      </c>
      <c r="B13" s="287" t="s">
        <v>15</v>
      </c>
      <c r="C13" s="287" t="s">
        <v>18</v>
      </c>
      <c r="D13" s="287" t="s">
        <v>21</v>
      </c>
      <c r="E13" s="287" t="s">
        <v>14</v>
      </c>
      <c r="F13" s="287" t="s">
        <v>18</v>
      </c>
      <c r="G13" s="288" t="s">
        <v>17</v>
      </c>
      <c r="H13" s="288" t="s">
        <v>22</v>
      </c>
      <c r="I13" s="277" t="s">
        <v>23</v>
      </c>
      <c r="J13" s="289">
        <v>134472000</v>
      </c>
      <c r="K13" s="289"/>
      <c r="L13" s="289">
        <f t="shared" si="0"/>
        <v>134472000</v>
      </c>
      <c r="M13" s="289">
        <v>140255000</v>
      </c>
      <c r="N13" s="289"/>
      <c r="O13" s="289">
        <f t="shared" si="1"/>
        <v>140255000</v>
      </c>
    </row>
    <row r="14" spans="1:15" ht="47.25" x14ac:dyDescent="0.2">
      <c r="A14" s="283" t="s">
        <v>14</v>
      </c>
      <c r="B14" s="283" t="s">
        <v>15</v>
      </c>
      <c r="C14" s="283" t="s">
        <v>24</v>
      </c>
      <c r="D14" s="283" t="s">
        <v>16</v>
      </c>
      <c r="E14" s="283" t="s">
        <v>14</v>
      </c>
      <c r="F14" s="283" t="s">
        <v>16</v>
      </c>
      <c r="G14" s="284" t="s">
        <v>17</v>
      </c>
      <c r="H14" s="284" t="s">
        <v>14</v>
      </c>
      <c r="I14" s="285" t="s">
        <v>25</v>
      </c>
      <c r="J14" s="286">
        <v>9898620</v>
      </c>
      <c r="K14" s="289">
        <f>K15</f>
        <v>0</v>
      </c>
      <c r="L14" s="286">
        <f t="shared" si="0"/>
        <v>9898620</v>
      </c>
      <c r="M14" s="286">
        <v>10459670</v>
      </c>
      <c r="N14" s="286"/>
      <c r="O14" s="286">
        <f t="shared" si="1"/>
        <v>10459670</v>
      </c>
    </row>
    <row r="15" spans="1:15" ht="47.25" x14ac:dyDescent="0.2">
      <c r="A15" s="287" t="s">
        <v>26</v>
      </c>
      <c r="B15" s="287" t="s">
        <v>15</v>
      </c>
      <c r="C15" s="287" t="s">
        <v>24</v>
      </c>
      <c r="D15" s="287" t="s">
        <v>21</v>
      </c>
      <c r="E15" s="287" t="s">
        <v>14</v>
      </c>
      <c r="F15" s="287" t="s">
        <v>18</v>
      </c>
      <c r="G15" s="288" t="s">
        <v>17</v>
      </c>
      <c r="H15" s="288" t="s">
        <v>22</v>
      </c>
      <c r="I15" s="277" t="s">
        <v>27</v>
      </c>
      <c r="J15" s="289">
        <v>9898620</v>
      </c>
      <c r="K15" s="289"/>
      <c r="L15" s="289">
        <f t="shared" si="0"/>
        <v>9898620</v>
      </c>
      <c r="M15" s="289">
        <v>10459670</v>
      </c>
      <c r="N15" s="289"/>
      <c r="O15" s="289">
        <f t="shared" si="1"/>
        <v>10459670</v>
      </c>
    </row>
    <row r="16" spans="1:15" ht="15.75" x14ac:dyDescent="0.2">
      <c r="A16" s="283" t="s">
        <v>14</v>
      </c>
      <c r="B16" s="283" t="s">
        <v>15</v>
      </c>
      <c r="C16" s="283" t="s">
        <v>28</v>
      </c>
      <c r="D16" s="283" t="s">
        <v>16</v>
      </c>
      <c r="E16" s="283" t="s">
        <v>14</v>
      </c>
      <c r="F16" s="283" t="s">
        <v>16</v>
      </c>
      <c r="G16" s="284" t="s">
        <v>17</v>
      </c>
      <c r="H16" s="284" t="s">
        <v>14</v>
      </c>
      <c r="I16" s="285" t="s">
        <v>29</v>
      </c>
      <c r="J16" s="286">
        <v>8870000</v>
      </c>
      <c r="K16" s="286">
        <f>K18+K19</f>
        <v>0</v>
      </c>
      <c r="L16" s="286">
        <f t="shared" si="0"/>
        <v>8870000</v>
      </c>
      <c r="M16" s="286">
        <v>8900000</v>
      </c>
      <c r="N16" s="286"/>
      <c r="O16" s="286">
        <f t="shared" si="1"/>
        <v>8900000</v>
      </c>
    </row>
    <row r="17" spans="1:15" ht="31.5" x14ac:dyDescent="0.2">
      <c r="A17" s="287" t="s">
        <v>20</v>
      </c>
      <c r="B17" s="287" t="s">
        <v>15</v>
      </c>
      <c r="C17" s="287" t="s">
        <v>28</v>
      </c>
      <c r="D17" s="287" t="s">
        <v>21</v>
      </c>
      <c r="E17" s="287" t="s">
        <v>14</v>
      </c>
      <c r="F17" s="287" t="s">
        <v>21</v>
      </c>
      <c r="G17" s="288" t="s">
        <v>17</v>
      </c>
      <c r="H17" s="288" t="s">
        <v>22</v>
      </c>
      <c r="I17" s="277" t="s">
        <v>30</v>
      </c>
      <c r="J17" s="289">
        <v>0</v>
      </c>
      <c r="K17" s="289"/>
      <c r="L17" s="286">
        <f t="shared" si="0"/>
        <v>0</v>
      </c>
      <c r="M17" s="289">
        <v>0</v>
      </c>
      <c r="N17" s="289"/>
      <c r="O17" s="286">
        <f t="shared" si="1"/>
        <v>0</v>
      </c>
    </row>
    <row r="18" spans="1:15" ht="15.75" x14ac:dyDescent="0.2">
      <c r="A18" s="287" t="s">
        <v>20</v>
      </c>
      <c r="B18" s="287" t="s">
        <v>15</v>
      </c>
      <c r="C18" s="287" t="s">
        <v>28</v>
      </c>
      <c r="D18" s="287" t="s">
        <v>24</v>
      </c>
      <c r="E18" s="287" t="s">
        <v>14</v>
      </c>
      <c r="F18" s="287" t="s">
        <v>18</v>
      </c>
      <c r="G18" s="288" t="s">
        <v>17</v>
      </c>
      <c r="H18" s="288" t="s">
        <v>22</v>
      </c>
      <c r="I18" s="277" t="s">
        <v>31</v>
      </c>
      <c r="J18" s="289">
        <v>383000</v>
      </c>
      <c r="K18" s="289"/>
      <c r="L18" s="289">
        <f t="shared" si="0"/>
        <v>383000</v>
      </c>
      <c r="M18" s="289">
        <v>383000</v>
      </c>
      <c r="N18" s="289"/>
      <c r="O18" s="289">
        <f t="shared" si="1"/>
        <v>383000</v>
      </c>
    </row>
    <row r="19" spans="1:15" ht="31.5" x14ac:dyDescent="0.2">
      <c r="A19" s="287" t="s">
        <v>20</v>
      </c>
      <c r="B19" s="287" t="s">
        <v>15</v>
      </c>
      <c r="C19" s="287" t="s">
        <v>28</v>
      </c>
      <c r="D19" s="287" t="s">
        <v>32</v>
      </c>
      <c r="E19" s="287" t="s">
        <v>14</v>
      </c>
      <c r="F19" s="287" t="s">
        <v>21</v>
      </c>
      <c r="G19" s="288" t="s">
        <v>17</v>
      </c>
      <c r="H19" s="288" t="s">
        <v>22</v>
      </c>
      <c r="I19" s="277" t="s">
        <v>33</v>
      </c>
      <c r="J19" s="289">
        <v>8487000</v>
      </c>
      <c r="K19" s="289"/>
      <c r="L19" s="289">
        <f t="shared" si="0"/>
        <v>8487000</v>
      </c>
      <c r="M19" s="289">
        <v>8517000</v>
      </c>
      <c r="N19" s="289"/>
      <c r="O19" s="289">
        <f t="shared" si="1"/>
        <v>8517000</v>
      </c>
    </row>
    <row r="20" spans="1:15" ht="15.75" x14ac:dyDescent="0.2">
      <c r="A20" s="283" t="s">
        <v>14</v>
      </c>
      <c r="B20" s="283" t="s">
        <v>15</v>
      </c>
      <c r="C20" s="283" t="s">
        <v>34</v>
      </c>
      <c r="D20" s="283" t="s">
        <v>16</v>
      </c>
      <c r="E20" s="283" t="s">
        <v>14</v>
      </c>
      <c r="F20" s="283" t="s">
        <v>16</v>
      </c>
      <c r="G20" s="284" t="s">
        <v>17</v>
      </c>
      <c r="H20" s="284" t="s">
        <v>14</v>
      </c>
      <c r="I20" s="285" t="s">
        <v>35</v>
      </c>
      <c r="J20" s="286">
        <v>8200000</v>
      </c>
      <c r="K20" s="286">
        <f>K21+K22</f>
        <v>0</v>
      </c>
      <c r="L20" s="286">
        <f t="shared" si="0"/>
        <v>8200000</v>
      </c>
      <c r="M20" s="286">
        <v>8200000</v>
      </c>
      <c r="N20" s="286"/>
      <c r="O20" s="286">
        <f t="shared" si="1"/>
        <v>8200000</v>
      </c>
    </row>
    <row r="21" spans="1:15" ht="47.25" x14ac:dyDescent="0.2">
      <c r="A21" s="287" t="s">
        <v>20</v>
      </c>
      <c r="B21" s="287" t="s">
        <v>15</v>
      </c>
      <c r="C21" s="287" t="s">
        <v>34</v>
      </c>
      <c r="D21" s="287" t="s">
        <v>24</v>
      </c>
      <c r="E21" s="287" t="s">
        <v>14</v>
      </c>
      <c r="F21" s="287" t="s">
        <v>18</v>
      </c>
      <c r="G21" s="288" t="s">
        <v>17</v>
      </c>
      <c r="H21" s="288" t="s">
        <v>22</v>
      </c>
      <c r="I21" s="277" t="s">
        <v>36</v>
      </c>
      <c r="J21" s="289">
        <v>8200000</v>
      </c>
      <c r="K21" s="289"/>
      <c r="L21" s="289">
        <f t="shared" si="0"/>
        <v>8200000</v>
      </c>
      <c r="M21" s="289">
        <v>8200000</v>
      </c>
      <c r="N21" s="289"/>
      <c r="O21" s="289">
        <f t="shared" si="1"/>
        <v>8200000</v>
      </c>
    </row>
    <row r="22" spans="1:15" ht="63" x14ac:dyDescent="0.2">
      <c r="A22" s="287" t="s">
        <v>1172</v>
      </c>
      <c r="B22" s="287" t="s">
        <v>15</v>
      </c>
      <c r="C22" s="287" t="s">
        <v>34</v>
      </c>
      <c r="D22" s="287" t="s">
        <v>38</v>
      </c>
      <c r="E22" s="287" t="s">
        <v>14</v>
      </c>
      <c r="F22" s="287" t="s">
        <v>18</v>
      </c>
      <c r="G22" s="288" t="s">
        <v>17</v>
      </c>
      <c r="H22" s="288" t="s">
        <v>22</v>
      </c>
      <c r="I22" s="277" t="s">
        <v>39</v>
      </c>
      <c r="J22" s="289">
        <v>0</v>
      </c>
      <c r="K22" s="289"/>
      <c r="L22" s="286">
        <f t="shared" si="0"/>
        <v>0</v>
      </c>
      <c r="M22" s="289">
        <v>0</v>
      </c>
      <c r="N22" s="289"/>
      <c r="O22" s="286">
        <f t="shared" si="1"/>
        <v>0</v>
      </c>
    </row>
    <row r="23" spans="1:15" ht="47.25" x14ac:dyDescent="0.2">
      <c r="A23" s="283" t="s">
        <v>20</v>
      </c>
      <c r="B23" s="283" t="s">
        <v>15</v>
      </c>
      <c r="C23" s="283" t="s">
        <v>40</v>
      </c>
      <c r="D23" s="283"/>
      <c r="E23" s="283" t="s">
        <v>41</v>
      </c>
      <c r="F23" s="283" t="s">
        <v>16</v>
      </c>
      <c r="G23" s="284" t="s">
        <v>17</v>
      </c>
      <c r="H23" s="284" t="s">
        <v>14</v>
      </c>
      <c r="I23" s="285" t="s">
        <v>42</v>
      </c>
      <c r="J23" s="286">
        <v>0</v>
      </c>
      <c r="K23" s="289"/>
      <c r="L23" s="286">
        <f t="shared" si="0"/>
        <v>0</v>
      </c>
      <c r="M23" s="286">
        <v>0</v>
      </c>
      <c r="N23" s="286"/>
      <c r="O23" s="286">
        <f t="shared" si="1"/>
        <v>0</v>
      </c>
    </row>
    <row r="24" spans="1:15" ht="47.25" x14ac:dyDescent="0.2">
      <c r="A24" s="283" t="s">
        <v>14</v>
      </c>
      <c r="B24" s="283" t="s">
        <v>15</v>
      </c>
      <c r="C24" s="283" t="s">
        <v>43</v>
      </c>
      <c r="D24" s="283" t="s">
        <v>16</v>
      </c>
      <c r="E24" s="283" t="s">
        <v>14</v>
      </c>
      <c r="F24" s="283" t="s">
        <v>16</v>
      </c>
      <c r="G24" s="284" t="s">
        <v>17</v>
      </c>
      <c r="H24" s="284" t="s">
        <v>14</v>
      </c>
      <c r="I24" s="285" t="s">
        <v>44</v>
      </c>
      <c r="J24" s="290">
        <v>8817000</v>
      </c>
      <c r="K24" s="290">
        <f t="shared" ref="K24:L24" si="2">K25+K27+K31</f>
        <v>0</v>
      </c>
      <c r="L24" s="290">
        <f t="shared" si="2"/>
        <v>8817000</v>
      </c>
      <c r="M24" s="290">
        <v>8817000</v>
      </c>
      <c r="N24" s="290">
        <f>N25+N27+N31</f>
        <v>0</v>
      </c>
      <c r="O24" s="286">
        <f t="shared" si="1"/>
        <v>8817000</v>
      </c>
    </row>
    <row r="25" spans="1:15" ht="110.25" x14ac:dyDescent="0.2">
      <c r="A25" s="291" t="s">
        <v>45</v>
      </c>
      <c r="B25" s="291" t="s">
        <v>15</v>
      </c>
      <c r="C25" s="291" t="s">
        <v>43</v>
      </c>
      <c r="D25" s="291" t="s">
        <v>18</v>
      </c>
      <c r="E25" s="291" t="s">
        <v>14</v>
      </c>
      <c r="F25" s="291" t="s">
        <v>16</v>
      </c>
      <c r="G25" s="292" t="s">
        <v>17</v>
      </c>
      <c r="H25" s="292" t="s">
        <v>46</v>
      </c>
      <c r="I25" s="293" t="s">
        <v>47</v>
      </c>
      <c r="J25" s="294">
        <v>30000</v>
      </c>
      <c r="K25" s="294">
        <f>+K27</f>
        <v>0</v>
      </c>
      <c r="L25" s="286">
        <f t="shared" si="0"/>
        <v>30000</v>
      </c>
      <c r="M25" s="294">
        <v>30000</v>
      </c>
      <c r="N25" s="294"/>
      <c r="O25" s="286">
        <f t="shared" si="1"/>
        <v>30000</v>
      </c>
    </row>
    <row r="26" spans="1:15" ht="82.15" customHeight="1" x14ac:dyDescent="0.2">
      <c r="A26" s="287" t="s">
        <v>45</v>
      </c>
      <c r="B26" s="287" t="s">
        <v>15</v>
      </c>
      <c r="C26" s="287" t="s">
        <v>43</v>
      </c>
      <c r="D26" s="287" t="s">
        <v>18</v>
      </c>
      <c r="E26" s="287" t="s">
        <v>48</v>
      </c>
      <c r="F26" s="287" t="s">
        <v>28</v>
      </c>
      <c r="G26" s="288" t="s">
        <v>17</v>
      </c>
      <c r="H26" s="288" t="s">
        <v>46</v>
      </c>
      <c r="I26" s="277" t="s">
        <v>134</v>
      </c>
      <c r="J26" s="289">
        <v>30000</v>
      </c>
      <c r="K26" s="289"/>
      <c r="L26" s="289">
        <f t="shared" si="0"/>
        <v>30000</v>
      </c>
      <c r="M26" s="289">
        <v>30000</v>
      </c>
      <c r="N26" s="289"/>
      <c r="O26" s="289">
        <f t="shared" si="1"/>
        <v>30000</v>
      </c>
    </row>
    <row r="27" spans="1:15" ht="141.75" x14ac:dyDescent="0.2">
      <c r="A27" s="291" t="s">
        <v>14</v>
      </c>
      <c r="B27" s="291" t="s">
        <v>15</v>
      </c>
      <c r="C27" s="291" t="s">
        <v>43</v>
      </c>
      <c r="D27" s="291" t="s">
        <v>28</v>
      </c>
      <c r="E27" s="291" t="s">
        <v>14</v>
      </c>
      <c r="F27" s="291" t="s">
        <v>16</v>
      </c>
      <c r="G27" s="292" t="s">
        <v>17</v>
      </c>
      <c r="H27" s="292" t="s">
        <v>46</v>
      </c>
      <c r="I27" s="293" t="s">
        <v>50</v>
      </c>
      <c r="J27" s="295">
        <v>8250000</v>
      </c>
      <c r="K27" s="295">
        <f>K28+K29+K30</f>
        <v>0</v>
      </c>
      <c r="L27" s="295">
        <f t="shared" si="0"/>
        <v>8250000</v>
      </c>
      <c r="M27" s="295">
        <v>8250000</v>
      </c>
      <c r="N27" s="295"/>
      <c r="O27" s="295">
        <f t="shared" si="1"/>
        <v>8250000</v>
      </c>
    </row>
    <row r="28" spans="1:15" ht="126" x14ac:dyDescent="0.2">
      <c r="A28" s="287" t="s">
        <v>45</v>
      </c>
      <c r="B28" s="287" t="s">
        <v>15</v>
      </c>
      <c r="C28" s="287" t="s">
        <v>43</v>
      </c>
      <c r="D28" s="287" t="s">
        <v>28</v>
      </c>
      <c r="E28" s="287" t="s">
        <v>69</v>
      </c>
      <c r="F28" s="287" t="s">
        <v>28</v>
      </c>
      <c r="G28" s="288" t="s">
        <v>17</v>
      </c>
      <c r="H28" s="288" t="s">
        <v>46</v>
      </c>
      <c r="I28" s="277" t="s">
        <v>1120</v>
      </c>
      <c r="J28" s="289">
        <v>3600000</v>
      </c>
      <c r="K28" s="289"/>
      <c r="L28" s="289">
        <f t="shared" si="0"/>
        <v>3600000</v>
      </c>
      <c r="M28" s="295">
        <v>3600000</v>
      </c>
      <c r="N28" s="295"/>
      <c r="O28" s="289">
        <f t="shared" si="1"/>
        <v>3600000</v>
      </c>
    </row>
    <row r="29" spans="1:15" ht="126" x14ac:dyDescent="0.2">
      <c r="A29" s="287" t="s">
        <v>45</v>
      </c>
      <c r="B29" s="287" t="s">
        <v>15</v>
      </c>
      <c r="C29" s="287" t="s">
        <v>43</v>
      </c>
      <c r="D29" s="287" t="s">
        <v>28</v>
      </c>
      <c r="E29" s="287" t="s">
        <v>69</v>
      </c>
      <c r="F29" s="287" t="s">
        <v>58</v>
      </c>
      <c r="G29" s="288" t="s">
        <v>17</v>
      </c>
      <c r="H29" s="288" t="s">
        <v>46</v>
      </c>
      <c r="I29" s="277" t="s">
        <v>1542</v>
      </c>
      <c r="J29" s="289">
        <v>3250000</v>
      </c>
      <c r="K29" s="289"/>
      <c r="L29" s="289">
        <f t="shared" si="0"/>
        <v>3250000</v>
      </c>
      <c r="M29" s="289">
        <v>3250000</v>
      </c>
      <c r="N29" s="289"/>
      <c r="O29" s="289">
        <f t="shared" si="1"/>
        <v>3250000</v>
      </c>
    </row>
    <row r="30" spans="1:15" ht="63" x14ac:dyDescent="0.2">
      <c r="A30" s="287" t="s">
        <v>45</v>
      </c>
      <c r="B30" s="287" t="s">
        <v>15</v>
      </c>
      <c r="C30" s="287" t="s">
        <v>43</v>
      </c>
      <c r="D30" s="287" t="s">
        <v>28</v>
      </c>
      <c r="E30" s="287" t="s">
        <v>51</v>
      </c>
      <c r="F30" s="287" t="s">
        <v>28</v>
      </c>
      <c r="G30" s="288" t="s">
        <v>17</v>
      </c>
      <c r="H30" s="288" t="s">
        <v>46</v>
      </c>
      <c r="I30" s="277" t="s">
        <v>52</v>
      </c>
      <c r="J30" s="289">
        <v>1400000</v>
      </c>
      <c r="K30" s="289"/>
      <c r="L30" s="289">
        <f t="shared" si="0"/>
        <v>1400000</v>
      </c>
      <c r="M30" s="289">
        <v>1400000</v>
      </c>
      <c r="N30" s="289"/>
      <c r="O30" s="289">
        <f t="shared" si="1"/>
        <v>1400000</v>
      </c>
    </row>
    <row r="31" spans="1:15" ht="148.9" customHeight="1" x14ac:dyDescent="0.2">
      <c r="A31" s="305" t="s">
        <v>14</v>
      </c>
      <c r="B31" s="305" t="s">
        <v>15</v>
      </c>
      <c r="C31" s="305" t="s">
        <v>43</v>
      </c>
      <c r="D31" s="305" t="s">
        <v>40</v>
      </c>
      <c r="E31" s="305" t="s">
        <v>14</v>
      </c>
      <c r="F31" s="305" t="s">
        <v>16</v>
      </c>
      <c r="G31" s="306" t="s">
        <v>17</v>
      </c>
      <c r="H31" s="306" t="s">
        <v>46</v>
      </c>
      <c r="I31" s="307" t="s">
        <v>1588</v>
      </c>
      <c r="J31" s="295">
        <v>537000</v>
      </c>
      <c r="K31" s="295">
        <f>K32</f>
        <v>0</v>
      </c>
      <c r="L31" s="295">
        <f t="shared" si="0"/>
        <v>537000</v>
      </c>
      <c r="M31" s="295">
        <v>537000</v>
      </c>
      <c r="N31" s="295">
        <f>N32</f>
        <v>0</v>
      </c>
      <c r="O31" s="295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1585</v>
      </c>
      <c r="F32" s="23" t="s">
        <v>28</v>
      </c>
      <c r="G32" s="24" t="s">
        <v>17</v>
      </c>
      <c r="H32" s="24" t="s">
        <v>46</v>
      </c>
      <c r="I32" s="18" t="s">
        <v>1573</v>
      </c>
      <c r="J32" s="289">
        <v>537000</v>
      </c>
      <c r="K32" s="289"/>
      <c r="L32" s="289">
        <f t="shared" si="0"/>
        <v>537000</v>
      </c>
      <c r="M32" s="289">
        <v>537000</v>
      </c>
      <c r="N32" s="289"/>
      <c r="O32" s="289">
        <f t="shared" si="1"/>
        <v>537000</v>
      </c>
    </row>
    <row r="33" spans="1:15" ht="31.5" x14ac:dyDescent="0.2">
      <c r="A33" s="283" t="s">
        <v>14</v>
      </c>
      <c r="B33" s="283" t="s">
        <v>15</v>
      </c>
      <c r="C33" s="283" t="s">
        <v>53</v>
      </c>
      <c r="D33" s="283" t="s">
        <v>16</v>
      </c>
      <c r="E33" s="283" t="s">
        <v>14</v>
      </c>
      <c r="F33" s="283" t="s">
        <v>16</v>
      </c>
      <c r="G33" s="284" t="s">
        <v>17</v>
      </c>
      <c r="H33" s="284" t="s">
        <v>14</v>
      </c>
      <c r="I33" s="285" t="s">
        <v>54</v>
      </c>
      <c r="J33" s="290">
        <v>1637000</v>
      </c>
      <c r="K33" s="286">
        <f>K34</f>
        <v>0</v>
      </c>
      <c r="L33" s="286">
        <f t="shared" si="0"/>
        <v>1637000</v>
      </c>
      <c r="M33" s="290">
        <v>1643000</v>
      </c>
      <c r="N33" s="290"/>
      <c r="O33" s="286">
        <f t="shared" si="1"/>
        <v>1643000</v>
      </c>
    </row>
    <row r="34" spans="1:15" ht="31.5" x14ac:dyDescent="0.2">
      <c r="A34" s="287" t="s">
        <v>135</v>
      </c>
      <c r="B34" s="287" t="s">
        <v>15</v>
      </c>
      <c r="C34" s="287" t="s">
        <v>53</v>
      </c>
      <c r="D34" s="287" t="s">
        <v>18</v>
      </c>
      <c r="E34" s="287" t="s">
        <v>14</v>
      </c>
      <c r="F34" s="287" t="s">
        <v>18</v>
      </c>
      <c r="G34" s="288" t="s">
        <v>17</v>
      </c>
      <c r="H34" s="288" t="s">
        <v>46</v>
      </c>
      <c r="I34" s="277" t="s">
        <v>55</v>
      </c>
      <c r="J34" s="289">
        <v>1637000</v>
      </c>
      <c r="K34" s="289"/>
      <c r="L34" s="289">
        <f t="shared" si="0"/>
        <v>1637000</v>
      </c>
      <c r="M34" s="289">
        <v>1643000</v>
      </c>
      <c r="N34" s="289"/>
      <c r="O34" s="289">
        <f t="shared" si="1"/>
        <v>1643000</v>
      </c>
    </row>
    <row r="35" spans="1:15" ht="63" x14ac:dyDescent="0.2">
      <c r="A35" s="287" t="s">
        <v>20</v>
      </c>
      <c r="B35" s="287" t="s">
        <v>15</v>
      </c>
      <c r="C35" s="287" t="s">
        <v>53</v>
      </c>
      <c r="D35" s="287"/>
      <c r="E35" s="287" t="s">
        <v>56</v>
      </c>
      <c r="F35" s="287" t="s">
        <v>18</v>
      </c>
      <c r="G35" s="288" t="s">
        <v>17</v>
      </c>
      <c r="H35" s="288" t="s">
        <v>46</v>
      </c>
      <c r="I35" s="277" t="s">
        <v>57</v>
      </c>
      <c r="J35" s="289">
        <v>0</v>
      </c>
      <c r="K35" s="289"/>
      <c r="L35" s="286">
        <f t="shared" si="0"/>
        <v>0</v>
      </c>
      <c r="M35" s="289">
        <v>0</v>
      </c>
      <c r="N35" s="289"/>
      <c r="O35" s="286">
        <f t="shared" si="1"/>
        <v>0</v>
      </c>
    </row>
    <row r="36" spans="1:15" ht="31.5" x14ac:dyDescent="0.2">
      <c r="A36" s="283" t="s">
        <v>14</v>
      </c>
      <c r="B36" s="283" t="s">
        <v>15</v>
      </c>
      <c r="C36" s="283" t="s">
        <v>58</v>
      </c>
      <c r="D36" s="283" t="s">
        <v>16</v>
      </c>
      <c r="E36" s="283" t="s">
        <v>14</v>
      </c>
      <c r="F36" s="283" t="s">
        <v>16</v>
      </c>
      <c r="G36" s="284" t="s">
        <v>17</v>
      </c>
      <c r="H36" s="284" t="s">
        <v>59</v>
      </c>
      <c r="I36" s="285" t="s">
        <v>60</v>
      </c>
      <c r="J36" s="286">
        <v>57925000</v>
      </c>
      <c r="K36" s="286">
        <f>K37</f>
        <v>0</v>
      </c>
      <c r="L36" s="286">
        <f t="shared" si="0"/>
        <v>57925000</v>
      </c>
      <c r="M36" s="286">
        <v>57920000</v>
      </c>
      <c r="N36" s="286"/>
      <c r="O36" s="286">
        <f t="shared" si="1"/>
        <v>57920000</v>
      </c>
    </row>
    <row r="37" spans="1:15" ht="47.25" x14ac:dyDescent="0.2">
      <c r="A37" s="287" t="s">
        <v>14</v>
      </c>
      <c r="B37" s="287" t="s">
        <v>15</v>
      </c>
      <c r="C37" s="287" t="s">
        <v>58</v>
      </c>
      <c r="D37" s="287" t="s">
        <v>18</v>
      </c>
      <c r="E37" s="287" t="s">
        <v>61</v>
      </c>
      <c r="F37" s="287" t="s">
        <v>28</v>
      </c>
      <c r="G37" s="288" t="s">
        <v>17</v>
      </c>
      <c r="H37" s="288" t="s">
        <v>59</v>
      </c>
      <c r="I37" s="277" t="s">
        <v>62</v>
      </c>
      <c r="J37" s="289">
        <v>57925000</v>
      </c>
      <c r="K37" s="289"/>
      <c r="L37" s="289">
        <f t="shared" si="0"/>
        <v>57925000</v>
      </c>
      <c r="M37" s="289">
        <v>57920000</v>
      </c>
      <c r="N37" s="289"/>
      <c r="O37" s="289">
        <f t="shared" si="1"/>
        <v>57920000</v>
      </c>
    </row>
    <row r="38" spans="1:15" ht="31.5" x14ac:dyDescent="0.2">
      <c r="A38" s="283" t="s">
        <v>14</v>
      </c>
      <c r="B38" s="283" t="s">
        <v>15</v>
      </c>
      <c r="C38" s="283" t="s">
        <v>63</v>
      </c>
      <c r="D38" s="283" t="s">
        <v>16</v>
      </c>
      <c r="E38" s="283" t="s">
        <v>14</v>
      </c>
      <c r="F38" s="283" t="s">
        <v>16</v>
      </c>
      <c r="G38" s="284" t="s">
        <v>17</v>
      </c>
      <c r="H38" s="284" t="s">
        <v>14</v>
      </c>
      <c r="I38" s="285" t="s">
        <v>64</v>
      </c>
      <c r="J38" s="290">
        <v>6000000</v>
      </c>
      <c r="K38" s="286">
        <f>K39+K40</f>
        <v>0</v>
      </c>
      <c r="L38" s="286">
        <f t="shared" si="0"/>
        <v>6000000</v>
      </c>
      <c r="M38" s="290">
        <v>6000000</v>
      </c>
      <c r="N38" s="290"/>
      <c r="O38" s="286">
        <f t="shared" si="1"/>
        <v>6000000</v>
      </c>
    </row>
    <row r="39" spans="1:15" ht="126" x14ac:dyDescent="0.2">
      <c r="A39" s="287" t="s">
        <v>14</v>
      </c>
      <c r="B39" s="287" t="s">
        <v>15</v>
      </c>
      <c r="C39" s="287" t="s">
        <v>63</v>
      </c>
      <c r="D39" s="287" t="s">
        <v>21</v>
      </c>
      <c r="E39" s="287" t="s">
        <v>14</v>
      </c>
      <c r="F39" s="287" t="s">
        <v>16</v>
      </c>
      <c r="G39" s="288" t="s">
        <v>17</v>
      </c>
      <c r="H39" s="288" t="s">
        <v>14</v>
      </c>
      <c r="I39" s="277" t="s">
        <v>65</v>
      </c>
      <c r="J39" s="289">
        <v>2000000</v>
      </c>
      <c r="K39" s="289"/>
      <c r="L39" s="289">
        <f t="shared" si="0"/>
        <v>2000000</v>
      </c>
      <c r="M39" s="289">
        <v>2000000</v>
      </c>
      <c r="N39" s="289"/>
      <c r="O39" s="289">
        <f t="shared" si="1"/>
        <v>2000000</v>
      </c>
    </row>
    <row r="40" spans="1:15" ht="47.25" x14ac:dyDescent="0.2">
      <c r="A40" s="291" t="s">
        <v>45</v>
      </c>
      <c r="B40" s="291" t="s">
        <v>15</v>
      </c>
      <c r="C40" s="291" t="s">
        <v>63</v>
      </c>
      <c r="D40" s="291" t="s">
        <v>66</v>
      </c>
      <c r="E40" s="291" t="s">
        <v>14</v>
      </c>
      <c r="F40" s="291" t="s">
        <v>16</v>
      </c>
      <c r="G40" s="292" t="s">
        <v>17</v>
      </c>
      <c r="H40" s="292" t="s">
        <v>67</v>
      </c>
      <c r="I40" s="293" t="s">
        <v>136</v>
      </c>
      <c r="J40" s="294">
        <v>4000000</v>
      </c>
      <c r="K40" s="294">
        <f t="shared" ref="K40:L40" si="3">K41+K42+K43</f>
        <v>0</v>
      </c>
      <c r="L40" s="294">
        <f t="shared" si="3"/>
        <v>4000000</v>
      </c>
      <c r="M40" s="294">
        <v>4000000</v>
      </c>
      <c r="N40" s="296">
        <f t="shared" ref="N40" si="4">N41+N42+N43</f>
        <v>0</v>
      </c>
      <c r="O40" s="295">
        <f t="shared" si="1"/>
        <v>4000000</v>
      </c>
    </row>
    <row r="41" spans="1:15" ht="94.5" x14ac:dyDescent="0.2">
      <c r="A41" s="287" t="s">
        <v>45</v>
      </c>
      <c r="B41" s="287" t="s">
        <v>15</v>
      </c>
      <c r="C41" s="287" t="s">
        <v>63</v>
      </c>
      <c r="D41" s="287" t="s">
        <v>66</v>
      </c>
      <c r="E41" s="287" t="s">
        <v>69</v>
      </c>
      <c r="F41" s="287" t="s">
        <v>28</v>
      </c>
      <c r="G41" s="288" t="s">
        <v>17</v>
      </c>
      <c r="H41" s="288" t="s">
        <v>67</v>
      </c>
      <c r="I41" s="277" t="s">
        <v>1121</v>
      </c>
      <c r="J41" s="296">
        <v>2000000</v>
      </c>
      <c r="K41" s="289"/>
      <c r="L41" s="289">
        <f t="shared" si="0"/>
        <v>2000000</v>
      </c>
      <c r="M41" s="296">
        <v>2000000</v>
      </c>
      <c r="N41" s="296"/>
      <c r="O41" s="289">
        <f t="shared" si="1"/>
        <v>2000000</v>
      </c>
    </row>
    <row r="42" spans="1:15" ht="63" x14ac:dyDescent="0.2">
      <c r="A42" s="287" t="s">
        <v>45</v>
      </c>
      <c r="B42" s="287" t="s">
        <v>15</v>
      </c>
      <c r="C42" s="287" t="s">
        <v>63</v>
      </c>
      <c r="D42" s="287" t="s">
        <v>66</v>
      </c>
      <c r="E42" s="287" t="s">
        <v>69</v>
      </c>
      <c r="F42" s="287" t="s">
        <v>58</v>
      </c>
      <c r="G42" s="288" t="s">
        <v>17</v>
      </c>
      <c r="H42" s="288" t="s">
        <v>67</v>
      </c>
      <c r="I42" s="277" t="s">
        <v>71</v>
      </c>
      <c r="J42" s="289">
        <v>1500000</v>
      </c>
      <c r="K42" s="289"/>
      <c r="L42" s="289">
        <f t="shared" si="0"/>
        <v>1500000</v>
      </c>
      <c r="M42" s="289">
        <v>1500000</v>
      </c>
      <c r="N42" s="289"/>
      <c r="O42" s="289">
        <f t="shared" si="1"/>
        <v>1500000</v>
      </c>
    </row>
    <row r="43" spans="1:15" ht="78.75" x14ac:dyDescent="0.2">
      <c r="A43" s="287" t="s">
        <v>45</v>
      </c>
      <c r="B43" s="287" t="s">
        <v>15</v>
      </c>
      <c r="C43" s="287" t="s">
        <v>63</v>
      </c>
      <c r="D43" s="287" t="s">
        <v>66</v>
      </c>
      <c r="E43" s="287" t="s">
        <v>72</v>
      </c>
      <c r="F43" s="287" t="s">
        <v>28</v>
      </c>
      <c r="G43" s="288" t="s">
        <v>17</v>
      </c>
      <c r="H43" s="288" t="s">
        <v>67</v>
      </c>
      <c r="I43" s="277" t="s">
        <v>137</v>
      </c>
      <c r="J43" s="289">
        <v>500000</v>
      </c>
      <c r="K43" s="289"/>
      <c r="L43" s="289">
        <f t="shared" si="0"/>
        <v>500000</v>
      </c>
      <c r="M43" s="289">
        <v>500000</v>
      </c>
      <c r="N43" s="289"/>
      <c r="O43" s="289">
        <f t="shared" si="1"/>
        <v>500000</v>
      </c>
    </row>
    <row r="44" spans="1:15" ht="15.75" x14ac:dyDescent="0.2">
      <c r="A44" s="283" t="s">
        <v>14</v>
      </c>
      <c r="B44" s="283" t="s">
        <v>15</v>
      </c>
      <c r="C44" s="283" t="s">
        <v>74</v>
      </c>
      <c r="D44" s="283" t="s">
        <v>16</v>
      </c>
      <c r="E44" s="283" t="s">
        <v>14</v>
      </c>
      <c r="F44" s="283" t="s">
        <v>16</v>
      </c>
      <c r="G44" s="284" t="s">
        <v>17</v>
      </c>
      <c r="H44" s="284" t="s">
        <v>14</v>
      </c>
      <c r="I44" s="285" t="s">
        <v>75</v>
      </c>
      <c r="J44" s="286">
        <v>1410000</v>
      </c>
      <c r="K44" s="286"/>
      <c r="L44" s="286">
        <f t="shared" si="0"/>
        <v>1410000</v>
      </c>
      <c r="M44" s="286">
        <v>1410000</v>
      </c>
      <c r="N44" s="286"/>
      <c r="O44" s="286">
        <f t="shared" si="1"/>
        <v>1410000</v>
      </c>
    </row>
    <row r="45" spans="1:15" ht="15.75" x14ac:dyDescent="0.2">
      <c r="A45" s="283" t="s">
        <v>14</v>
      </c>
      <c r="B45" s="283" t="s">
        <v>15</v>
      </c>
      <c r="C45" s="283" t="s">
        <v>76</v>
      </c>
      <c r="D45" s="283" t="s">
        <v>16</v>
      </c>
      <c r="E45" s="283" t="s">
        <v>14</v>
      </c>
      <c r="F45" s="283" t="s">
        <v>16</v>
      </c>
      <c r="G45" s="284" t="s">
        <v>17</v>
      </c>
      <c r="H45" s="284" t="s">
        <v>14</v>
      </c>
      <c r="I45" s="285" t="s">
        <v>77</v>
      </c>
      <c r="J45" s="286">
        <v>0</v>
      </c>
      <c r="K45" s="289"/>
      <c r="L45" s="286">
        <f t="shared" si="0"/>
        <v>0</v>
      </c>
      <c r="M45" s="286">
        <v>0</v>
      </c>
      <c r="N45" s="286"/>
      <c r="O45" s="286">
        <f t="shared" si="1"/>
        <v>0</v>
      </c>
    </row>
    <row r="46" spans="1:15" ht="15.75" x14ac:dyDescent="0.2">
      <c r="A46" s="283" t="s">
        <v>14</v>
      </c>
      <c r="B46" s="283" t="s">
        <v>78</v>
      </c>
      <c r="C46" s="283" t="s">
        <v>16</v>
      </c>
      <c r="D46" s="283" t="s">
        <v>16</v>
      </c>
      <c r="E46" s="283" t="s">
        <v>14</v>
      </c>
      <c r="F46" s="283" t="s">
        <v>16</v>
      </c>
      <c r="G46" s="297" t="s">
        <v>17</v>
      </c>
      <c r="H46" s="297" t="s">
        <v>14</v>
      </c>
      <c r="I46" s="298" t="s">
        <v>79</v>
      </c>
      <c r="J46" s="290">
        <v>2027385448</v>
      </c>
      <c r="K46" s="290">
        <f>K47</f>
        <v>0</v>
      </c>
      <c r="L46" s="286">
        <f t="shared" si="0"/>
        <v>2027385448</v>
      </c>
      <c r="M46" s="290">
        <v>1993923354</v>
      </c>
      <c r="N46" s="290">
        <f>N47</f>
        <v>0</v>
      </c>
      <c r="O46" s="286">
        <f t="shared" si="1"/>
        <v>1993923354</v>
      </c>
    </row>
    <row r="47" spans="1:15" ht="47.25" x14ac:dyDescent="0.2">
      <c r="A47" s="283" t="s">
        <v>14</v>
      </c>
      <c r="B47" s="283" t="s">
        <v>78</v>
      </c>
      <c r="C47" s="283" t="s">
        <v>21</v>
      </c>
      <c r="D47" s="283" t="s">
        <v>16</v>
      </c>
      <c r="E47" s="283" t="s">
        <v>14</v>
      </c>
      <c r="F47" s="283" t="s">
        <v>16</v>
      </c>
      <c r="G47" s="297" t="s">
        <v>17</v>
      </c>
      <c r="H47" s="297" t="s">
        <v>14</v>
      </c>
      <c r="I47" s="298" t="s">
        <v>80</v>
      </c>
      <c r="J47" s="290">
        <v>2027385448</v>
      </c>
      <c r="K47" s="290">
        <f>K48+K50+K61+K106</f>
        <v>0</v>
      </c>
      <c r="L47" s="286">
        <f t="shared" si="0"/>
        <v>2027385448</v>
      </c>
      <c r="M47" s="290">
        <v>1993923354</v>
      </c>
      <c r="N47" s="290">
        <f>N48+N50+N61+N106</f>
        <v>0</v>
      </c>
      <c r="O47" s="286">
        <f t="shared" si="1"/>
        <v>1993923354</v>
      </c>
    </row>
    <row r="48" spans="1:15" ht="31.5" x14ac:dyDescent="0.2">
      <c r="A48" s="283" t="s">
        <v>83</v>
      </c>
      <c r="B48" s="283" t="s">
        <v>78</v>
      </c>
      <c r="C48" s="283" t="s">
        <v>21</v>
      </c>
      <c r="D48" s="283" t="s">
        <v>70</v>
      </c>
      <c r="E48" s="283" t="s">
        <v>14</v>
      </c>
      <c r="F48" s="283" t="s">
        <v>16</v>
      </c>
      <c r="G48" s="297" t="s">
        <v>17</v>
      </c>
      <c r="H48" s="297" t="s">
        <v>1173</v>
      </c>
      <c r="I48" s="298" t="s">
        <v>82</v>
      </c>
      <c r="J48" s="290">
        <v>290771000</v>
      </c>
      <c r="K48" s="290">
        <f>K49</f>
        <v>0</v>
      </c>
      <c r="L48" s="286">
        <f t="shared" si="0"/>
        <v>290771000</v>
      </c>
      <c r="M48" s="290">
        <v>100418000</v>
      </c>
      <c r="N48" s="290"/>
      <c r="O48" s="286">
        <f t="shared" si="1"/>
        <v>100418000</v>
      </c>
    </row>
    <row r="49" spans="1:15" ht="47.25" x14ac:dyDescent="0.2">
      <c r="A49" s="287" t="s">
        <v>83</v>
      </c>
      <c r="B49" s="287" t="s">
        <v>78</v>
      </c>
      <c r="C49" s="287" t="s">
        <v>21</v>
      </c>
      <c r="D49" s="287" t="s">
        <v>663</v>
      </c>
      <c r="E49" s="287" t="s">
        <v>84</v>
      </c>
      <c r="F49" s="287" t="s">
        <v>28</v>
      </c>
      <c r="G49" s="299" t="s">
        <v>17</v>
      </c>
      <c r="H49" s="299" t="s">
        <v>1173</v>
      </c>
      <c r="I49" s="300" t="s">
        <v>85</v>
      </c>
      <c r="J49" s="289">
        <v>290771000</v>
      </c>
      <c r="K49" s="289"/>
      <c r="L49" s="289">
        <f t="shared" si="0"/>
        <v>290771000</v>
      </c>
      <c r="M49" s="289">
        <v>100418000</v>
      </c>
      <c r="N49" s="289"/>
      <c r="O49" s="289">
        <f t="shared" si="1"/>
        <v>100418000</v>
      </c>
    </row>
    <row r="50" spans="1:15" ht="47.25" x14ac:dyDescent="0.2">
      <c r="A50" s="283" t="s">
        <v>14</v>
      </c>
      <c r="B50" s="283" t="s">
        <v>78</v>
      </c>
      <c r="C50" s="283" t="s">
        <v>21</v>
      </c>
      <c r="D50" s="283" t="s">
        <v>1070</v>
      </c>
      <c r="E50" s="283" t="s">
        <v>14</v>
      </c>
      <c r="F50" s="283" t="s">
        <v>16</v>
      </c>
      <c r="G50" s="297" t="s">
        <v>17</v>
      </c>
      <c r="H50" s="297" t="s">
        <v>1173</v>
      </c>
      <c r="I50" s="298" t="s">
        <v>87</v>
      </c>
      <c r="J50" s="669">
        <v>69524674</v>
      </c>
      <c r="K50" s="669">
        <f t="shared" ref="K50:L50" si="5">SUM(K51:K60)</f>
        <v>0</v>
      </c>
      <c r="L50" s="669">
        <f t="shared" si="5"/>
        <v>69524674</v>
      </c>
      <c r="M50" s="669">
        <v>311326004</v>
      </c>
      <c r="N50" s="669">
        <f>SUM(N51:N60)</f>
        <v>0</v>
      </c>
      <c r="O50" s="286">
        <f t="shared" si="1"/>
        <v>311326004</v>
      </c>
    </row>
    <row r="51" spans="1:15" ht="31.5" x14ac:dyDescent="0.2">
      <c r="A51" s="287" t="s">
        <v>37</v>
      </c>
      <c r="B51" s="287" t="s">
        <v>78</v>
      </c>
      <c r="C51" s="287" t="s">
        <v>21</v>
      </c>
      <c r="D51" s="287" t="s">
        <v>1070</v>
      </c>
      <c r="E51" s="287" t="s">
        <v>89</v>
      </c>
      <c r="F51" s="287" t="s">
        <v>28</v>
      </c>
      <c r="G51" s="299" t="s">
        <v>17</v>
      </c>
      <c r="H51" s="299" t="s">
        <v>81</v>
      </c>
      <c r="I51" s="300" t="s">
        <v>90</v>
      </c>
      <c r="J51" s="671">
        <v>10771487</v>
      </c>
      <c r="K51" s="315"/>
      <c r="L51" s="289">
        <f t="shared" si="0"/>
        <v>10771487</v>
      </c>
      <c r="M51" s="671">
        <v>10771487</v>
      </c>
      <c r="N51" s="671"/>
      <c r="O51" s="289">
        <f t="shared" si="1"/>
        <v>10771487</v>
      </c>
    </row>
    <row r="52" spans="1:15" ht="31.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00" t="s">
        <v>1178</v>
      </c>
      <c r="J52" s="315">
        <v>13163000</v>
      </c>
      <c r="K52" s="315"/>
      <c r="L52" s="289">
        <f t="shared" si="0"/>
        <v>13163000</v>
      </c>
      <c r="M52" s="315">
        <v>0</v>
      </c>
      <c r="N52" s="315"/>
      <c r="O52" s="289">
        <f t="shared" si="1"/>
        <v>0</v>
      </c>
    </row>
    <row r="53" spans="1:15" ht="81" customHeight="1" x14ac:dyDescent="0.2">
      <c r="A53" s="23" t="s">
        <v>94</v>
      </c>
      <c r="B53" s="23" t="s">
        <v>78</v>
      </c>
      <c r="C53" s="23" t="s">
        <v>21</v>
      </c>
      <c r="D53" s="23" t="s">
        <v>1394</v>
      </c>
      <c r="E53" s="23" t="s">
        <v>1395</v>
      </c>
      <c r="F53" s="23" t="s">
        <v>28</v>
      </c>
      <c r="G53" s="29" t="s">
        <v>17</v>
      </c>
      <c r="H53" s="29" t="s">
        <v>1173</v>
      </c>
      <c r="I53" s="34" t="s">
        <v>1396</v>
      </c>
      <c r="J53" s="670">
        <v>1752215</v>
      </c>
      <c r="K53" s="315"/>
      <c r="L53" s="289">
        <f t="shared" si="0"/>
        <v>1752215</v>
      </c>
      <c r="M53" s="315">
        <v>1979665</v>
      </c>
      <c r="N53" s="315"/>
      <c r="O53" s="289">
        <f t="shared" si="1"/>
        <v>1979665</v>
      </c>
    </row>
    <row r="54" spans="1:15" ht="68.25" customHeight="1" x14ac:dyDescent="0.2">
      <c r="A54" s="287" t="s">
        <v>92</v>
      </c>
      <c r="B54" s="23" t="s">
        <v>78</v>
      </c>
      <c r="C54" s="23" t="s">
        <v>21</v>
      </c>
      <c r="D54" s="23" t="s">
        <v>1394</v>
      </c>
      <c r="E54" s="23" t="s">
        <v>1444</v>
      </c>
      <c r="F54" s="23" t="s">
        <v>28</v>
      </c>
      <c r="G54" s="542" t="s">
        <v>17</v>
      </c>
      <c r="H54" s="29" t="s">
        <v>1173</v>
      </c>
      <c r="I54" s="30" t="s">
        <v>1640</v>
      </c>
      <c r="J54" s="670">
        <v>164610</v>
      </c>
      <c r="K54" s="315"/>
      <c r="L54" s="289">
        <f t="shared" ref="L54:L55" si="6">J54+K54</f>
        <v>164610</v>
      </c>
      <c r="M54" s="315">
        <v>164610</v>
      </c>
      <c r="N54" s="315"/>
      <c r="O54" s="289">
        <f t="shared" si="1"/>
        <v>164610</v>
      </c>
    </row>
    <row r="55" spans="1:15" ht="63" x14ac:dyDescent="0.2">
      <c r="A55" s="287" t="s">
        <v>94</v>
      </c>
      <c r="B55" s="287" t="s">
        <v>78</v>
      </c>
      <c r="C55" s="287" t="s">
        <v>21</v>
      </c>
      <c r="D55" s="287" t="s">
        <v>1071</v>
      </c>
      <c r="E55" s="287" t="s">
        <v>93</v>
      </c>
      <c r="F55" s="287" t="s">
        <v>28</v>
      </c>
      <c r="G55" s="299" t="s">
        <v>1116</v>
      </c>
      <c r="H55" s="299" t="s">
        <v>1173</v>
      </c>
      <c r="I55" s="301" t="s">
        <v>95</v>
      </c>
      <c r="J55" s="670">
        <v>807497</v>
      </c>
      <c r="K55" s="667"/>
      <c r="L55" s="289">
        <f t="shared" si="6"/>
        <v>807497</v>
      </c>
      <c r="M55" s="315">
        <v>807497</v>
      </c>
      <c r="N55" s="315"/>
      <c r="O55" s="289">
        <f t="shared" si="1"/>
        <v>807497</v>
      </c>
    </row>
    <row r="56" spans="1:15" ht="63" x14ac:dyDescent="0.2">
      <c r="A56" s="287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299" t="s">
        <v>1176</v>
      </c>
      <c r="H56" s="29" t="s">
        <v>1173</v>
      </c>
      <c r="I56" s="30" t="s">
        <v>1175</v>
      </c>
      <c r="J56" s="315">
        <v>9074072</v>
      </c>
      <c r="K56" s="315"/>
      <c r="L56" s="289">
        <f>J56+K56</f>
        <v>9074072</v>
      </c>
      <c r="M56" s="315">
        <v>9074072</v>
      </c>
      <c r="N56" s="315"/>
      <c r="O56" s="289">
        <f t="shared" si="1"/>
        <v>9074072</v>
      </c>
    </row>
    <row r="57" spans="1:15" ht="47.25" x14ac:dyDescent="0.2">
      <c r="A57" s="287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299" t="s">
        <v>1174</v>
      </c>
      <c r="H57" s="29" t="s">
        <v>1173</v>
      </c>
      <c r="I57" s="30" t="s">
        <v>1177</v>
      </c>
      <c r="J57" s="315">
        <v>33344728</v>
      </c>
      <c r="K57" s="667"/>
      <c r="L57" s="289">
        <f t="shared" si="0"/>
        <v>33344728</v>
      </c>
      <c r="M57" s="315">
        <v>33344728</v>
      </c>
      <c r="N57" s="315"/>
      <c r="O57" s="289">
        <f t="shared" si="1"/>
        <v>33344728</v>
      </c>
    </row>
    <row r="58" spans="1:15" ht="31.5" x14ac:dyDescent="0.2">
      <c r="A58" s="287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299" t="s">
        <v>1641</v>
      </c>
      <c r="H58" s="29" t="s">
        <v>1173</v>
      </c>
      <c r="I58" s="30" t="s">
        <v>1642</v>
      </c>
      <c r="J58" s="315">
        <v>447065</v>
      </c>
      <c r="K58" s="667"/>
      <c r="L58" s="289">
        <f t="shared" si="0"/>
        <v>447065</v>
      </c>
      <c r="M58" s="315">
        <v>447065</v>
      </c>
      <c r="N58" s="315"/>
      <c r="O58" s="289">
        <f t="shared" si="1"/>
        <v>447065</v>
      </c>
    </row>
    <row r="59" spans="1:15" ht="77.25" customHeight="1" x14ac:dyDescent="0.2">
      <c r="A59" s="287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299" t="s">
        <v>1643</v>
      </c>
      <c r="H59" s="29" t="s">
        <v>1173</v>
      </c>
      <c r="I59" s="30" t="s">
        <v>1644</v>
      </c>
      <c r="J59" s="315">
        <v>0</v>
      </c>
      <c r="K59" s="667"/>
      <c r="L59" s="289">
        <f t="shared" si="0"/>
        <v>0</v>
      </c>
      <c r="M59" s="315">
        <v>254736880</v>
      </c>
      <c r="N59" s="315"/>
      <c r="O59" s="289">
        <f t="shared" si="1"/>
        <v>254736880</v>
      </c>
    </row>
    <row r="60" spans="1:15" ht="78.75" x14ac:dyDescent="0.2">
      <c r="A60" s="287" t="s">
        <v>92</v>
      </c>
      <c r="B60" s="23" t="s">
        <v>78</v>
      </c>
      <c r="C60" s="23" t="s">
        <v>21</v>
      </c>
      <c r="D60" s="23" t="s">
        <v>1394</v>
      </c>
      <c r="E60" s="23" t="s">
        <v>1444</v>
      </c>
      <c r="F60" s="23" t="s">
        <v>28</v>
      </c>
      <c r="G60" s="542" t="s">
        <v>17</v>
      </c>
      <c r="H60" s="29" t="s">
        <v>1173</v>
      </c>
      <c r="I60" s="301" t="s">
        <v>1558</v>
      </c>
      <c r="J60" s="315">
        <v>0</v>
      </c>
      <c r="K60" s="667"/>
      <c r="L60" s="286">
        <f t="shared" si="0"/>
        <v>0</v>
      </c>
      <c r="M60" s="315">
        <v>0</v>
      </c>
      <c r="N60" s="315"/>
      <c r="O60" s="286">
        <f t="shared" si="1"/>
        <v>0</v>
      </c>
    </row>
    <row r="61" spans="1:15" ht="47.25" x14ac:dyDescent="0.2">
      <c r="A61" s="283" t="s">
        <v>14</v>
      </c>
      <c r="B61" s="283" t="s">
        <v>78</v>
      </c>
      <c r="C61" s="283" t="s">
        <v>21</v>
      </c>
      <c r="D61" s="283" t="s">
        <v>1076</v>
      </c>
      <c r="E61" s="283" t="s">
        <v>14</v>
      </c>
      <c r="F61" s="283" t="s">
        <v>16</v>
      </c>
      <c r="G61" s="297" t="s">
        <v>17</v>
      </c>
      <c r="H61" s="297" t="s">
        <v>1173</v>
      </c>
      <c r="I61" s="298" t="s">
        <v>97</v>
      </c>
      <c r="J61" s="668">
        <v>1378227929</v>
      </c>
      <c r="K61" s="668">
        <f>SUM(K62:K105)</f>
        <v>0</v>
      </c>
      <c r="L61" s="286">
        <f>J61+K61</f>
        <v>1378227929</v>
      </c>
      <c r="M61" s="668">
        <v>1404572755</v>
      </c>
      <c r="N61" s="668">
        <f t="shared" ref="N61" si="7">SUM(N62:N105)</f>
        <v>0</v>
      </c>
      <c r="O61" s="286">
        <f t="shared" si="1"/>
        <v>1404572755</v>
      </c>
    </row>
    <row r="62" spans="1:15" ht="47.25" x14ac:dyDescent="0.2">
      <c r="A62" s="287" t="s">
        <v>98</v>
      </c>
      <c r="B62" s="287" t="s">
        <v>78</v>
      </c>
      <c r="C62" s="287" t="s">
        <v>21</v>
      </c>
      <c r="D62" s="287" t="s">
        <v>1076</v>
      </c>
      <c r="E62" s="287" t="s">
        <v>1181</v>
      </c>
      <c r="F62" s="287" t="s">
        <v>28</v>
      </c>
      <c r="G62" s="299" t="s">
        <v>17</v>
      </c>
      <c r="H62" s="299" t="s">
        <v>1173</v>
      </c>
      <c r="I62" s="30" t="s">
        <v>101</v>
      </c>
      <c r="J62" s="316">
        <v>28658000</v>
      </c>
      <c r="K62" s="667"/>
      <c r="L62" s="289">
        <f t="shared" si="0"/>
        <v>28658000</v>
      </c>
      <c r="M62" s="316">
        <v>28658000</v>
      </c>
      <c r="N62" s="316"/>
      <c r="O62" s="289">
        <f t="shared" si="1"/>
        <v>28658000</v>
      </c>
    </row>
    <row r="63" spans="1:15" ht="63" x14ac:dyDescent="0.2">
      <c r="A63" s="287" t="s">
        <v>98</v>
      </c>
      <c r="B63" s="287" t="s">
        <v>78</v>
      </c>
      <c r="C63" s="287" t="s">
        <v>21</v>
      </c>
      <c r="D63" s="287" t="s">
        <v>1076</v>
      </c>
      <c r="E63" s="287" t="s">
        <v>102</v>
      </c>
      <c r="F63" s="287" t="s">
        <v>28</v>
      </c>
      <c r="G63" s="299" t="s">
        <v>1096</v>
      </c>
      <c r="H63" s="299" t="s">
        <v>1173</v>
      </c>
      <c r="I63" s="277" t="s">
        <v>105</v>
      </c>
      <c r="J63" s="315">
        <v>81572</v>
      </c>
      <c r="K63" s="667"/>
      <c r="L63" s="289">
        <f t="shared" si="0"/>
        <v>81572</v>
      </c>
      <c r="M63" s="315">
        <v>84833</v>
      </c>
      <c r="N63" s="315"/>
      <c r="O63" s="289">
        <f t="shared" si="1"/>
        <v>84833</v>
      </c>
    </row>
    <row r="64" spans="1:15" ht="47.25" x14ac:dyDescent="0.2">
      <c r="A64" s="287" t="s">
        <v>98</v>
      </c>
      <c r="B64" s="287" t="s">
        <v>78</v>
      </c>
      <c r="C64" s="287" t="s">
        <v>21</v>
      </c>
      <c r="D64" s="287" t="s">
        <v>1076</v>
      </c>
      <c r="E64" s="287" t="s">
        <v>102</v>
      </c>
      <c r="F64" s="287" t="s">
        <v>28</v>
      </c>
      <c r="G64" s="299" t="s">
        <v>1097</v>
      </c>
      <c r="H64" s="299" t="s">
        <v>1173</v>
      </c>
      <c r="I64" s="277" t="s">
        <v>1140</v>
      </c>
      <c r="J64" s="316">
        <v>2577467</v>
      </c>
      <c r="K64" s="667"/>
      <c r="L64" s="289">
        <f t="shared" si="0"/>
        <v>2577467</v>
      </c>
      <c r="M64" s="316">
        <v>2680620</v>
      </c>
      <c r="N64" s="316"/>
      <c r="O64" s="289">
        <f t="shared" si="1"/>
        <v>2680620</v>
      </c>
    </row>
    <row r="65" spans="1:15" ht="78.75" x14ac:dyDescent="0.2">
      <c r="A65" s="287" t="s">
        <v>98</v>
      </c>
      <c r="B65" s="287" t="s">
        <v>78</v>
      </c>
      <c r="C65" s="287" t="s">
        <v>21</v>
      </c>
      <c r="D65" s="287" t="s">
        <v>1076</v>
      </c>
      <c r="E65" s="287" t="s">
        <v>102</v>
      </c>
      <c r="F65" s="287" t="s">
        <v>28</v>
      </c>
      <c r="G65" s="299" t="s">
        <v>1098</v>
      </c>
      <c r="H65" s="299" t="s">
        <v>1173</v>
      </c>
      <c r="I65" s="277" t="s">
        <v>106</v>
      </c>
      <c r="J65" s="316">
        <v>68101000</v>
      </c>
      <c r="K65" s="667"/>
      <c r="L65" s="289">
        <f t="shared" si="0"/>
        <v>68101000</v>
      </c>
      <c r="M65" s="316">
        <v>68101000</v>
      </c>
      <c r="N65" s="316"/>
      <c r="O65" s="289">
        <f t="shared" si="1"/>
        <v>68101000</v>
      </c>
    </row>
    <row r="66" spans="1:15" ht="78.75" x14ac:dyDescent="0.2">
      <c r="A66" s="287" t="s">
        <v>94</v>
      </c>
      <c r="B66" s="287" t="s">
        <v>78</v>
      </c>
      <c r="C66" s="287" t="s">
        <v>21</v>
      </c>
      <c r="D66" s="287" t="s">
        <v>1076</v>
      </c>
      <c r="E66" s="287" t="s">
        <v>102</v>
      </c>
      <c r="F66" s="287" t="s">
        <v>28</v>
      </c>
      <c r="G66" s="299" t="s">
        <v>1113</v>
      </c>
      <c r="H66" s="299" t="s">
        <v>1173</v>
      </c>
      <c r="I66" s="277" t="s">
        <v>1145</v>
      </c>
      <c r="J66" s="316">
        <v>5281330</v>
      </c>
      <c r="K66" s="667"/>
      <c r="L66" s="289">
        <f t="shared" si="0"/>
        <v>5281330</v>
      </c>
      <c r="M66" s="316">
        <v>5281330</v>
      </c>
      <c r="N66" s="316"/>
      <c r="O66" s="289">
        <f t="shared" si="1"/>
        <v>5281330</v>
      </c>
    </row>
    <row r="67" spans="1:15" ht="47.25" x14ac:dyDescent="0.2">
      <c r="A67" s="287" t="s">
        <v>94</v>
      </c>
      <c r="B67" s="287" t="s">
        <v>78</v>
      </c>
      <c r="C67" s="287" t="s">
        <v>21</v>
      </c>
      <c r="D67" s="287" t="s">
        <v>1076</v>
      </c>
      <c r="E67" s="287" t="s">
        <v>102</v>
      </c>
      <c r="F67" s="287" t="s">
        <v>28</v>
      </c>
      <c r="G67" s="299" t="s">
        <v>1110</v>
      </c>
      <c r="H67" s="299" t="s">
        <v>1173</v>
      </c>
      <c r="I67" s="277" t="s">
        <v>117</v>
      </c>
      <c r="J67" s="316">
        <v>149601</v>
      </c>
      <c r="K67" s="667"/>
      <c r="L67" s="289">
        <f t="shared" si="0"/>
        <v>149601</v>
      </c>
      <c r="M67" s="316">
        <v>149601</v>
      </c>
      <c r="N67" s="316"/>
      <c r="O67" s="289">
        <f t="shared" si="1"/>
        <v>149601</v>
      </c>
    </row>
    <row r="68" spans="1:15" ht="94.5" x14ac:dyDescent="0.2">
      <c r="A68" s="287" t="s">
        <v>94</v>
      </c>
      <c r="B68" s="287" t="s">
        <v>78</v>
      </c>
      <c r="C68" s="287" t="s">
        <v>21</v>
      </c>
      <c r="D68" s="287" t="s">
        <v>1076</v>
      </c>
      <c r="E68" s="287" t="s">
        <v>102</v>
      </c>
      <c r="F68" s="287" t="s">
        <v>28</v>
      </c>
      <c r="G68" s="299" t="s">
        <v>1108</v>
      </c>
      <c r="H68" s="299" t="s">
        <v>1173</v>
      </c>
      <c r="I68" s="277" t="s">
        <v>115</v>
      </c>
      <c r="J68" s="315">
        <v>9205899</v>
      </c>
      <c r="K68" s="667"/>
      <c r="L68" s="289">
        <f t="shared" si="0"/>
        <v>9205899</v>
      </c>
      <c r="M68" s="315">
        <v>9205899</v>
      </c>
      <c r="N68" s="315"/>
      <c r="O68" s="289">
        <f t="shared" si="1"/>
        <v>9205899</v>
      </c>
    </row>
    <row r="69" spans="1:15" ht="31.5" x14ac:dyDescent="0.2">
      <c r="A69" s="287" t="s">
        <v>94</v>
      </c>
      <c r="B69" s="287" t="s">
        <v>78</v>
      </c>
      <c r="C69" s="287" t="s">
        <v>21</v>
      </c>
      <c r="D69" s="287" t="s">
        <v>1076</v>
      </c>
      <c r="E69" s="287" t="s">
        <v>102</v>
      </c>
      <c r="F69" s="287" t="s">
        <v>28</v>
      </c>
      <c r="G69" s="299" t="s">
        <v>1106</v>
      </c>
      <c r="H69" s="299" t="s">
        <v>1173</v>
      </c>
      <c r="I69" s="277" t="s">
        <v>113</v>
      </c>
      <c r="J69" s="315">
        <v>3542684</v>
      </c>
      <c r="K69" s="315"/>
      <c r="L69" s="289">
        <f t="shared" si="0"/>
        <v>3542684</v>
      </c>
      <c r="M69" s="315">
        <v>3542684</v>
      </c>
      <c r="N69" s="315"/>
      <c r="O69" s="289">
        <f t="shared" si="1"/>
        <v>3542684</v>
      </c>
    </row>
    <row r="70" spans="1:15" ht="47.25" x14ac:dyDescent="0.2">
      <c r="A70" s="287" t="s">
        <v>94</v>
      </c>
      <c r="B70" s="287" t="s">
        <v>78</v>
      </c>
      <c r="C70" s="287" t="s">
        <v>21</v>
      </c>
      <c r="D70" s="287" t="s">
        <v>1076</v>
      </c>
      <c r="E70" s="287" t="s">
        <v>102</v>
      </c>
      <c r="F70" s="287" t="s">
        <v>28</v>
      </c>
      <c r="G70" s="299" t="s">
        <v>1093</v>
      </c>
      <c r="H70" s="299" t="s">
        <v>1173</v>
      </c>
      <c r="I70" s="277" t="s">
        <v>103</v>
      </c>
      <c r="J70" s="315">
        <v>236317535</v>
      </c>
      <c r="K70" s="315"/>
      <c r="L70" s="289">
        <f t="shared" si="0"/>
        <v>236317535</v>
      </c>
      <c r="M70" s="315">
        <v>236317535</v>
      </c>
      <c r="N70" s="315"/>
      <c r="O70" s="289">
        <f t="shared" si="1"/>
        <v>236317535</v>
      </c>
    </row>
    <row r="71" spans="1:15" ht="47.25" x14ac:dyDescent="0.2">
      <c r="A71" s="287" t="s">
        <v>94</v>
      </c>
      <c r="B71" s="287" t="s">
        <v>78</v>
      </c>
      <c r="C71" s="287" t="s">
        <v>21</v>
      </c>
      <c r="D71" s="287" t="s">
        <v>1076</v>
      </c>
      <c r="E71" s="287" t="s">
        <v>102</v>
      </c>
      <c r="F71" s="287" t="s">
        <v>28</v>
      </c>
      <c r="G71" s="299" t="s">
        <v>1107</v>
      </c>
      <c r="H71" s="299" t="s">
        <v>1173</v>
      </c>
      <c r="I71" s="277" t="s">
        <v>114</v>
      </c>
      <c r="J71" s="315">
        <v>408283400</v>
      </c>
      <c r="K71" s="315"/>
      <c r="L71" s="289">
        <f t="shared" si="0"/>
        <v>408283400</v>
      </c>
      <c r="M71" s="315">
        <v>408283400</v>
      </c>
      <c r="N71" s="315"/>
      <c r="O71" s="289">
        <f t="shared" si="1"/>
        <v>408283400</v>
      </c>
    </row>
    <row r="72" spans="1:15" ht="31.5" x14ac:dyDescent="0.2">
      <c r="A72" s="287" t="s">
        <v>94</v>
      </c>
      <c r="B72" s="287" t="s">
        <v>78</v>
      </c>
      <c r="C72" s="287" t="s">
        <v>21</v>
      </c>
      <c r="D72" s="287" t="s">
        <v>1076</v>
      </c>
      <c r="E72" s="287" t="s">
        <v>102</v>
      </c>
      <c r="F72" s="287" t="s">
        <v>28</v>
      </c>
      <c r="G72" s="299" t="s">
        <v>1094</v>
      </c>
      <c r="H72" s="299" t="s">
        <v>1173</v>
      </c>
      <c r="I72" s="277" t="s">
        <v>104</v>
      </c>
      <c r="J72" s="315">
        <v>21231600</v>
      </c>
      <c r="K72" s="667"/>
      <c r="L72" s="289">
        <f t="shared" si="0"/>
        <v>21231600</v>
      </c>
      <c r="M72" s="315">
        <v>21231600</v>
      </c>
      <c r="N72" s="315"/>
      <c r="O72" s="289">
        <f t="shared" si="1"/>
        <v>21231600</v>
      </c>
    </row>
    <row r="73" spans="1:15" ht="63" x14ac:dyDescent="0.2">
      <c r="A73" s="287" t="s">
        <v>94</v>
      </c>
      <c r="B73" s="287" t="s">
        <v>78</v>
      </c>
      <c r="C73" s="287" t="s">
        <v>21</v>
      </c>
      <c r="D73" s="287" t="s">
        <v>1076</v>
      </c>
      <c r="E73" s="287" t="s">
        <v>102</v>
      </c>
      <c r="F73" s="287" t="s">
        <v>28</v>
      </c>
      <c r="G73" s="299" t="s">
        <v>1111</v>
      </c>
      <c r="H73" s="299" t="s">
        <v>1173</v>
      </c>
      <c r="I73" s="277" t="s">
        <v>119</v>
      </c>
      <c r="J73" s="315">
        <v>27292878</v>
      </c>
      <c r="K73" s="315"/>
      <c r="L73" s="289">
        <f t="shared" si="0"/>
        <v>27292878</v>
      </c>
      <c r="M73" s="315">
        <v>27292878</v>
      </c>
      <c r="N73" s="315"/>
      <c r="O73" s="289">
        <f t="shared" si="1"/>
        <v>27292878</v>
      </c>
    </row>
    <row r="74" spans="1:15" ht="15.75" x14ac:dyDescent="0.2">
      <c r="A74" s="287" t="s">
        <v>98</v>
      </c>
      <c r="B74" s="287" t="s">
        <v>78</v>
      </c>
      <c r="C74" s="287" t="s">
        <v>21</v>
      </c>
      <c r="D74" s="287" t="s">
        <v>1076</v>
      </c>
      <c r="E74" s="287" t="s">
        <v>102</v>
      </c>
      <c r="F74" s="287" t="s">
        <v>28</v>
      </c>
      <c r="G74" s="299" t="s">
        <v>1102</v>
      </c>
      <c r="H74" s="299" t="s">
        <v>1173</v>
      </c>
      <c r="I74" s="277" t="s">
        <v>111</v>
      </c>
      <c r="J74" s="315">
        <v>20517823</v>
      </c>
      <c r="K74" s="315"/>
      <c r="L74" s="289">
        <f t="shared" si="0"/>
        <v>20517823</v>
      </c>
      <c r="M74" s="315">
        <v>20517823</v>
      </c>
      <c r="N74" s="315"/>
      <c r="O74" s="289">
        <f t="shared" si="1"/>
        <v>20517823</v>
      </c>
    </row>
    <row r="75" spans="1:15" ht="110.25" x14ac:dyDescent="0.2">
      <c r="A75" s="287" t="s">
        <v>98</v>
      </c>
      <c r="B75" s="287" t="s">
        <v>78</v>
      </c>
      <c r="C75" s="287" t="s">
        <v>21</v>
      </c>
      <c r="D75" s="287" t="s">
        <v>1076</v>
      </c>
      <c r="E75" s="287" t="s">
        <v>102</v>
      </c>
      <c r="F75" s="287" t="s">
        <v>28</v>
      </c>
      <c r="G75" s="299" t="s">
        <v>1109</v>
      </c>
      <c r="H75" s="299" t="s">
        <v>1173</v>
      </c>
      <c r="I75" s="277" t="s">
        <v>116</v>
      </c>
      <c r="J75" s="315">
        <v>84274175</v>
      </c>
      <c r="K75" s="315"/>
      <c r="L75" s="289">
        <f t="shared" si="0"/>
        <v>84274175</v>
      </c>
      <c r="M75" s="315">
        <v>84274175</v>
      </c>
      <c r="N75" s="315"/>
      <c r="O75" s="289">
        <f t="shared" si="1"/>
        <v>84274175</v>
      </c>
    </row>
    <row r="76" spans="1:15" ht="31.5" x14ac:dyDescent="0.2">
      <c r="A76" s="287" t="s">
        <v>98</v>
      </c>
      <c r="B76" s="287" t="s">
        <v>78</v>
      </c>
      <c r="C76" s="287" t="s">
        <v>21</v>
      </c>
      <c r="D76" s="287" t="s">
        <v>1076</v>
      </c>
      <c r="E76" s="287" t="s">
        <v>102</v>
      </c>
      <c r="F76" s="287" t="s">
        <v>28</v>
      </c>
      <c r="G76" s="299" t="s">
        <v>1103</v>
      </c>
      <c r="H76" s="299" t="s">
        <v>1173</v>
      </c>
      <c r="I76" s="277" t="s">
        <v>112</v>
      </c>
      <c r="J76" s="315">
        <v>2494000</v>
      </c>
      <c r="K76" s="315"/>
      <c r="L76" s="289">
        <f t="shared" si="0"/>
        <v>2494000</v>
      </c>
      <c r="M76" s="315">
        <v>2494000</v>
      </c>
      <c r="N76" s="315"/>
      <c r="O76" s="289">
        <f t="shared" si="1"/>
        <v>2494000</v>
      </c>
    </row>
    <row r="77" spans="1:15" ht="31.5" x14ac:dyDescent="0.2">
      <c r="A77" s="287" t="s">
        <v>98</v>
      </c>
      <c r="B77" s="287" t="s">
        <v>78</v>
      </c>
      <c r="C77" s="287" t="s">
        <v>21</v>
      </c>
      <c r="D77" s="287" t="s">
        <v>1076</v>
      </c>
      <c r="E77" s="287" t="s">
        <v>102</v>
      </c>
      <c r="F77" s="287" t="s">
        <v>28</v>
      </c>
      <c r="G77" s="299" t="s">
        <v>1104</v>
      </c>
      <c r="H77" s="299" t="s">
        <v>1173</v>
      </c>
      <c r="I77" s="277" t="s">
        <v>1555</v>
      </c>
      <c r="J77" s="315">
        <v>29440000</v>
      </c>
      <c r="K77" s="667"/>
      <c r="L77" s="289">
        <f t="shared" si="0"/>
        <v>29440000</v>
      </c>
      <c r="M77" s="315">
        <v>29440000</v>
      </c>
      <c r="N77" s="315"/>
      <c r="O77" s="289">
        <f t="shared" si="1"/>
        <v>29440000</v>
      </c>
    </row>
    <row r="78" spans="1:15" ht="78.75" x14ac:dyDescent="0.2">
      <c r="A78" s="287" t="s">
        <v>98</v>
      </c>
      <c r="B78" s="287" t="s">
        <v>78</v>
      </c>
      <c r="C78" s="287" t="s">
        <v>21</v>
      </c>
      <c r="D78" s="287" t="s">
        <v>1076</v>
      </c>
      <c r="E78" s="287" t="s">
        <v>102</v>
      </c>
      <c r="F78" s="287" t="s">
        <v>28</v>
      </c>
      <c r="G78" s="299" t="s">
        <v>1105</v>
      </c>
      <c r="H78" s="299" t="s">
        <v>1173</v>
      </c>
      <c r="I78" s="277" t="s">
        <v>1554</v>
      </c>
      <c r="J78" s="315">
        <v>38653000</v>
      </c>
      <c r="K78" s="667"/>
      <c r="L78" s="289">
        <f t="shared" si="0"/>
        <v>38653000</v>
      </c>
      <c r="M78" s="315">
        <v>38653000</v>
      </c>
      <c r="N78" s="315"/>
      <c r="O78" s="289">
        <f t="shared" si="1"/>
        <v>38653000</v>
      </c>
    </row>
    <row r="79" spans="1:15" ht="78.75" x14ac:dyDescent="0.2">
      <c r="A79" s="287" t="s">
        <v>37</v>
      </c>
      <c r="B79" s="287" t="s">
        <v>78</v>
      </c>
      <c r="C79" s="287" t="s">
        <v>21</v>
      </c>
      <c r="D79" s="287" t="s">
        <v>1076</v>
      </c>
      <c r="E79" s="287" t="s">
        <v>102</v>
      </c>
      <c r="F79" s="287" t="s">
        <v>28</v>
      </c>
      <c r="G79" s="299" t="s">
        <v>1115</v>
      </c>
      <c r="H79" s="299" t="s">
        <v>1173</v>
      </c>
      <c r="I79" s="277" t="s">
        <v>122</v>
      </c>
      <c r="J79" s="315">
        <v>4590</v>
      </c>
      <c r="K79" s="667"/>
      <c r="L79" s="315">
        <f t="shared" si="0"/>
        <v>4590</v>
      </c>
      <c r="M79" s="315">
        <v>4590</v>
      </c>
      <c r="N79" s="667"/>
      <c r="O79" s="289">
        <f t="shared" si="1"/>
        <v>4590</v>
      </c>
    </row>
    <row r="80" spans="1:15" ht="47.25" x14ac:dyDescent="0.2">
      <c r="A80" s="287" t="s">
        <v>37</v>
      </c>
      <c r="B80" s="287" t="s">
        <v>78</v>
      </c>
      <c r="C80" s="287" t="s">
        <v>21</v>
      </c>
      <c r="D80" s="287" t="s">
        <v>1076</v>
      </c>
      <c r="E80" s="287" t="s">
        <v>102</v>
      </c>
      <c r="F80" s="287" t="s">
        <v>28</v>
      </c>
      <c r="G80" s="299" t="s">
        <v>1114</v>
      </c>
      <c r="H80" s="299" t="s">
        <v>1173</v>
      </c>
      <c r="I80" s="277" t="s">
        <v>1551</v>
      </c>
      <c r="J80" s="315">
        <v>757500</v>
      </c>
      <c r="K80" s="667"/>
      <c r="L80" s="289">
        <f t="shared" ref="L80:L125" si="8">J80+K80</f>
        <v>757500</v>
      </c>
      <c r="M80" s="315">
        <v>757500</v>
      </c>
      <c r="N80" s="315"/>
      <c r="O80" s="289">
        <f t="shared" ref="O80:O126" si="9">M80+N80</f>
        <v>757500</v>
      </c>
    </row>
    <row r="81" spans="1:15" ht="47.25" x14ac:dyDescent="0.2">
      <c r="A81" s="302">
        <v>950</v>
      </c>
      <c r="B81" s="303" t="s">
        <v>78</v>
      </c>
      <c r="C81" s="303" t="s">
        <v>21</v>
      </c>
      <c r="D81" s="303" t="s">
        <v>1076</v>
      </c>
      <c r="E81" s="303" t="s">
        <v>102</v>
      </c>
      <c r="F81" s="303" t="s">
        <v>28</v>
      </c>
      <c r="G81" s="303" t="s">
        <v>1095</v>
      </c>
      <c r="H81" s="303" t="s">
        <v>1173</v>
      </c>
      <c r="I81" s="277" t="s">
        <v>107</v>
      </c>
      <c r="J81" s="315">
        <v>2779530</v>
      </c>
      <c r="K81" s="315"/>
      <c r="L81" s="289">
        <f t="shared" si="8"/>
        <v>2779530</v>
      </c>
      <c r="M81" s="315">
        <v>2779530</v>
      </c>
      <c r="N81" s="315"/>
      <c r="O81" s="289">
        <f t="shared" si="9"/>
        <v>2779530</v>
      </c>
    </row>
    <row r="82" spans="1:15" ht="47.25" x14ac:dyDescent="0.2">
      <c r="A82" s="287" t="s">
        <v>98</v>
      </c>
      <c r="B82" s="287" t="s">
        <v>78</v>
      </c>
      <c r="C82" s="287" t="s">
        <v>21</v>
      </c>
      <c r="D82" s="287" t="s">
        <v>1076</v>
      </c>
      <c r="E82" s="287" t="s">
        <v>102</v>
      </c>
      <c r="F82" s="287" t="s">
        <v>28</v>
      </c>
      <c r="G82" s="299" t="s">
        <v>1099</v>
      </c>
      <c r="H82" s="299" t="s">
        <v>1173</v>
      </c>
      <c r="I82" s="277" t="s">
        <v>108</v>
      </c>
      <c r="J82" s="315">
        <v>15695520</v>
      </c>
      <c r="K82" s="315"/>
      <c r="L82" s="289">
        <f t="shared" si="8"/>
        <v>15695520</v>
      </c>
      <c r="M82" s="315">
        <v>15695520</v>
      </c>
      <c r="N82" s="315"/>
      <c r="O82" s="289">
        <f t="shared" si="9"/>
        <v>15695520</v>
      </c>
    </row>
    <row r="83" spans="1:15" ht="31.5" x14ac:dyDescent="0.2">
      <c r="A83" s="287" t="s">
        <v>94</v>
      </c>
      <c r="B83" s="287" t="s">
        <v>78</v>
      </c>
      <c r="C83" s="287" t="s">
        <v>21</v>
      </c>
      <c r="D83" s="287" t="s">
        <v>1076</v>
      </c>
      <c r="E83" s="287" t="s">
        <v>102</v>
      </c>
      <c r="F83" s="287" t="s">
        <v>28</v>
      </c>
      <c r="G83" s="299" t="s">
        <v>1100</v>
      </c>
      <c r="H83" s="299" t="s">
        <v>1173</v>
      </c>
      <c r="I83" s="277" t="s">
        <v>109</v>
      </c>
      <c r="J83" s="315">
        <v>4315658</v>
      </c>
      <c r="K83" s="315"/>
      <c r="L83" s="289">
        <f t="shared" si="8"/>
        <v>4315658</v>
      </c>
      <c r="M83" s="315">
        <v>4315658</v>
      </c>
      <c r="N83" s="315"/>
      <c r="O83" s="289">
        <f t="shared" si="9"/>
        <v>4315658</v>
      </c>
    </row>
    <row r="84" spans="1:15" ht="47.25" x14ac:dyDescent="0.2">
      <c r="A84" s="287" t="s">
        <v>37</v>
      </c>
      <c r="B84" s="287" t="s">
        <v>78</v>
      </c>
      <c r="C84" s="287" t="s">
        <v>21</v>
      </c>
      <c r="D84" s="287" t="s">
        <v>1076</v>
      </c>
      <c r="E84" s="287" t="s">
        <v>102</v>
      </c>
      <c r="F84" s="287" t="s">
        <v>28</v>
      </c>
      <c r="G84" s="299" t="s">
        <v>1101</v>
      </c>
      <c r="H84" s="299" t="s">
        <v>1173</v>
      </c>
      <c r="I84" s="277" t="s">
        <v>110</v>
      </c>
      <c r="J84" s="315">
        <v>340175</v>
      </c>
      <c r="K84" s="315"/>
      <c r="L84" s="289">
        <f t="shared" si="8"/>
        <v>340175</v>
      </c>
      <c r="M84" s="315">
        <v>340175</v>
      </c>
      <c r="N84" s="315"/>
      <c r="O84" s="289">
        <f t="shared" si="9"/>
        <v>340175</v>
      </c>
    </row>
    <row r="85" spans="1:15" ht="47.25" x14ac:dyDescent="0.2">
      <c r="A85" s="287" t="s">
        <v>94</v>
      </c>
      <c r="B85" s="287" t="s">
        <v>78</v>
      </c>
      <c r="C85" s="287" t="s">
        <v>21</v>
      </c>
      <c r="D85" s="287" t="s">
        <v>1076</v>
      </c>
      <c r="E85" s="287" t="s">
        <v>102</v>
      </c>
      <c r="F85" s="287" t="s">
        <v>28</v>
      </c>
      <c r="G85" s="299" t="s">
        <v>1112</v>
      </c>
      <c r="H85" s="299" t="s">
        <v>1173</v>
      </c>
      <c r="I85" s="277" t="s">
        <v>118</v>
      </c>
      <c r="J85" s="315">
        <v>24933</v>
      </c>
      <c r="K85" s="667"/>
      <c r="L85" s="289">
        <f t="shared" si="8"/>
        <v>24933</v>
      </c>
      <c r="M85" s="315">
        <v>24933</v>
      </c>
      <c r="N85" s="315"/>
      <c r="O85" s="289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1400</v>
      </c>
      <c r="J86" s="315">
        <v>647000</v>
      </c>
      <c r="K86" s="667"/>
      <c r="L86" s="289">
        <f t="shared" si="8"/>
        <v>647000</v>
      </c>
      <c r="M86" s="315">
        <v>730000</v>
      </c>
      <c r="N86" s="315"/>
      <c r="O86" s="289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15">
        <v>30317</v>
      </c>
      <c r="K87" s="667"/>
      <c r="L87" s="289">
        <f t="shared" si="8"/>
        <v>30317</v>
      </c>
      <c r="M87" s="315">
        <v>30317</v>
      </c>
      <c r="N87" s="315"/>
      <c r="O87" s="289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1523</v>
      </c>
      <c r="H88" s="29" t="s">
        <v>1173</v>
      </c>
      <c r="I88" s="18" t="s">
        <v>1552</v>
      </c>
      <c r="J88" s="315">
        <v>257038</v>
      </c>
      <c r="K88" s="315"/>
      <c r="L88" s="289">
        <f t="shared" si="8"/>
        <v>257038</v>
      </c>
      <c r="M88" s="315">
        <v>257038</v>
      </c>
      <c r="N88" s="315"/>
      <c r="O88" s="289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1503</v>
      </c>
      <c r="H89" s="29" t="s">
        <v>1173</v>
      </c>
      <c r="I89" s="18" t="s">
        <v>1504</v>
      </c>
      <c r="J89" s="315">
        <v>1707913</v>
      </c>
      <c r="K89" s="667"/>
      <c r="L89" s="289">
        <f t="shared" si="8"/>
        <v>1707913</v>
      </c>
      <c r="M89" s="315">
        <v>1893689</v>
      </c>
      <c r="N89" s="315"/>
      <c r="O89" s="289">
        <f t="shared" si="9"/>
        <v>1893689</v>
      </c>
    </row>
    <row r="90" spans="1:15" ht="78.75" x14ac:dyDescent="0.2">
      <c r="A90" s="287" t="s">
        <v>98</v>
      </c>
      <c r="B90" s="287" t="s">
        <v>78</v>
      </c>
      <c r="C90" s="287" t="s">
        <v>21</v>
      </c>
      <c r="D90" s="287" t="s">
        <v>1072</v>
      </c>
      <c r="E90" s="287" t="s">
        <v>1141</v>
      </c>
      <c r="F90" s="287" t="s">
        <v>28</v>
      </c>
      <c r="G90" s="299" t="s">
        <v>17</v>
      </c>
      <c r="H90" s="299" t="s">
        <v>1173</v>
      </c>
      <c r="I90" s="277" t="s">
        <v>1399</v>
      </c>
      <c r="J90" s="315">
        <v>52131216</v>
      </c>
      <c r="K90" s="667"/>
      <c r="L90" s="289">
        <f t="shared" si="8"/>
        <v>52131216</v>
      </c>
      <c r="M90" s="315">
        <v>55281996</v>
      </c>
      <c r="N90" s="315"/>
      <c r="O90" s="289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16">
        <v>3059</v>
      </c>
      <c r="K91" s="667"/>
      <c r="L91" s="289">
        <f t="shared" si="8"/>
        <v>3059</v>
      </c>
      <c r="M91" s="316">
        <v>2726</v>
      </c>
      <c r="N91" s="316"/>
      <c r="O91" s="289">
        <f t="shared" si="9"/>
        <v>2726</v>
      </c>
    </row>
    <row r="92" spans="1:15" ht="94.5" x14ac:dyDescent="0.2">
      <c r="A92" s="287" t="s">
        <v>98</v>
      </c>
      <c r="B92" s="287" t="s">
        <v>78</v>
      </c>
      <c r="C92" s="287" t="s">
        <v>21</v>
      </c>
      <c r="D92" s="287" t="s">
        <v>1072</v>
      </c>
      <c r="E92" s="287" t="s">
        <v>1080</v>
      </c>
      <c r="F92" s="287" t="s">
        <v>28</v>
      </c>
      <c r="G92" s="299" t="s">
        <v>17</v>
      </c>
      <c r="H92" s="299" t="s">
        <v>1173</v>
      </c>
      <c r="I92" s="277" t="s">
        <v>125</v>
      </c>
      <c r="J92" s="315">
        <v>0</v>
      </c>
      <c r="K92" s="667"/>
      <c r="L92" s="289">
        <f t="shared" si="8"/>
        <v>0</v>
      </c>
      <c r="M92" s="315">
        <v>0</v>
      </c>
      <c r="N92" s="315"/>
      <c r="O92" s="289">
        <f t="shared" si="9"/>
        <v>0</v>
      </c>
    </row>
    <row r="93" spans="1:15" ht="94.5" x14ac:dyDescent="0.2">
      <c r="A93" s="287" t="s">
        <v>98</v>
      </c>
      <c r="B93" s="287" t="s">
        <v>78</v>
      </c>
      <c r="C93" s="287" t="s">
        <v>21</v>
      </c>
      <c r="D93" s="287" t="s">
        <v>1072</v>
      </c>
      <c r="E93" s="287" t="s">
        <v>1074</v>
      </c>
      <c r="F93" s="287" t="s">
        <v>28</v>
      </c>
      <c r="G93" s="299" t="s">
        <v>17</v>
      </c>
      <c r="H93" s="299" t="s">
        <v>1173</v>
      </c>
      <c r="I93" s="277" t="s">
        <v>99</v>
      </c>
      <c r="J93" s="316">
        <v>6552020</v>
      </c>
      <c r="K93" s="667"/>
      <c r="L93" s="289">
        <f t="shared" si="8"/>
        <v>6552020</v>
      </c>
      <c r="M93" s="316">
        <v>6814181</v>
      </c>
      <c r="N93" s="316"/>
      <c r="O93" s="289">
        <f t="shared" si="9"/>
        <v>6814181</v>
      </c>
    </row>
    <row r="94" spans="1:15" ht="94.5" x14ac:dyDescent="0.2">
      <c r="A94" s="287" t="s">
        <v>98</v>
      </c>
      <c r="B94" s="287" t="s">
        <v>78</v>
      </c>
      <c r="C94" s="287" t="s">
        <v>21</v>
      </c>
      <c r="D94" s="287" t="s">
        <v>1072</v>
      </c>
      <c r="E94" s="287" t="s">
        <v>1556</v>
      </c>
      <c r="F94" s="287" t="s">
        <v>28</v>
      </c>
      <c r="G94" s="299" t="s">
        <v>17</v>
      </c>
      <c r="H94" s="299" t="s">
        <v>1173</v>
      </c>
      <c r="I94" s="277" t="s">
        <v>1557</v>
      </c>
      <c r="J94" s="316">
        <v>0</v>
      </c>
      <c r="K94" s="667"/>
      <c r="L94" s="289">
        <f t="shared" si="8"/>
        <v>0</v>
      </c>
      <c r="M94" s="316">
        <v>0</v>
      </c>
      <c r="N94" s="316"/>
      <c r="O94" s="289">
        <f t="shared" si="9"/>
        <v>0</v>
      </c>
    </row>
    <row r="95" spans="1:15" ht="47.25" x14ac:dyDescent="0.2">
      <c r="A95" s="287" t="s">
        <v>98</v>
      </c>
      <c r="B95" s="287" t="s">
        <v>78</v>
      </c>
      <c r="C95" s="287" t="s">
        <v>21</v>
      </c>
      <c r="D95" s="287" t="s">
        <v>1072</v>
      </c>
      <c r="E95" s="287" t="s">
        <v>1073</v>
      </c>
      <c r="F95" s="287" t="s">
        <v>28</v>
      </c>
      <c r="G95" s="299" t="s">
        <v>17</v>
      </c>
      <c r="H95" s="299" t="s">
        <v>1173</v>
      </c>
      <c r="I95" s="277" t="s">
        <v>1646</v>
      </c>
      <c r="J95" s="316">
        <v>40985534</v>
      </c>
      <c r="K95" s="667"/>
      <c r="L95" s="289">
        <f t="shared" si="8"/>
        <v>40985534</v>
      </c>
      <c r="M95" s="316">
        <v>40985534</v>
      </c>
      <c r="N95" s="316"/>
      <c r="O95" s="289">
        <f t="shared" si="9"/>
        <v>40985534</v>
      </c>
    </row>
    <row r="96" spans="1:15" ht="63" x14ac:dyDescent="0.2">
      <c r="A96" s="287" t="s">
        <v>94</v>
      </c>
      <c r="B96" s="287" t="s">
        <v>78</v>
      </c>
      <c r="C96" s="287" t="s">
        <v>21</v>
      </c>
      <c r="D96" s="287" t="s">
        <v>1072</v>
      </c>
      <c r="E96" s="287" t="s">
        <v>1075</v>
      </c>
      <c r="F96" s="287" t="s">
        <v>28</v>
      </c>
      <c r="G96" s="299" t="s">
        <v>17</v>
      </c>
      <c r="H96" s="299" t="s">
        <v>1173</v>
      </c>
      <c r="I96" s="277" t="s">
        <v>100</v>
      </c>
      <c r="J96" s="315">
        <v>0</v>
      </c>
      <c r="K96" s="667"/>
      <c r="L96" s="289">
        <f t="shared" si="8"/>
        <v>0</v>
      </c>
      <c r="M96" s="315">
        <v>0</v>
      </c>
      <c r="N96" s="315"/>
      <c r="O96" s="289">
        <f t="shared" si="9"/>
        <v>0</v>
      </c>
    </row>
    <row r="97" spans="1:15" ht="110.25" x14ac:dyDescent="0.2">
      <c r="A97" s="287" t="s">
        <v>98</v>
      </c>
      <c r="B97" s="287" t="s">
        <v>78</v>
      </c>
      <c r="C97" s="287" t="s">
        <v>21</v>
      </c>
      <c r="D97" s="287" t="s">
        <v>1072</v>
      </c>
      <c r="E97" s="287" t="s">
        <v>1077</v>
      </c>
      <c r="F97" s="287" t="s">
        <v>28</v>
      </c>
      <c r="G97" s="299" t="s">
        <v>17</v>
      </c>
      <c r="H97" s="299" t="s">
        <v>1173</v>
      </c>
      <c r="I97" s="277" t="s">
        <v>123</v>
      </c>
      <c r="J97" s="315">
        <v>0</v>
      </c>
      <c r="K97" s="667"/>
      <c r="L97" s="289">
        <f t="shared" si="8"/>
        <v>0</v>
      </c>
      <c r="M97" s="315">
        <v>0</v>
      </c>
      <c r="N97" s="315"/>
      <c r="O97" s="289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1505</v>
      </c>
      <c r="F98" s="23" t="s">
        <v>28</v>
      </c>
      <c r="G98" s="29" t="s">
        <v>17</v>
      </c>
      <c r="H98" s="29" t="s">
        <v>1173</v>
      </c>
      <c r="I98" s="277" t="s">
        <v>1506</v>
      </c>
      <c r="J98" s="315">
        <v>136433748</v>
      </c>
      <c r="K98" s="667"/>
      <c r="L98" s="289">
        <f t="shared" si="8"/>
        <v>136433748</v>
      </c>
      <c r="M98" s="315">
        <v>151115300</v>
      </c>
      <c r="N98" s="315"/>
      <c r="O98" s="289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1507</v>
      </c>
      <c r="F99" s="23" t="s">
        <v>28</v>
      </c>
      <c r="G99" s="29" t="s">
        <v>17</v>
      </c>
      <c r="H99" s="29" t="s">
        <v>1173</v>
      </c>
      <c r="I99" s="18" t="s">
        <v>1521</v>
      </c>
      <c r="J99" s="315">
        <v>23201640</v>
      </c>
      <c r="K99" s="667"/>
      <c r="L99" s="315">
        <f t="shared" si="8"/>
        <v>23201640</v>
      </c>
      <c r="M99" s="315">
        <v>24764040</v>
      </c>
      <c r="N99" s="315"/>
      <c r="O99" s="315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1524</v>
      </c>
      <c r="F100" s="23" t="s">
        <v>28</v>
      </c>
      <c r="G100" s="29" t="s">
        <v>17</v>
      </c>
      <c r="H100" s="29" t="s">
        <v>1173</v>
      </c>
      <c r="I100" s="18" t="s">
        <v>1525</v>
      </c>
      <c r="J100" s="665">
        <v>28934503</v>
      </c>
      <c r="K100" s="667"/>
      <c r="L100" s="289">
        <f t="shared" si="8"/>
        <v>28934503</v>
      </c>
      <c r="M100" s="315">
        <v>29748117</v>
      </c>
      <c r="N100" s="315"/>
      <c r="O100" s="289">
        <f t="shared" si="9"/>
        <v>29748117</v>
      </c>
    </row>
    <row r="101" spans="1:15" ht="141.75" x14ac:dyDescent="0.2">
      <c r="A101" s="287" t="s">
        <v>98</v>
      </c>
      <c r="B101" s="287" t="s">
        <v>78</v>
      </c>
      <c r="C101" s="287" t="s">
        <v>21</v>
      </c>
      <c r="D101" s="287" t="s">
        <v>1072</v>
      </c>
      <c r="E101" s="287" t="s">
        <v>1079</v>
      </c>
      <c r="F101" s="287" t="s">
        <v>28</v>
      </c>
      <c r="G101" s="299" t="s">
        <v>17</v>
      </c>
      <c r="H101" s="299" t="s">
        <v>1173</v>
      </c>
      <c r="I101" s="277" t="s">
        <v>1398</v>
      </c>
      <c r="J101" s="315">
        <v>0</v>
      </c>
      <c r="K101" s="667"/>
      <c r="L101" s="289">
        <f t="shared" si="8"/>
        <v>0</v>
      </c>
      <c r="M101" s="315">
        <v>0</v>
      </c>
      <c r="N101" s="315"/>
      <c r="O101" s="289">
        <f t="shared" si="9"/>
        <v>0</v>
      </c>
    </row>
    <row r="102" spans="1:15" ht="78.75" x14ac:dyDescent="0.2">
      <c r="A102" s="23" t="s">
        <v>98</v>
      </c>
      <c r="B102" s="23" t="s">
        <v>78</v>
      </c>
      <c r="C102" s="23" t="s">
        <v>21</v>
      </c>
      <c r="D102" s="23" t="s">
        <v>1072</v>
      </c>
      <c r="E102" s="23" t="s">
        <v>1553</v>
      </c>
      <c r="F102" s="23" t="s">
        <v>28</v>
      </c>
      <c r="G102" s="29" t="s">
        <v>17</v>
      </c>
      <c r="H102" s="29" t="s">
        <v>1173</v>
      </c>
      <c r="I102" s="18" t="s">
        <v>1522</v>
      </c>
      <c r="J102" s="665">
        <v>17135868</v>
      </c>
      <c r="K102" s="736"/>
      <c r="L102" s="289">
        <f t="shared" si="8"/>
        <v>17135868</v>
      </c>
      <c r="M102" s="665">
        <v>17135868</v>
      </c>
      <c r="N102" s="665"/>
      <c r="O102" s="289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8" t="s">
        <v>17</v>
      </c>
      <c r="H103" s="38" t="s">
        <v>1173</v>
      </c>
      <c r="I103" s="33" t="s">
        <v>124</v>
      </c>
      <c r="J103" s="315">
        <v>1759206</v>
      </c>
      <c r="K103" s="667"/>
      <c r="L103" s="289">
        <f t="shared" si="8"/>
        <v>1759206</v>
      </c>
      <c r="M103" s="315">
        <v>1740718</v>
      </c>
      <c r="N103" s="315"/>
      <c r="O103" s="289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8" t="s">
        <v>17</v>
      </c>
      <c r="H104" s="38" t="s">
        <v>1173</v>
      </c>
      <c r="I104" s="33" t="s">
        <v>1180</v>
      </c>
      <c r="J104" s="315">
        <v>55756964</v>
      </c>
      <c r="K104" s="667"/>
      <c r="L104" s="289">
        <f t="shared" si="8"/>
        <v>55756964</v>
      </c>
      <c r="M104" s="315">
        <v>60982127</v>
      </c>
      <c r="N104" s="315"/>
      <c r="O104" s="289">
        <f t="shared" si="9"/>
        <v>60982127</v>
      </c>
    </row>
    <row r="105" spans="1:15" s="319" customFormat="1" ht="78" customHeight="1" x14ac:dyDescent="0.2">
      <c r="A105" s="320" t="s">
        <v>37</v>
      </c>
      <c r="B105" s="320" t="s">
        <v>78</v>
      </c>
      <c r="C105" s="320" t="s">
        <v>21</v>
      </c>
      <c r="D105" s="320" t="s">
        <v>1072</v>
      </c>
      <c r="E105" s="320" t="s">
        <v>1144</v>
      </c>
      <c r="F105" s="320" t="s">
        <v>28</v>
      </c>
      <c r="G105" s="321" t="s">
        <v>17</v>
      </c>
      <c r="H105" s="321" t="s">
        <v>1173</v>
      </c>
      <c r="I105" s="322" t="s">
        <v>1168</v>
      </c>
      <c r="J105" s="315">
        <v>2672033</v>
      </c>
      <c r="K105" s="667"/>
      <c r="L105" s="289">
        <f t="shared" si="8"/>
        <v>2672033</v>
      </c>
      <c r="M105" s="315">
        <v>2964820</v>
      </c>
      <c r="N105" s="315"/>
      <c r="O105" s="289">
        <f t="shared" si="9"/>
        <v>2964820</v>
      </c>
    </row>
    <row r="106" spans="1:15" ht="15.75" x14ac:dyDescent="0.2">
      <c r="A106" s="283" t="s">
        <v>14</v>
      </c>
      <c r="B106" s="283" t="s">
        <v>78</v>
      </c>
      <c r="C106" s="283" t="s">
        <v>21</v>
      </c>
      <c r="D106" s="283" t="s">
        <v>32</v>
      </c>
      <c r="E106" s="283" t="s">
        <v>14</v>
      </c>
      <c r="F106" s="283" t="s">
        <v>16</v>
      </c>
      <c r="G106" s="297" t="s">
        <v>17</v>
      </c>
      <c r="H106" s="297" t="s">
        <v>1173</v>
      </c>
      <c r="I106" s="298" t="s">
        <v>126</v>
      </c>
      <c r="J106" s="317">
        <v>288861845</v>
      </c>
      <c r="K106" s="317">
        <f>K107</f>
        <v>0</v>
      </c>
      <c r="L106" s="286">
        <f>J106+K106</f>
        <v>288861845</v>
      </c>
      <c r="M106" s="317">
        <v>177606595</v>
      </c>
      <c r="N106" s="317">
        <f>N107</f>
        <v>0</v>
      </c>
      <c r="O106" s="286">
        <f t="shared" si="9"/>
        <v>177606595</v>
      </c>
    </row>
    <row r="107" spans="1:15" ht="110.25" x14ac:dyDescent="0.2">
      <c r="A107" s="673" t="s">
        <v>14</v>
      </c>
      <c r="B107" s="673" t="s">
        <v>78</v>
      </c>
      <c r="C107" s="673" t="s">
        <v>21</v>
      </c>
      <c r="D107" s="673" t="s">
        <v>1081</v>
      </c>
      <c r="E107" s="673" t="s">
        <v>128</v>
      </c>
      <c r="F107" s="673" t="s">
        <v>28</v>
      </c>
      <c r="G107" s="674" t="s">
        <v>17</v>
      </c>
      <c r="H107" s="674" t="s">
        <v>1173</v>
      </c>
      <c r="I107" s="675" t="s">
        <v>1590</v>
      </c>
      <c r="J107" s="317">
        <v>288861845</v>
      </c>
      <c r="K107" s="317">
        <f t="shared" ref="K107:O107" si="10">SUM(K108:K125)</f>
        <v>0</v>
      </c>
      <c r="L107" s="317">
        <f t="shared" si="10"/>
        <v>288861845</v>
      </c>
      <c r="M107" s="317">
        <v>177606595</v>
      </c>
      <c r="N107" s="317">
        <f t="shared" si="10"/>
        <v>0</v>
      </c>
      <c r="O107" s="317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29" t="s">
        <v>1647</v>
      </c>
      <c r="H108" s="29" t="s">
        <v>1173</v>
      </c>
      <c r="I108" s="30" t="s">
        <v>1648</v>
      </c>
      <c r="J108" s="315">
        <v>22362816</v>
      </c>
      <c r="K108" s="667"/>
      <c r="L108" s="289">
        <f t="shared" si="8"/>
        <v>22362816</v>
      </c>
      <c r="M108" s="315">
        <v>22362816</v>
      </c>
      <c r="N108" s="315"/>
      <c r="O108" s="289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1713</v>
      </c>
      <c r="H109" s="29" t="s">
        <v>1173</v>
      </c>
      <c r="I109" s="30" t="s">
        <v>1731</v>
      </c>
      <c r="J109" s="315">
        <v>1515000</v>
      </c>
      <c r="K109" s="315"/>
      <c r="L109" s="289">
        <f t="shared" si="8"/>
        <v>1515000</v>
      </c>
      <c r="M109" s="315">
        <v>1515000</v>
      </c>
      <c r="N109" s="315"/>
      <c r="O109" s="289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1714</v>
      </c>
      <c r="H110" s="29" t="s">
        <v>1173</v>
      </c>
      <c r="I110" s="30" t="s">
        <v>1732</v>
      </c>
      <c r="J110" s="315">
        <v>2700000</v>
      </c>
      <c r="K110" s="315"/>
      <c r="L110" s="289">
        <f t="shared" si="8"/>
        <v>2700000</v>
      </c>
      <c r="M110" s="315">
        <v>2700000</v>
      </c>
      <c r="N110" s="315"/>
      <c r="O110" s="289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1715</v>
      </c>
      <c r="H111" s="29" t="s">
        <v>1173</v>
      </c>
      <c r="I111" s="30" t="s">
        <v>1733</v>
      </c>
      <c r="J111" s="318">
        <v>222797951</v>
      </c>
      <c r="K111" s="315"/>
      <c r="L111" s="289">
        <f t="shared" si="8"/>
        <v>222797951</v>
      </c>
      <c r="M111" s="315">
        <v>115777701</v>
      </c>
      <c r="N111" s="315"/>
      <c r="O111" s="289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1716</v>
      </c>
      <c r="H112" s="29" t="s">
        <v>1173</v>
      </c>
      <c r="I112" s="30" t="s">
        <v>1734</v>
      </c>
      <c r="J112" s="318">
        <v>580000</v>
      </c>
      <c r="K112" s="315"/>
      <c r="L112" s="289">
        <f t="shared" si="8"/>
        <v>580000</v>
      </c>
      <c r="M112" s="315">
        <v>580000</v>
      </c>
      <c r="N112" s="315"/>
      <c r="O112" s="289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1717</v>
      </c>
      <c r="H113" s="29" t="s">
        <v>1173</v>
      </c>
      <c r="I113" s="18" t="s">
        <v>1735</v>
      </c>
      <c r="J113" s="318">
        <v>830000</v>
      </c>
      <c r="K113" s="315"/>
      <c r="L113" s="289">
        <f t="shared" si="8"/>
        <v>830000</v>
      </c>
      <c r="M113" s="315">
        <v>0</v>
      </c>
      <c r="N113" s="315">
        <v>0</v>
      </c>
      <c r="O113" s="289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1718</v>
      </c>
      <c r="H114" s="29" t="s">
        <v>1173</v>
      </c>
      <c r="I114" s="18" t="s">
        <v>1736</v>
      </c>
      <c r="J114" s="318">
        <v>100000</v>
      </c>
      <c r="K114" s="315"/>
      <c r="L114" s="289">
        <f t="shared" si="8"/>
        <v>100000</v>
      </c>
      <c r="M114" s="315">
        <v>100000</v>
      </c>
      <c r="N114" s="315"/>
      <c r="O114" s="289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1719</v>
      </c>
      <c r="H115" s="29" t="s">
        <v>1173</v>
      </c>
      <c r="I115" s="18" t="s">
        <v>1737</v>
      </c>
      <c r="J115" s="318">
        <v>0</v>
      </c>
      <c r="K115" s="667"/>
      <c r="L115" s="289">
        <f t="shared" si="8"/>
        <v>0</v>
      </c>
      <c r="M115" s="315">
        <v>0</v>
      </c>
      <c r="N115" s="315"/>
      <c r="O115" s="289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1720</v>
      </c>
      <c r="H116" s="29" t="s">
        <v>1173</v>
      </c>
      <c r="I116" s="18" t="s">
        <v>1738</v>
      </c>
      <c r="J116" s="318">
        <v>0</v>
      </c>
      <c r="K116" s="315"/>
      <c r="L116" s="289">
        <f t="shared" si="8"/>
        <v>0</v>
      </c>
      <c r="M116" s="315">
        <v>3000000</v>
      </c>
      <c r="N116" s="315"/>
      <c r="O116" s="289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1721</v>
      </c>
      <c r="H117" s="29" t="s">
        <v>1173</v>
      </c>
      <c r="I117" s="39" t="s">
        <v>1739</v>
      </c>
      <c r="J117" s="318">
        <v>350000</v>
      </c>
      <c r="K117" s="315"/>
      <c r="L117" s="289">
        <f t="shared" si="8"/>
        <v>350000</v>
      </c>
      <c r="M117" s="315">
        <v>350000</v>
      </c>
      <c r="N117" s="315"/>
      <c r="O117" s="289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1722</v>
      </c>
      <c r="H118" s="29" t="s">
        <v>1173</v>
      </c>
      <c r="I118" s="18" t="s">
        <v>1740</v>
      </c>
      <c r="J118" s="318">
        <v>24980078</v>
      </c>
      <c r="K118" s="315"/>
      <c r="L118" s="289">
        <f t="shared" si="8"/>
        <v>24980078</v>
      </c>
      <c r="M118" s="315">
        <v>22930078</v>
      </c>
      <c r="N118" s="315"/>
      <c r="O118" s="289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1723</v>
      </c>
      <c r="H119" s="29" t="s">
        <v>1173</v>
      </c>
      <c r="I119" s="18" t="s">
        <v>1741</v>
      </c>
      <c r="J119" s="318">
        <v>7875000</v>
      </c>
      <c r="K119" s="315"/>
      <c r="L119" s="289">
        <f t="shared" si="8"/>
        <v>7875000</v>
      </c>
      <c r="M119" s="315">
        <v>3500000</v>
      </c>
      <c r="N119" s="315"/>
      <c r="O119" s="289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1742</v>
      </c>
      <c r="H120" s="29" t="s">
        <v>1173</v>
      </c>
      <c r="I120" s="18" t="s">
        <v>1743</v>
      </c>
      <c r="J120" s="318">
        <v>500000</v>
      </c>
      <c r="K120" s="315"/>
      <c r="L120" s="289">
        <f t="shared" si="8"/>
        <v>500000</v>
      </c>
      <c r="M120" s="315">
        <v>500000</v>
      </c>
      <c r="N120" s="315"/>
      <c r="O120" s="289">
        <f t="shared" si="9"/>
        <v>500000</v>
      </c>
    </row>
    <row r="121" spans="1:15" ht="78.75" customHeight="1" x14ac:dyDescent="0.2">
      <c r="A121" s="392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1724</v>
      </c>
      <c r="H121" s="29" t="s">
        <v>1173</v>
      </c>
      <c r="I121" s="18" t="s">
        <v>1744</v>
      </c>
      <c r="J121" s="318">
        <v>2500000</v>
      </c>
      <c r="K121" s="315"/>
      <c r="L121" s="289">
        <f t="shared" si="8"/>
        <v>2500000</v>
      </c>
      <c r="M121" s="315">
        <v>2500000</v>
      </c>
      <c r="N121" s="315"/>
      <c r="O121" s="289">
        <f t="shared" si="9"/>
        <v>2500000</v>
      </c>
    </row>
    <row r="122" spans="1:15" ht="38.25" customHeight="1" x14ac:dyDescent="0.2">
      <c r="A122" s="392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1726</v>
      </c>
      <c r="H122" s="29" t="s">
        <v>1173</v>
      </c>
      <c r="I122" s="18" t="s">
        <v>1745</v>
      </c>
      <c r="J122" s="318">
        <v>200000</v>
      </c>
      <c r="K122" s="315"/>
      <c r="L122" s="289">
        <f t="shared" si="8"/>
        <v>200000</v>
      </c>
      <c r="M122" s="315">
        <v>200000</v>
      </c>
      <c r="N122" s="315"/>
      <c r="O122" s="289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1725</v>
      </c>
      <c r="H123" s="29" t="s">
        <v>1173</v>
      </c>
      <c r="I123" s="18" t="s">
        <v>1746</v>
      </c>
      <c r="J123" s="318">
        <v>600000</v>
      </c>
      <c r="K123" s="315"/>
      <c r="L123" s="289">
        <f t="shared" si="8"/>
        <v>600000</v>
      </c>
      <c r="M123" s="315">
        <v>600000</v>
      </c>
      <c r="N123" s="315"/>
      <c r="O123" s="289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1727</v>
      </c>
      <c r="H124" s="29" t="s">
        <v>1173</v>
      </c>
      <c r="I124" s="39" t="s">
        <v>1747</v>
      </c>
      <c r="J124" s="318">
        <v>320000</v>
      </c>
      <c r="K124" s="315"/>
      <c r="L124" s="289">
        <f t="shared" si="8"/>
        <v>320000</v>
      </c>
      <c r="M124" s="315">
        <v>340000</v>
      </c>
      <c r="N124" s="315"/>
      <c r="O124" s="289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1728</v>
      </c>
      <c r="H125" s="29" t="s">
        <v>1173</v>
      </c>
      <c r="I125" s="18" t="s">
        <v>1748</v>
      </c>
      <c r="J125" s="318">
        <v>651000</v>
      </c>
      <c r="K125" s="315"/>
      <c r="L125" s="289">
        <f t="shared" si="8"/>
        <v>651000</v>
      </c>
      <c r="M125" s="315">
        <v>651000</v>
      </c>
      <c r="N125" s="315"/>
      <c r="O125" s="289">
        <f t="shared" si="9"/>
        <v>651000</v>
      </c>
    </row>
    <row r="126" spans="1:15" ht="20.25" customHeight="1" x14ac:dyDescent="0.2">
      <c r="A126" s="287"/>
      <c r="B126" s="287"/>
      <c r="C126" s="287"/>
      <c r="D126" s="287"/>
      <c r="E126" s="287"/>
      <c r="F126" s="287"/>
      <c r="G126" s="299"/>
      <c r="H126" s="299"/>
      <c r="I126" s="285" t="s">
        <v>129</v>
      </c>
      <c r="J126" s="317">
        <v>2264615068</v>
      </c>
      <c r="K126" s="317">
        <f t="shared" ref="K126:L126" si="11">K11+K46</f>
        <v>0</v>
      </c>
      <c r="L126" s="317">
        <f t="shared" si="11"/>
        <v>2264615068</v>
      </c>
      <c r="M126" s="317">
        <v>2237528024</v>
      </c>
      <c r="N126" s="317">
        <f>N11+N46</f>
        <v>0</v>
      </c>
      <c r="O126" s="286">
        <f t="shared" si="9"/>
        <v>2237528024</v>
      </c>
    </row>
    <row r="127" spans="1:15" ht="253.15" customHeight="1" x14ac:dyDescent="0.2">
      <c r="A127" s="41"/>
      <c r="B127" s="41"/>
      <c r="C127" s="41"/>
      <c r="D127" s="41"/>
      <c r="E127" s="41"/>
      <c r="F127" s="41"/>
      <c r="G127" s="42"/>
      <c r="H127" s="42"/>
      <c r="I127" s="39"/>
    </row>
    <row r="128" spans="1:15" ht="15.75" x14ac:dyDescent="0.2">
      <c r="A128" s="43"/>
      <c r="B128" s="43"/>
      <c r="C128" s="43"/>
      <c r="D128" s="43"/>
      <c r="E128" s="43"/>
      <c r="F128" s="43"/>
      <c r="G128" s="44"/>
      <c r="H128" s="44"/>
      <c r="I128" s="45"/>
    </row>
    <row r="129" spans="1:9" ht="25.5" customHeight="1" x14ac:dyDescent="0.2">
      <c r="A129" s="41"/>
      <c r="B129" s="41"/>
      <c r="C129" s="41"/>
      <c r="D129" s="41"/>
      <c r="E129" s="41"/>
      <c r="F129" s="41"/>
      <c r="G129" s="42"/>
      <c r="H129" s="42"/>
      <c r="I129" s="39"/>
    </row>
    <row r="130" spans="1:9" ht="79.5" customHeight="1" x14ac:dyDescent="0.2">
      <c r="A130" s="41"/>
      <c r="B130" s="41"/>
      <c r="C130" s="41"/>
      <c r="D130" s="41"/>
      <c r="E130" s="41"/>
      <c r="F130" s="41"/>
      <c r="G130" s="42"/>
      <c r="H130" s="42"/>
      <c r="I130" s="39"/>
    </row>
    <row r="131" spans="1:9" ht="55.15" customHeight="1" x14ac:dyDescent="0.2">
      <c r="A131" s="41"/>
      <c r="B131" s="41"/>
      <c r="C131" s="41"/>
      <c r="D131" s="41"/>
      <c r="E131" s="41"/>
      <c r="F131" s="41"/>
      <c r="G131" s="42"/>
      <c r="H131" s="42"/>
      <c r="I131" s="39"/>
    </row>
    <row r="132" spans="1:9" ht="95.25" customHeight="1" x14ac:dyDescent="0.2">
      <c r="A132" s="41"/>
      <c r="B132" s="41"/>
      <c r="C132" s="41"/>
      <c r="D132" s="41"/>
      <c r="E132" s="41"/>
      <c r="F132" s="41"/>
      <c r="G132" s="42"/>
      <c r="H132" s="42"/>
      <c r="I132" s="46"/>
    </row>
    <row r="133" spans="1:9" ht="16.5" customHeight="1" x14ac:dyDescent="0.25">
      <c r="A133" s="47"/>
      <c r="B133" s="47"/>
      <c r="C133" s="47"/>
      <c r="D133" s="47"/>
      <c r="E133" s="47"/>
      <c r="F133" s="47"/>
      <c r="G133" s="47"/>
      <c r="H133" s="47"/>
      <c r="I133" s="48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opLeftCell="A44" workbookViewId="0">
      <selection activeCell="B54" sqref="B54"/>
    </sheetView>
  </sheetViews>
  <sheetFormatPr defaultColWidth="9.140625" defaultRowHeight="15.75" x14ac:dyDescent="0.25"/>
  <cols>
    <col min="1" max="1" width="19.7109375" style="199" customWidth="1"/>
    <col min="2" max="2" width="81.7109375" style="199" customWidth="1"/>
    <col min="3" max="16384" width="9.140625" style="199"/>
  </cols>
  <sheetData>
    <row r="1" spans="1:2" ht="16.5" thickBot="1" x14ac:dyDescent="0.3">
      <c r="A1" s="200" t="s">
        <v>573</v>
      </c>
      <c r="B1" s="201" t="s">
        <v>1024</v>
      </c>
    </row>
    <row r="2" spans="1:2" ht="32.25" thickBot="1" x14ac:dyDescent="0.3">
      <c r="A2" s="202" t="s">
        <v>396</v>
      </c>
      <c r="B2" s="203" t="s">
        <v>395</v>
      </c>
    </row>
    <row r="3" spans="1:2" s="204" customFormat="1" x14ac:dyDescent="0.25">
      <c r="A3" s="205" t="s">
        <v>499</v>
      </c>
      <c r="B3" s="206" t="s">
        <v>498</v>
      </c>
    </row>
    <row r="4" spans="1:2" ht="31.5" x14ac:dyDescent="0.25">
      <c r="A4" s="207" t="s">
        <v>501</v>
      </c>
      <c r="B4" s="208" t="s">
        <v>500</v>
      </c>
    </row>
    <row r="5" spans="1:2" ht="31.5" x14ac:dyDescent="0.25">
      <c r="A5" s="207" t="s">
        <v>1091</v>
      </c>
      <c r="B5" s="208" t="s">
        <v>1092</v>
      </c>
    </row>
    <row r="6" spans="1:2" s="204" customFormat="1" ht="47.25" x14ac:dyDescent="0.25">
      <c r="A6" s="209" t="s">
        <v>398</v>
      </c>
      <c r="B6" s="210" t="s">
        <v>397</v>
      </c>
    </row>
    <row r="7" spans="1:2" ht="47.25" x14ac:dyDescent="0.25">
      <c r="A7" s="207" t="s">
        <v>400</v>
      </c>
      <c r="B7" s="208" t="s">
        <v>399</v>
      </c>
    </row>
    <row r="8" spans="1:2" ht="47.25" x14ac:dyDescent="0.25">
      <c r="A8" s="207" t="s">
        <v>1438</v>
      </c>
      <c r="B8" s="208" t="s">
        <v>1439</v>
      </c>
    </row>
    <row r="9" spans="1:2" s="204" customFormat="1" ht="31.5" x14ac:dyDescent="0.25">
      <c r="A9" s="209" t="s">
        <v>403</v>
      </c>
      <c r="B9" s="210" t="s">
        <v>402</v>
      </c>
    </row>
    <row r="10" spans="1:2" x14ac:dyDescent="0.25">
      <c r="A10" s="207" t="s">
        <v>405</v>
      </c>
      <c r="B10" s="208" t="s">
        <v>404</v>
      </c>
    </row>
    <row r="11" spans="1:2" s="204" customFormat="1" ht="31.5" x14ac:dyDescent="0.25">
      <c r="A11" s="209" t="s">
        <v>494</v>
      </c>
      <c r="B11" s="210" t="s">
        <v>493</v>
      </c>
    </row>
    <row r="12" spans="1:2" x14ac:dyDescent="0.25">
      <c r="A12" s="207" t="s">
        <v>496</v>
      </c>
      <c r="B12" s="208" t="s">
        <v>495</v>
      </c>
    </row>
    <row r="13" spans="1:2" x14ac:dyDescent="0.25">
      <c r="A13" s="207" t="s">
        <v>512</v>
      </c>
      <c r="B13" s="208" t="s">
        <v>511</v>
      </c>
    </row>
    <row r="14" spans="1:2" x14ac:dyDescent="0.25">
      <c r="A14" s="207" t="s">
        <v>517</v>
      </c>
      <c r="B14" s="208" t="s">
        <v>516</v>
      </c>
    </row>
    <row r="15" spans="1:2" x14ac:dyDescent="0.25">
      <c r="A15" s="207" t="s">
        <v>520</v>
      </c>
      <c r="B15" s="208" t="s">
        <v>519</v>
      </c>
    </row>
    <row r="16" spans="1:2" x14ac:dyDescent="0.25">
      <c r="A16" s="207" t="s">
        <v>1567</v>
      </c>
      <c r="B16" s="208" t="s">
        <v>1423</v>
      </c>
    </row>
    <row r="17" spans="1:2" s="204" customFormat="1" ht="31.5" x14ac:dyDescent="0.25">
      <c r="A17" s="209" t="s">
        <v>489</v>
      </c>
      <c r="B17" s="210" t="s">
        <v>488</v>
      </c>
    </row>
    <row r="18" spans="1:2" ht="16.5" thickBot="1" x14ac:dyDescent="0.3">
      <c r="A18" s="211" t="s">
        <v>491</v>
      </c>
      <c r="B18" s="212" t="s">
        <v>490</v>
      </c>
    </row>
    <row r="19" spans="1:2" ht="32.25" thickBot="1" x14ac:dyDescent="0.3">
      <c r="A19" s="202" t="s">
        <v>367</v>
      </c>
      <c r="B19" s="213" t="s">
        <v>366</v>
      </c>
    </row>
    <row r="20" spans="1:2" s="204" customFormat="1" ht="31.5" x14ac:dyDescent="0.25">
      <c r="A20" s="205" t="s">
        <v>369</v>
      </c>
      <c r="B20" s="206" t="s">
        <v>368</v>
      </c>
    </row>
    <row r="21" spans="1:2" ht="31.5" x14ac:dyDescent="0.25">
      <c r="A21" s="207" t="s">
        <v>370</v>
      </c>
      <c r="B21" s="208" t="s">
        <v>1052</v>
      </c>
    </row>
    <row r="22" spans="1:2" ht="31.5" x14ac:dyDescent="0.25">
      <c r="A22" s="207" t="s">
        <v>409</v>
      </c>
      <c r="B22" s="208" t="s">
        <v>1053</v>
      </c>
    </row>
    <row r="23" spans="1:2" ht="31.5" x14ac:dyDescent="0.25">
      <c r="A23" s="207" t="s">
        <v>431</v>
      </c>
      <c r="B23" s="208" t="s">
        <v>1054</v>
      </c>
    </row>
    <row r="24" spans="1:2" x14ac:dyDescent="0.25">
      <c r="A24" s="267" t="s">
        <v>411</v>
      </c>
      <c r="B24" s="268" t="s">
        <v>1056</v>
      </c>
    </row>
    <row r="25" spans="1:2" ht="47.25" x14ac:dyDescent="0.25">
      <c r="A25" s="267" t="s">
        <v>388</v>
      </c>
      <c r="B25" s="268" t="s">
        <v>1058</v>
      </c>
    </row>
    <row r="26" spans="1:2" ht="31.5" x14ac:dyDescent="0.25">
      <c r="A26" s="267" t="s">
        <v>416</v>
      </c>
      <c r="B26" s="268" t="s">
        <v>1059</v>
      </c>
    </row>
    <row r="27" spans="1:2" x14ac:dyDescent="0.25">
      <c r="A27" s="267" t="s">
        <v>1055</v>
      </c>
      <c r="B27" s="268" t="s">
        <v>1330</v>
      </c>
    </row>
    <row r="28" spans="1:2" x14ac:dyDescent="0.25">
      <c r="A28" s="267" t="s">
        <v>1060</v>
      </c>
      <c r="B28" s="268" t="s">
        <v>1061</v>
      </c>
    </row>
    <row r="29" spans="1:2" x14ac:dyDescent="0.25">
      <c r="A29" s="267" t="s">
        <v>1057</v>
      </c>
      <c r="B29" s="268" t="s">
        <v>415</v>
      </c>
    </row>
    <row r="30" spans="1:2" x14ac:dyDescent="0.25">
      <c r="A30" s="267" t="s">
        <v>1600</v>
      </c>
      <c r="B30" s="268" t="s">
        <v>1491</v>
      </c>
    </row>
    <row r="31" spans="1:2" x14ac:dyDescent="0.25">
      <c r="A31" s="267" t="s">
        <v>1427</v>
      </c>
      <c r="B31" s="268" t="s">
        <v>1603</v>
      </c>
    </row>
    <row r="32" spans="1:2" ht="31.5" x14ac:dyDescent="0.25">
      <c r="A32" s="267" t="s">
        <v>418</v>
      </c>
      <c r="B32" s="269" t="s">
        <v>1090</v>
      </c>
    </row>
    <row r="33" spans="1:2" ht="31.5" x14ac:dyDescent="0.25">
      <c r="A33" s="211" t="s">
        <v>420</v>
      </c>
      <c r="B33" s="214" t="s">
        <v>419</v>
      </c>
    </row>
    <row r="34" spans="1:2" ht="31.5" x14ac:dyDescent="0.25">
      <c r="A34" s="211" t="s">
        <v>386</v>
      </c>
      <c r="B34" s="215" t="s">
        <v>385</v>
      </c>
    </row>
    <row r="35" spans="1:2" ht="47.25" x14ac:dyDescent="0.25">
      <c r="A35" s="211" t="s">
        <v>441</v>
      </c>
      <c r="B35" s="214" t="s">
        <v>1160</v>
      </c>
    </row>
    <row r="36" spans="1:2" ht="31.5" x14ac:dyDescent="0.25">
      <c r="A36" s="211" t="s">
        <v>387</v>
      </c>
      <c r="B36" s="214" t="s">
        <v>1161</v>
      </c>
    </row>
    <row r="37" spans="1:2" x14ac:dyDescent="0.25">
      <c r="A37" s="211" t="s">
        <v>422</v>
      </c>
      <c r="B37" s="214" t="s">
        <v>1089</v>
      </c>
    </row>
    <row r="38" spans="1:2" x14ac:dyDescent="0.25">
      <c r="A38" s="211" t="s">
        <v>1656</v>
      </c>
      <c r="B38" s="214" t="s">
        <v>1657</v>
      </c>
    </row>
    <row r="39" spans="1:2" ht="31.5" x14ac:dyDescent="0.25">
      <c r="A39" s="217" t="s">
        <v>1761</v>
      </c>
      <c r="B39" s="215" t="s">
        <v>1759</v>
      </c>
    </row>
    <row r="40" spans="1:2" ht="47.25" x14ac:dyDescent="0.25">
      <c r="A40" s="217" t="s">
        <v>1760</v>
      </c>
      <c r="B40" s="218" t="s">
        <v>1764</v>
      </c>
    </row>
    <row r="41" spans="1:2" x14ac:dyDescent="0.25">
      <c r="A41" s="217" t="s">
        <v>1762</v>
      </c>
      <c r="B41" s="218" t="s">
        <v>1763</v>
      </c>
    </row>
    <row r="42" spans="1:2" ht="16.5" thickBot="1" x14ac:dyDescent="0.3">
      <c r="A42" s="495"/>
      <c r="B42" s="733"/>
    </row>
    <row r="43" spans="1:2" ht="32.25" thickBot="1" x14ac:dyDescent="0.3">
      <c r="A43" s="202" t="s">
        <v>376</v>
      </c>
      <c r="B43" s="213" t="s">
        <v>375</v>
      </c>
    </row>
    <row r="44" spans="1:2" ht="31.5" x14ac:dyDescent="0.25">
      <c r="A44" s="216" t="s">
        <v>446</v>
      </c>
      <c r="B44" s="206" t="s">
        <v>445</v>
      </c>
    </row>
    <row r="45" spans="1:2" ht="31.5" x14ac:dyDescent="0.25">
      <c r="A45" s="217" t="s">
        <v>448</v>
      </c>
      <c r="B45" s="218" t="s">
        <v>447</v>
      </c>
    </row>
    <row r="46" spans="1:2" ht="31.5" x14ac:dyDescent="0.25">
      <c r="A46" s="217" t="s">
        <v>451</v>
      </c>
      <c r="B46" s="218" t="s">
        <v>450</v>
      </c>
    </row>
    <row r="47" spans="1:2" ht="31.5" x14ac:dyDescent="0.25">
      <c r="A47" s="217" t="s">
        <v>466</v>
      </c>
      <c r="B47" s="218" t="s">
        <v>465</v>
      </c>
    </row>
    <row r="48" spans="1:2" x14ac:dyDescent="0.25">
      <c r="A48" s="275" t="s">
        <v>1167</v>
      </c>
      <c r="B48" s="276" t="s">
        <v>1068</v>
      </c>
    </row>
    <row r="49" spans="1:2" x14ac:dyDescent="0.25">
      <c r="A49" s="275" t="s">
        <v>1323</v>
      </c>
      <c r="B49" s="276" t="s">
        <v>1696</v>
      </c>
    </row>
    <row r="50" spans="1:2" x14ac:dyDescent="0.25">
      <c r="A50" s="275" t="s">
        <v>1324</v>
      </c>
      <c r="B50" s="276" t="s">
        <v>1325</v>
      </c>
    </row>
    <row r="51" spans="1:2" ht="31.5" x14ac:dyDescent="0.25">
      <c r="A51" s="211" t="s">
        <v>378</v>
      </c>
      <c r="B51" s="219" t="s">
        <v>377</v>
      </c>
    </row>
    <row r="52" spans="1:2" ht="31.5" x14ac:dyDescent="0.25">
      <c r="A52" s="211" t="s">
        <v>379</v>
      </c>
      <c r="B52" s="220" t="s">
        <v>1342</v>
      </c>
    </row>
    <row r="53" spans="1:2" ht="31.5" x14ac:dyDescent="0.25">
      <c r="A53" s="211" t="s">
        <v>1341</v>
      </c>
      <c r="B53" s="220" t="s">
        <v>1343</v>
      </c>
    </row>
    <row r="54" spans="1:2" ht="32.25" thickBot="1" x14ac:dyDescent="0.3">
      <c r="A54" s="211" t="s">
        <v>1036</v>
      </c>
      <c r="B54" s="220" t="s">
        <v>1037</v>
      </c>
    </row>
    <row r="55" spans="1:2" ht="16.5" thickBot="1" x14ac:dyDescent="0.3">
      <c r="A55" s="202" t="s">
        <v>508</v>
      </c>
      <c r="B55" s="213" t="s">
        <v>507</v>
      </c>
    </row>
    <row r="56" spans="1:2" ht="48" thickBot="1" x14ac:dyDescent="0.3">
      <c r="A56" s="221" t="s">
        <v>509</v>
      </c>
      <c r="B56" s="222" t="s">
        <v>1680</v>
      </c>
    </row>
    <row r="57" spans="1:2" ht="48" thickBot="1" x14ac:dyDescent="0.3">
      <c r="A57" s="223" t="s">
        <v>525</v>
      </c>
      <c r="B57" s="224" t="s">
        <v>524</v>
      </c>
    </row>
    <row r="58" spans="1:2" ht="47.25" x14ac:dyDescent="0.25">
      <c r="A58" s="225" t="s">
        <v>527</v>
      </c>
      <c r="B58" s="226" t="s">
        <v>526</v>
      </c>
    </row>
    <row r="59" spans="1:2" ht="47.25" x14ac:dyDescent="0.25">
      <c r="A59" s="227" t="s">
        <v>551</v>
      </c>
      <c r="B59" s="228" t="s">
        <v>1321</v>
      </c>
    </row>
    <row r="60" spans="1:2" ht="31.5" x14ac:dyDescent="0.25">
      <c r="A60" s="227" t="s">
        <v>528</v>
      </c>
      <c r="B60" s="228" t="s">
        <v>1084</v>
      </c>
    </row>
    <row r="61" spans="1:2" ht="47.25" x14ac:dyDescent="0.25">
      <c r="A61" s="229" t="s">
        <v>554</v>
      </c>
      <c r="B61" s="230" t="s">
        <v>553</v>
      </c>
    </row>
    <row r="62" spans="1:2" ht="33" customHeight="1" x14ac:dyDescent="0.25">
      <c r="A62" s="227" t="s">
        <v>555</v>
      </c>
      <c r="B62" s="231" t="s">
        <v>1782</v>
      </c>
    </row>
    <row r="63" spans="1:2" ht="47.25" x14ac:dyDescent="0.25">
      <c r="A63" s="227" t="s">
        <v>595</v>
      </c>
      <c r="B63" s="231" t="s">
        <v>1086</v>
      </c>
    </row>
    <row r="64" spans="1:2" ht="47.25" x14ac:dyDescent="0.25">
      <c r="A64" s="229" t="s">
        <v>558</v>
      </c>
      <c r="B64" s="230" t="s">
        <v>557</v>
      </c>
    </row>
    <row r="65" spans="1:2" ht="31.5" x14ac:dyDescent="0.25">
      <c r="A65" s="229" t="s">
        <v>559</v>
      </c>
      <c r="B65" s="231" t="s">
        <v>1085</v>
      </c>
    </row>
    <row r="66" spans="1:2" x14ac:dyDescent="0.25">
      <c r="A66" s="229" t="s">
        <v>1374</v>
      </c>
      <c r="B66" s="231" t="s">
        <v>1375</v>
      </c>
    </row>
    <row r="67" spans="1:2" ht="47.25" x14ac:dyDescent="0.25">
      <c r="A67" s="229" t="s">
        <v>561</v>
      </c>
      <c r="B67" s="230" t="s">
        <v>560</v>
      </c>
    </row>
    <row r="68" spans="1:2" ht="31.5" x14ac:dyDescent="0.25">
      <c r="A68" s="227" t="s">
        <v>563</v>
      </c>
      <c r="B68" s="228" t="s">
        <v>562</v>
      </c>
    </row>
    <row r="69" spans="1:2" ht="31.5" x14ac:dyDescent="0.25">
      <c r="A69" s="227" t="s">
        <v>565</v>
      </c>
      <c r="B69" s="228" t="s">
        <v>564</v>
      </c>
    </row>
    <row r="70" spans="1:2" ht="31.5" x14ac:dyDescent="0.25">
      <c r="A70" s="160" t="s">
        <v>567</v>
      </c>
      <c r="B70" s="394" t="s">
        <v>566</v>
      </c>
    </row>
    <row r="71" spans="1:2" ht="31.5" x14ac:dyDescent="0.25">
      <c r="A71" s="160" t="s">
        <v>1380</v>
      </c>
      <c r="B71" s="394" t="s">
        <v>1379</v>
      </c>
    </row>
    <row r="72" spans="1:2" ht="47.25" x14ac:dyDescent="0.25">
      <c r="A72" s="160" t="s">
        <v>1698</v>
      </c>
      <c r="B72" s="394" t="s">
        <v>1699</v>
      </c>
    </row>
    <row r="73" spans="1:2" ht="32.25" thickBot="1" x14ac:dyDescent="0.3">
      <c r="A73" s="240" t="s">
        <v>529</v>
      </c>
      <c r="B73" s="737" t="s">
        <v>1756</v>
      </c>
    </row>
    <row r="74" spans="1:2" ht="16.5" thickBot="1" x14ac:dyDescent="0.3">
      <c r="A74" s="221" t="s">
        <v>530</v>
      </c>
      <c r="B74" s="738" t="s">
        <v>1757</v>
      </c>
    </row>
    <row r="75" spans="1:2" ht="32.25" thickBot="1" x14ac:dyDescent="0.3">
      <c r="A75" s="469" t="s">
        <v>540</v>
      </c>
      <c r="B75" s="470" t="s">
        <v>1372</v>
      </c>
    </row>
    <row r="76" spans="1:2" ht="31.5" x14ac:dyDescent="0.25">
      <c r="A76" s="471" t="s">
        <v>542</v>
      </c>
      <c r="B76" s="472" t="s">
        <v>541</v>
      </c>
    </row>
    <row r="77" spans="1:2" x14ac:dyDescent="0.25">
      <c r="A77" s="473" t="s">
        <v>544</v>
      </c>
      <c r="B77" s="474" t="s">
        <v>543</v>
      </c>
    </row>
    <row r="78" spans="1:2" ht="31.5" x14ac:dyDescent="0.25">
      <c r="A78" s="475" t="s">
        <v>547</v>
      </c>
      <c r="B78" s="476" t="s">
        <v>546</v>
      </c>
    </row>
    <row r="79" spans="1:2" ht="31.5" x14ac:dyDescent="0.25">
      <c r="A79" s="477" t="s">
        <v>549</v>
      </c>
      <c r="B79" s="478" t="s">
        <v>548</v>
      </c>
    </row>
    <row r="80" spans="1:2" ht="16.5" thickBot="1" x14ac:dyDescent="0.3">
      <c r="A80" s="477" t="s">
        <v>1367</v>
      </c>
      <c r="B80" s="479" t="s">
        <v>1368</v>
      </c>
    </row>
    <row r="81" spans="1:2" ht="48" thickBot="1" x14ac:dyDescent="0.3">
      <c r="A81" s="232" t="s">
        <v>598</v>
      </c>
      <c r="B81" s="233" t="s">
        <v>597</v>
      </c>
    </row>
    <row r="82" spans="1:2" ht="47.25" x14ac:dyDescent="0.25">
      <c r="A82" s="225" t="s">
        <v>600</v>
      </c>
      <c r="B82" s="234" t="s">
        <v>599</v>
      </c>
    </row>
    <row r="83" spans="1:2" ht="63" x14ac:dyDescent="0.25">
      <c r="A83" s="227" t="s">
        <v>602</v>
      </c>
      <c r="B83" s="235" t="s">
        <v>601</v>
      </c>
    </row>
    <row r="84" spans="1:2" ht="31.5" x14ac:dyDescent="0.25">
      <c r="A84" s="229" t="s">
        <v>604</v>
      </c>
      <c r="B84" s="236" t="s">
        <v>603</v>
      </c>
    </row>
    <row r="85" spans="1:2" ht="47.25" x14ac:dyDescent="0.25">
      <c r="A85" s="227" t="s">
        <v>606</v>
      </c>
      <c r="B85" s="235" t="s">
        <v>605</v>
      </c>
    </row>
    <row r="86" spans="1:2" ht="47.25" x14ac:dyDescent="0.25">
      <c r="A86" s="229" t="s">
        <v>608</v>
      </c>
      <c r="B86" s="236" t="s">
        <v>607</v>
      </c>
    </row>
    <row r="87" spans="1:2" ht="31.5" x14ac:dyDescent="0.25">
      <c r="A87" s="227" t="s">
        <v>610</v>
      </c>
      <c r="B87" s="235" t="s">
        <v>609</v>
      </c>
    </row>
    <row r="88" spans="1:2" ht="31.5" x14ac:dyDescent="0.25">
      <c r="A88" s="229" t="s">
        <v>612</v>
      </c>
      <c r="B88" s="236" t="s">
        <v>611</v>
      </c>
    </row>
    <row r="89" spans="1:2" ht="32.25" thickBot="1" x14ac:dyDescent="0.3">
      <c r="A89" s="237" t="s">
        <v>614</v>
      </c>
      <c r="B89" s="238" t="s">
        <v>613</v>
      </c>
    </row>
    <row r="90" spans="1:2" ht="48" thickBot="1" x14ac:dyDescent="0.3">
      <c r="A90" s="202" t="s">
        <v>337</v>
      </c>
      <c r="B90" s="224" t="s">
        <v>336</v>
      </c>
    </row>
    <row r="91" spans="1:2" ht="31.5" x14ac:dyDescent="0.25">
      <c r="A91" s="205" t="s">
        <v>347</v>
      </c>
      <c r="B91" s="226" t="s">
        <v>346</v>
      </c>
    </row>
    <row r="92" spans="1:2" ht="47.25" x14ac:dyDescent="0.25">
      <c r="A92" s="207" t="s">
        <v>349</v>
      </c>
      <c r="B92" s="231" t="s">
        <v>348</v>
      </c>
    </row>
    <row r="93" spans="1:2" ht="31.5" x14ac:dyDescent="0.25">
      <c r="A93" s="207" t="s">
        <v>351</v>
      </c>
      <c r="B93" s="231" t="s">
        <v>350</v>
      </c>
    </row>
    <row r="94" spans="1:2" ht="31.5" x14ac:dyDescent="0.25">
      <c r="A94" s="207" t="s">
        <v>353</v>
      </c>
      <c r="B94" s="236" t="s">
        <v>352</v>
      </c>
    </row>
    <row r="95" spans="1:2" ht="31.5" x14ac:dyDescent="0.25">
      <c r="A95" s="207" t="s">
        <v>355</v>
      </c>
      <c r="B95" s="228" t="s">
        <v>354</v>
      </c>
    </row>
    <row r="96" spans="1:2" ht="31.5" x14ac:dyDescent="0.25">
      <c r="A96" s="207" t="s">
        <v>338</v>
      </c>
      <c r="B96" s="236" t="s">
        <v>1442</v>
      </c>
    </row>
    <row r="97" spans="1:2" ht="31.5" x14ac:dyDescent="0.25">
      <c r="A97" s="207" t="s">
        <v>340</v>
      </c>
      <c r="B97" s="228" t="s">
        <v>339</v>
      </c>
    </row>
    <row r="98" spans="1:2" x14ac:dyDescent="0.25">
      <c r="A98" s="207" t="s">
        <v>342</v>
      </c>
      <c r="B98" s="228" t="s">
        <v>341</v>
      </c>
    </row>
    <row r="99" spans="1:2" ht="47.25" x14ac:dyDescent="0.25">
      <c r="A99" s="207" t="s">
        <v>345</v>
      </c>
      <c r="B99" s="228" t="s">
        <v>344</v>
      </c>
    </row>
    <row r="100" spans="1:2" ht="31.5" x14ac:dyDescent="0.25">
      <c r="A100" s="207" t="s">
        <v>1449</v>
      </c>
      <c r="B100" s="236" t="s">
        <v>1451</v>
      </c>
    </row>
    <row r="101" spans="1:2" ht="31.5" x14ac:dyDescent="0.25">
      <c r="A101" s="207" t="s">
        <v>1450</v>
      </c>
      <c r="B101" s="228" t="s">
        <v>1452</v>
      </c>
    </row>
    <row r="102" spans="1:2" s="239" customFormat="1" ht="48" thickBot="1" x14ac:dyDescent="0.3">
      <c r="A102" s="240" t="s">
        <v>318</v>
      </c>
      <c r="B102" s="241" t="s">
        <v>1434</v>
      </c>
    </row>
    <row r="103" spans="1:2" s="239" customFormat="1" hidden="1" x14ac:dyDescent="0.25">
      <c r="A103" s="216" t="s">
        <v>484</v>
      </c>
      <c r="B103" s="242"/>
    </row>
    <row r="104" spans="1:2" s="239" customFormat="1" ht="48" thickBot="1" x14ac:dyDescent="0.3">
      <c r="A104" s="207" t="s">
        <v>481</v>
      </c>
      <c r="B104" s="533" t="s">
        <v>1435</v>
      </c>
    </row>
    <row r="105" spans="1:2" ht="63.75" thickBot="1" x14ac:dyDescent="0.3">
      <c r="A105" s="202" t="s">
        <v>322</v>
      </c>
      <c r="B105" s="203" t="s">
        <v>1518</v>
      </c>
    </row>
    <row r="106" spans="1:2" ht="31.5" x14ac:dyDescent="0.25">
      <c r="A106" s="584" t="s">
        <v>323</v>
      </c>
      <c r="B106" s="628" t="s">
        <v>1689</v>
      </c>
    </row>
    <row r="107" spans="1:2" ht="47.25" x14ac:dyDescent="0.25">
      <c r="A107" s="217" t="s">
        <v>1516</v>
      </c>
      <c r="B107" s="197" t="s">
        <v>1690</v>
      </c>
    </row>
    <row r="108" spans="1:2" s="239" customFormat="1" ht="32.25" thickBot="1" x14ac:dyDescent="0.3">
      <c r="A108" s="240" t="s">
        <v>326</v>
      </c>
      <c r="B108" s="251" t="s">
        <v>325</v>
      </c>
    </row>
    <row r="109" spans="1:2" s="239" customFormat="1" x14ac:dyDescent="0.25">
      <c r="A109" s="244" t="s">
        <v>360</v>
      </c>
      <c r="B109" s="245" t="s">
        <v>1165</v>
      </c>
    </row>
    <row r="110" spans="1:2" ht="32.25" thickBot="1" x14ac:dyDescent="0.3">
      <c r="A110" s="221" t="s">
        <v>328</v>
      </c>
      <c r="B110" s="243" t="s">
        <v>327</v>
      </c>
    </row>
    <row r="111" spans="1:2" s="239" customFormat="1" ht="63.75" thickBot="1" x14ac:dyDescent="0.3">
      <c r="A111" s="202" t="s">
        <v>330</v>
      </c>
      <c r="B111" s="203" t="s">
        <v>1697</v>
      </c>
    </row>
    <row r="112" spans="1:2" s="239" customFormat="1" ht="47.25" x14ac:dyDescent="0.25">
      <c r="A112" s="244" t="s">
        <v>1684</v>
      </c>
      <c r="B112" s="245" t="s">
        <v>1681</v>
      </c>
    </row>
    <row r="113" spans="1:2" ht="32.25" thickBot="1" x14ac:dyDescent="0.3">
      <c r="A113" s="221" t="s">
        <v>1683</v>
      </c>
      <c r="B113" s="243" t="s">
        <v>1682</v>
      </c>
    </row>
    <row r="114" spans="1:2" s="239" customFormat="1" ht="32.25" thickBot="1" x14ac:dyDescent="0.3">
      <c r="A114" s="202" t="s">
        <v>426</v>
      </c>
      <c r="B114" s="203" t="s">
        <v>425</v>
      </c>
    </row>
    <row r="115" spans="1:2" x14ac:dyDescent="0.25">
      <c r="A115" s="221" t="s">
        <v>428</v>
      </c>
      <c r="B115" s="243" t="s">
        <v>427</v>
      </c>
    </row>
    <row r="116" spans="1:2" ht="16.5" thickBot="1" x14ac:dyDescent="0.3">
      <c r="A116" s="221" t="s">
        <v>1778</v>
      </c>
      <c r="B116" s="243" t="s">
        <v>1779</v>
      </c>
    </row>
    <row r="117" spans="1:2" ht="32.25" thickBot="1" x14ac:dyDescent="0.3">
      <c r="A117" s="202" t="s">
        <v>533</v>
      </c>
      <c r="B117" s="233" t="s">
        <v>532</v>
      </c>
    </row>
    <row r="118" spans="1:2" ht="47.25" x14ac:dyDescent="0.25">
      <c r="A118" s="216" t="s">
        <v>535</v>
      </c>
      <c r="B118" s="246" t="s">
        <v>534</v>
      </c>
    </row>
    <row r="119" spans="1:2" ht="47.25" x14ac:dyDescent="0.25">
      <c r="A119" s="207" t="s">
        <v>537</v>
      </c>
      <c r="B119" s="231" t="s">
        <v>536</v>
      </c>
    </row>
    <row r="120" spans="1:2" ht="31.5" x14ac:dyDescent="0.25">
      <c r="A120" s="207" t="s">
        <v>539</v>
      </c>
      <c r="B120" s="231" t="s">
        <v>538</v>
      </c>
    </row>
    <row r="121" spans="1:2" ht="32.25" thickBot="1" x14ac:dyDescent="0.3">
      <c r="A121" s="221" t="s">
        <v>1194</v>
      </c>
      <c r="B121" s="231" t="s">
        <v>1195</v>
      </c>
    </row>
    <row r="122" spans="1:2" ht="32.25" thickBot="1" x14ac:dyDescent="0.3">
      <c r="A122" s="462" t="s">
        <v>622</v>
      </c>
      <c r="B122" s="463" t="s">
        <v>621</v>
      </c>
    </row>
    <row r="123" spans="1:2" ht="47.25" x14ac:dyDescent="0.25">
      <c r="A123" s="464" t="s">
        <v>625</v>
      </c>
      <c r="B123" s="465" t="s">
        <v>624</v>
      </c>
    </row>
    <row r="124" spans="1:2" ht="31.5" x14ac:dyDescent="0.25">
      <c r="A124" s="466" t="s">
        <v>628</v>
      </c>
      <c r="B124" s="467" t="s">
        <v>627</v>
      </c>
    </row>
    <row r="125" spans="1:2" ht="31.5" x14ac:dyDescent="0.25">
      <c r="A125" s="464" t="s">
        <v>631</v>
      </c>
      <c r="B125" s="465" t="s">
        <v>630</v>
      </c>
    </row>
    <row r="126" spans="1:2" ht="31.5" x14ac:dyDescent="0.25">
      <c r="A126" s="225" t="s">
        <v>633</v>
      </c>
      <c r="B126" s="248" t="s">
        <v>632</v>
      </c>
    </row>
    <row r="127" spans="1:2" x14ac:dyDescent="0.25">
      <c r="A127" s="225" t="s">
        <v>636</v>
      </c>
      <c r="B127" s="248" t="s">
        <v>635</v>
      </c>
    </row>
    <row r="128" spans="1:2" x14ac:dyDescent="0.25">
      <c r="A128" s="225" t="s">
        <v>637</v>
      </c>
      <c r="B128" s="247" t="s">
        <v>1063</v>
      </c>
    </row>
    <row r="129" spans="1:2" x14ac:dyDescent="0.25">
      <c r="A129" s="161" t="s">
        <v>1196</v>
      </c>
      <c r="B129" s="247" t="s">
        <v>1197</v>
      </c>
    </row>
    <row r="130" spans="1:2" ht="31.5" x14ac:dyDescent="0.25">
      <c r="A130" s="314" t="s">
        <v>640</v>
      </c>
      <c r="B130" s="349" t="s">
        <v>639</v>
      </c>
    </row>
    <row r="131" spans="1:2" ht="31.5" x14ac:dyDescent="0.25">
      <c r="A131" s="225" t="s">
        <v>642</v>
      </c>
      <c r="B131" s="226" t="s">
        <v>641</v>
      </c>
    </row>
    <row r="132" spans="1:2" ht="31.5" x14ac:dyDescent="0.25">
      <c r="A132" s="227" t="s">
        <v>644</v>
      </c>
      <c r="B132" s="228" t="s">
        <v>643</v>
      </c>
    </row>
    <row r="133" spans="1:2" ht="31.5" x14ac:dyDescent="0.25">
      <c r="A133" s="229" t="s">
        <v>645</v>
      </c>
      <c r="B133" s="230" t="s">
        <v>1440</v>
      </c>
    </row>
    <row r="134" spans="1:2" ht="31.5" x14ac:dyDescent="0.25">
      <c r="A134" s="227" t="s">
        <v>647</v>
      </c>
      <c r="B134" s="235" t="s">
        <v>646</v>
      </c>
    </row>
    <row r="135" spans="1:2" ht="31.5" x14ac:dyDescent="0.25">
      <c r="A135" s="227" t="s">
        <v>649</v>
      </c>
      <c r="B135" s="235" t="s">
        <v>648</v>
      </c>
    </row>
    <row r="136" spans="1:2" x14ac:dyDescent="0.25">
      <c r="A136" s="160" t="s">
        <v>650</v>
      </c>
      <c r="B136" s="274" t="s">
        <v>1520</v>
      </c>
    </row>
    <row r="137" spans="1:2" ht="31.5" x14ac:dyDescent="0.25">
      <c r="A137" s="160" t="s">
        <v>1580</v>
      </c>
      <c r="B137" s="248" t="s">
        <v>1610</v>
      </c>
    </row>
    <row r="138" spans="1:2" ht="63" x14ac:dyDescent="0.25">
      <c r="A138" s="225" t="s">
        <v>1389</v>
      </c>
      <c r="B138" s="226" t="s">
        <v>1448</v>
      </c>
    </row>
    <row r="139" spans="1:2" ht="31.5" x14ac:dyDescent="0.25">
      <c r="A139" s="227" t="s">
        <v>1390</v>
      </c>
      <c r="B139" s="228" t="s">
        <v>1388</v>
      </c>
    </row>
    <row r="140" spans="1:2" ht="31.5" x14ac:dyDescent="0.25">
      <c r="A140" s="225" t="s">
        <v>1391</v>
      </c>
      <c r="B140" s="226" t="s">
        <v>1393</v>
      </c>
    </row>
    <row r="141" spans="1:2" x14ac:dyDescent="0.25">
      <c r="A141" s="227" t="s">
        <v>1392</v>
      </c>
      <c r="B141" s="228" t="s">
        <v>1430</v>
      </c>
    </row>
    <row r="142" spans="1:2" ht="32.25" thickBot="1" x14ac:dyDescent="0.3">
      <c r="A142" s="468" t="s">
        <v>652</v>
      </c>
      <c r="B142" s="480" t="s">
        <v>651</v>
      </c>
    </row>
    <row r="143" spans="1:2" ht="16.5" thickBot="1" x14ac:dyDescent="0.3">
      <c r="A143" s="481" t="s">
        <v>654</v>
      </c>
      <c r="B143" s="482" t="s">
        <v>653</v>
      </c>
    </row>
    <row r="144" spans="1:2" ht="31.5" x14ac:dyDescent="0.25">
      <c r="A144" s="271" t="s">
        <v>1026</v>
      </c>
      <c r="B144" s="272" t="s">
        <v>1039</v>
      </c>
    </row>
    <row r="145" spans="1:2" x14ac:dyDescent="0.25">
      <c r="A145" s="160" t="s">
        <v>1027</v>
      </c>
      <c r="B145" s="274" t="s">
        <v>1087</v>
      </c>
    </row>
    <row r="146" spans="1:2" ht="31.5" x14ac:dyDescent="0.25">
      <c r="A146" s="160" t="s">
        <v>1067</v>
      </c>
      <c r="B146" s="247" t="s">
        <v>1088</v>
      </c>
    </row>
    <row r="147" spans="1:2" ht="32.25" thickBot="1" x14ac:dyDescent="0.3">
      <c r="A147" s="249" t="s">
        <v>1038</v>
      </c>
      <c r="B147" s="273" t="s">
        <v>1062</v>
      </c>
    </row>
    <row r="148" spans="1:2" ht="31.5" x14ac:dyDescent="0.25">
      <c r="A148" s="163" t="s">
        <v>1040</v>
      </c>
      <c r="B148" s="262" t="s">
        <v>1041</v>
      </c>
    </row>
    <row r="149" spans="1:2" ht="48" thickBot="1" x14ac:dyDescent="0.3">
      <c r="A149" s="162" t="s">
        <v>1042</v>
      </c>
      <c r="B149" s="263" t="s">
        <v>1043</v>
      </c>
    </row>
    <row r="150" spans="1:2" ht="32.25" thickBot="1" x14ac:dyDescent="0.3">
      <c r="A150" s="261" t="s">
        <v>1044</v>
      </c>
      <c r="B150" s="264" t="s">
        <v>474</v>
      </c>
    </row>
    <row r="151" spans="1:2" x14ac:dyDescent="0.25">
      <c r="A151" s="265" t="s">
        <v>1045</v>
      </c>
      <c r="B151" s="310" t="s">
        <v>1129</v>
      </c>
    </row>
    <row r="152" spans="1:2" x14ac:dyDescent="0.25">
      <c r="A152" s="160" t="s">
        <v>1130</v>
      </c>
      <c r="B152" s="18" t="s">
        <v>1131</v>
      </c>
    </row>
    <row r="153" spans="1:2" ht="16.5" thickBot="1" x14ac:dyDescent="0.3">
      <c r="A153" s="162" t="s">
        <v>1132</v>
      </c>
      <c r="B153" s="311" t="s">
        <v>1133</v>
      </c>
    </row>
    <row r="154" spans="1:2" ht="32.25" thickBot="1" x14ac:dyDescent="0.3">
      <c r="A154" s="223" t="s">
        <v>1134</v>
      </c>
      <c r="B154" s="312" t="s">
        <v>1135</v>
      </c>
    </row>
    <row r="155" spans="1:2" x14ac:dyDescent="0.25">
      <c r="A155" s="265" t="s">
        <v>1152</v>
      </c>
      <c r="B155" s="310" t="s">
        <v>1608</v>
      </c>
    </row>
    <row r="156" spans="1:2" x14ac:dyDescent="0.25">
      <c r="A156" s="160" t="s">
        <v>1153</v>
      </c>
      <c r="B156" s="735" t="s">
        <v>1706</v>
      </c>
    </row>
    <row r="157" spans="1:2" ht="31.5" x14ac:dyDescent="0.25">
      <c r="A157" s="207" t="s">
        <v>1154</v>
      </c>
      <c r="B157" s="357" t="s">
        <v>1312</v>
      </c>
    </row>
    <row r="158" spans="1:2" x14ac:dyDescent="0.25">
      <c r="A158" s="207" t="s">
        <v>1314</v>
      </c>
      <c r="B158" s="357" t="s">
        <v>1315</v>
      </c>
    </row>
    <row r="159" spans="1:2" ht="48" thickBot="1" x14ac:dyDescent="0.3">
      <c r="A159" s="249" t="s">
        <v>1136</v>
      </c>
      <c r="B159" s="356" t="s">
        <v>1320</v>
      </c>
    </row>
    <row r="160" spans="1:2" ht="16.5" thickBot="1" x14ac:dyDescent="0.3">
      <c r="A160" s="265" t="s">
        <v>1137</v>
      </c>
      <c r="B160" s="313" t="s">
        <v>1138</v>
      </c>
    </row>
    <row r="161" spans="1:2" ht="47.25" x14ac:dyDescent="0.25">
      <c r="A161" s="346" t="s">
        <v>1188</v>
      </c>
      <c r="B161" s="347" t="s">
        <v>1190</v>
      </c>
    </row>
    <row r="162" spans="1:2" ht="31.5" x14ac:dyDescent="0.25">
      <c r="A162" s="227" t="s">
        <v>1189</v>
      </c>
      <c r="B162" s="350" t="s">
        <v>1191</v>
      </c>
    </row>
    <row r="163" spans="1:2" ht="16.5" thickBot="1" x14ac:dyDescent="0.3">
      <c r="A163" s="351" t="s">
        <v>1192</v>
      </c>
      <c r="B163" s="352" t="s">
        <v>1193</v>
      </c>
    </row>
    <row r="164" spans="1:2" ht="31.5" x14ac:dyDescent="0.25">
      <c r="A164" s="346" t="s">
        <v>1335</v>
      </c>
      <c r="B164" s="347" t="s">
        <v>1338</v>
      </c>
    </row>
    <row r="165" spans="1:2" ht="29.25" customHeight="1" x14ac:dyDescent="0.25">
      <c r="A165" s="227" t="s">
        <v>1336</v>
      </c>
      <c r="B165" s="350" t="s">
        <v>1339</v>
      </c>
    </row>
    <row r="166" spans="1:2" x14ac:dyDescent="0.25">
      <c r="A166" s="227" t="s">
        <v>1337</v>
      </c>
      <c r="B166" s="391" t="s">
        <v>1381</v>
      </c>
    </row>
    <row r="167" spans="1:2" ht="31.5" x14ac:dyDescent="0.25">
      <c r="A167" s="460" t="s">
        <v>1409</v>
      </c>
      <c r="B167" s="461" t="s">
        <v>1372</v>
      </c>
    </row>
    <row r="168" spans="1:2" ht="31.5" x14ac:dyDescent="0.25">
      <c r="A168" s="458" t="s">
        <v>1410</v>
      </c>
      <c r="B168" s="459" t="s">
        <v>1413</v>
      </c>
    </row>
    <row r="169" spans="1:2" ht="37.5" customHeight="1" x14ac:dyDescent="0.25">
      <c r="A169" s="458" t="s">
        <v>1411</v>
      </c>
      <c r="B169" s="459" t="s">
        <v>1421</v>
      </c>
    </row>
    <row r="170" spans="1:2" ht="55.15" customHeight="1" x14ac:dyDescent="0.25">
      <c r="A170" s="458" t="s">
        <v>1574</v>
      </c>
      <c r="B170" s="459" t="s">
        <v>1575</v>
      </c>
    </row>
    <row r="171" spans="1:2" x14ac:dyDescent="0.25">
      <c r="A171" s="458" t="s">
        <v>1412</v>
      </c>
      <c r="B171" s="459" t="s">
        <v>1431</v>
      </c>
    </row>
    <row r="172" spans="1:2" ht="47.25" x14ac:dyDescent="0.25">
      <c r="A172" s="460" t="s">
        <v>1414</v>
      </c>
      <c r="B172" s="461" t="s">
        <v>1441</v>
      </c>
    </row>
    <row r="173" spans="1:2" ht="31.5" x14ac:dyDescent="0.25">
      <c r="A173" s="458" t="s">
        <v>1416</v>
      </c>
      <c r="B173" s="459" t="s">
        <v>1415</v>
      </c>
    </row>
    <row r="174" spans="1:2" ht="31.5" x14ac:dyDescent="0.25">
      <c r="A174" s="460" t="s">
        <v>1458</v>
      </c>
      <c r="B174" s="461" t="s">
        <v>1606</v>
      </c>
    </row>
    <row r="175" spans="1:2" ht="31.5" x14ac:dyDescent="0.25">
      <c r="A175" s="458" t="s">
        <v>1459</v>
      </c>
      <c r="B175" s="459" t="s">
        <v>1607</v>
      </c>
    </row>
    <row r="176" spans="1:2" ht="31.5" x14ac:dyDescent="0.25">
      <c r="A176" s="460" t="s">
        <v>1672</v>
      </c>
      <c r="B176" s="461" t="s">
        <v>1675</v>
      </c>
    </row>
    <row r="177" spans="1:2" x14ac:dyDescent="0.25">
      <c r="A177" s="458" t="s">
        <v>1673</v>
      </c>
      <c r="B177" s="459" t="s">
        <v>1676</v>
      </c>
    </row>
    <row r="178" spans="1:2" ht="31.5" x14ac:dyDescent="0.25">
      <c r="A178" s="458" t="s">
        <v>1674</v>
      </c>
      <c r="B178" s="459" t="s">
        <v>1677</v>
      </c>
    </row>
    <row r="179" spans="1:2" ht="31.5" x14ac:dyDescent="0.25">
      <c r="A179" s="460" t="s">
        <v>1691</v>
      </c>
      <c r="B179" s="461" t="s">
        <v>1693</v>
      </c>
    </row>
    <row r="180" spans="1:2" ht="47.25" x14ac:dyDescent="0.25">
      <c r="A180" s="458" t="s">
        <v>1692</v>
      </c>
      <c r="B180" s="459" t="s">
        <v>1694</v>
      </c>
    </row>
    <row r="181" spans="1:2" x14ac:dyDescent="0.25">
      <c r="A181" s="250" t="s">
        <v>311</v>
      </c>
      <c r="B181" s="91" t="s">
        <v>310</v>
      </c>
    </row>
    <row r="182" spans="1:2" x14ac:dyDescent="0.25">
      <c r="A182" s="250" t="s">
        <v>1527</v>
      </c>
      <c r="B182" s="91" t="s">
        <v>310</v>
      </c>
    </row>
    <row r="183" spans="1:2" x14ac:dyDescent="0.25">
      <c r="A183" s="713" t="s">
        <v>478</v>
      </c>
      <c r="B183" s="91" t="s">
        <v>477</v>
      </c>
    </row>
    <row r="184" spans="1:2" x14ac:dyDescent="0.25">
      <c r="A184" s="714"/>
      <c r="B184" s="71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1"/>
  <sheetViews>
    <sheetView topLeftCell="A67" workbookViewId="0">
      <selection activeCell="B199" sqref="B199"/>
    </sheetView>
  </sheetViews>
  <sheetFormatPr defaultColWidth="9.140625" defaultRowHeight="12.75" x14ac:dyDescent="0.2"/>
  <cols>
    <col min="1" max="1" width="21.28515625" style="90" customWidth="1"/>
    <col min="2" max="2" width="123.7109375" style="90" customWidth="1"/>
    <col min="3" max="16384" width="9.140625" style="90"/>
  </cols>
  <sheetData>
    <row r="1" spans="1:2" x14ac:dyDescent="0.2">
      <c r="A1" s="191" t="s">
        <v>937</v>
      </c>
      <c r="B1" s="191" t="s">
        <v>938</v>
      </c>
    </row>
    <row r="2" spans="1:2" ht="31.5" x14ac:dyDescent="0.25">
      <c r="A2" s="192" t="s">
        <v>939</v>
      </c>
      <c r="B2" s="88" t="s">
        <v>1344</v>
      </c>
    </row>
    <row r="3" spans="1:2" ht="31.5" x14ac:dyDescent="0.25">
      <c r="A3" s="192" t="s">
        <v>940</v>
      </c>
      <c r="B3" s="88" t="s">
        <v>941</v>
      </c>
    </row>
    <row r="4" spans="1:2" ht="15.75" x14ac:dyDescent="0.25">
      <c r="A4" s="193">
        <v>10010</v>
      </c>
      <c r="B4" s="88" t="s">
        <v>556</v>
      </c>
    </row>
    <row r="5" spans="1:2" ht="15.75" x14ac:dyDescent="0.25">
      <c r="A5" s="193">
        <v>10020</v>
      </c>
      <c r="B5" s="88" t="s">
        <v>942</v>
      </c>
    </row>
    <row r="6" spans="1:2" ht="15.75" x14ac:dyDescent="0.25">
      <c r="A6" s="193">
        <v>10030</v>
      </c>
      <c r="B6" s="88" t="s">
        <v>1047</v>
      </c>
    </row>
    <row r="7" spans="1:2" ht="15.75" x14ac:dyDescent="0.25">
      <c r="A7" s="193">
        <v>10040</v>
      </c>
      <c r="B7" s="754" t="s">
        <v>1783</v>
      </c>
    </row>
    <row r="8" spans="1:2" ht="15.75" x14ac:dyDescent="0.25">
      <c r="A8" s="193">
        <v>10051</v>
      </c>
      <c r="B8" s="88" t="s">
        <v>1432</v>
      </c>
    </row>
    <row r="9" spans="1:2" ht="50.25" customHeight="1" x14ac:dyDescent="0.25">
      <c r="A9" s="193">
        <v>10052</v>
      </c>
      <c r="B9" s="88" t="s">
        <v>1433</v>
      </c>
    </row>
    <row r="10" spans="1:2" ht="15.75" x14ac:dyDescent="0.25">
      <c r="A10" s="193">
        <v>10060</v>
      </c>
      <c r="B10" s="88" t="s">
        <v>1418</v>
      </c>
    </row>
    <row r="11" spans="1:2" ht="15.75" x14ac:dyDescent="0.25">
      <c r="A11" s="193">
        <v>10070</v>
      </c>
      <c r="B11" s="253" t="s">
        <v>1345</v>
      </c>
    </row>
    <row r="12" spans="1:2" ht="15.75" x14ac:dyDescent="0.25">
      <c r="A12" s="193">
        <v>10080</v>
      </c>
      <c r="B12" s="88" t="s">
        <v>1198</v>
      </c>
    </row>
    <row r="13" spans="1:2" ht="31.5" x14ac:dyDescent="0.25">
      <c r="A13" s="193">
        <v>10090</v>
      </c>
      <c r="B13" s="88" t="s">
        <v>943</v>
      </c>
    </row>
    <row r="14" spans="1:2" ht="15.75" x14ac:dyDescent="0.25">
      <c r="A14" s="193">
        <v>10100</v>
      </c>
      <c r="B14" s="195" t="s">
        <v>1050</v>
      </c>
    </row>
    <row r="15" spans="1:2" ht="15.75" x14ac:dyDescent="0.25">
      <c r="A15" s="193">
        <v>10110</v>
      </c>
      <c r="B15" s="88" t="s">
        <v>1051</v>
      </c>
    </row>
    <row r="16" spans="1:2" ht="15.75" x14ac:dyDescent="0.25">
      <c r="A16" s="193">
        <v>10200</v>
      </c>
      <c r="B16" s="195" t="s">
        <v>545</v>
      </c>
    </row>
    <row r="17" spans="1:2" ht="31.5" x14ac:dyDescent="0.25">
      <c r="A17" s="193">
        <v>10210</v>
      </c>
      <c r="B17" s="88" t="s">
        <v>944</v>
      </c>
    </row>
    <row r="18" spans="1:2" ht="15.75" x14ac:dyDescent="0.25">
      <c r="A18" s="193">
        <v>10220</v>
      </c>
      <c r="B18" s="88" t="s">
        <v>945</v>
      </c>
    </row>
    <row r="19" spans="1:2" ht="15.75" x14ac:dyDescent="0.25">
      <c r="A19" s="193">
        <v>10230</v>
      </c>
      <c r="B19" s="253" t="s">
        <v>1519</v>
      </c>
    </row>
    <row r="20" spans="1:2" ht="15.75" x14ac:dyDescent="0.25">
      <c r="A20" s="193">
        <v>10240</v>
      </c>
      <c r="B20" s="88" t="s">
        <v>946</v>
      </c>
    </row>
    <row r="21" spans="1:2" ht="15.75" x14ac:dyDescent="0.25">
      <c r="A21" s="193">
        <v>10300</v>
      </c>
      <c r="B21" s="88" t="s">
        <v>1046</v>
      </c>
    </row>
    <row r="22" spans="1:2" ht="15.75" x14ac:dyDescent="0.25">
      <c r="A22" s="193">
        <v>10360</v>
      </c>
      <c r="B22" s="88" t="s">
        <v>947</v>
      </c>
    </row>
    <row r="23" spans="1:2" ht="15.75" x14ac:dyDescent="0.25">
      <c r="A23" s="193">
        <v>10370</v>
      </c>
      <c r="B23" s="88" t="s">
        <v>364</v>
      </c>
    </row>
    <row r="24" spans="1:2" ht="31.5" x14ac:dyDescent="0.25">
      <c r="A24" s="193">
        <v>10371</v>
      </c>
      <c r="B24" s="88" t="s">
        <v>1780</v>
      </c>
    </row>
    <row r="25" spans="1:2" ht="15.75" x14ac:dyDescent="0.25">
      <c r="A25" s="193">
        <v>10400</v>
      </c>
      <c r="B25" s="88" t="s">
        <v>531</v>
      </c>
    </row>
    <row r="26" spans="1:2" ht="15.75" x14ac:dyDescent="0.25">
      <c r="A26" s="193">
        <v>10410</v>
      </c>
      <c r="B26" s="329" t="s">
        <v>1417</v>
      </c>
    </row>
    <row r="27" spans="1:2" ht="15.75" x14ac:dyDescent="0.25">
      <c r="A27" s="193">
        <v>10420</v>
      </c>
      <c r="B27" s="330" t="s">
        <v>1185</v>
      </c>
    </row>
    <row r="28" spans="1:2" ht="31.5" x14ac:dyDescent="0.25">
      <c r="A28" s="193">
        <v>10430</v>
      </c>
      <c r="B28" s="88" t="s">
        <v>1340</v>
      </c>
    </row>
    <row r="29" spans="1:2" ht="15.75" x14ac:dyDescent="0.25">
      <c r="A29" s="193">
        <v>10440</v>
      </c>
      <c r="B29" s="88" t="s">
        <v>1382</v>
      </c>
    </row>
    <row r="30" spans="1:2" ht="31.5" x14ac:dyDescent="0.25">
      <c r="A30" s="193">
        <v>10470</v>
      </c>
      <c r="B30" s="88" t="s">
        <v>413</v>
      </c>
    </row>
    <row r="31" spans="1:2" ht="15.75" x14ac:dyDescent="0.25">
      <c r="A31" s="193">
        <v>10500</v>
      </c>
      <c r="B31" s="88" t="s">
        <v>948</v>
      </c>
    </row>
    <row r="32" spans="1:2" ht="15.75" x14ac:dyDescent="0.25">
      <c r="A32" s="193">
        <v>10510</v>
      </c>
      <c r="B32" s="88" t="s">
        <v>363</v>
      </c>
    </row>
    <row r="33" spans="1:2" ht="15.75" x14ac:dyDescent="0.25">
      <c r="A33" s="193">
        <v>10520</v>
      </c>
      <c r="B33" s="88"/>
    </row>
    <row r="34" spans="1:2" ht="15.75" x14ac:dyDescent="0.25">
      <c r="A34" s="193">
        <v>10530</v>
      </c>
      <c r="B34" s="88" t="s">
        <v>1199</v>
      </c>
    </row>
    <row r="35" spans="1:2" ht="15.75" x14ac:dyDescent="0.25">
      <c r="A35" s="193">
        <v>10600</v>
      </c>
      <c r="B35" s="88" t="s">
        <v>1124</v>
      </c>
    </row>
    <row r="36" spans="1:2" ht="15.75" x14ac:dyDescent="0.25">
      <c r="A36" s="193">
        <v>10650</v>
      </c>
      <c r="B36" s="88" t="s">
        <v>1576</v>
      </c>
    </row>
    <row r="37" spans="1:2" ht="15.75" x14ac:dyDescent="0.25">
      <c r="A37" s="193">
        <v>10700</v>
      </c>
      <c r="B37" s="88" t="s">
        <v>1162</v>
      </c>
    </row>
    <row r="38" spans="1:2" ht="15.75" x14ac:dyDescent="0.25">
      <c r="A38" s="193">
        <v>10701</v>
      </c>
      <c r="B38" s="88" t="s">
        <v>1163</v>
      </c>
    </row>
    <row r="39" spans="1:2" ht="31.5" x14ac:dyDescent="0.25">
      <c r="A39" s="193">
        <v>10702</v>
      </c>
      <c r="B39" s="88" t="s">
        <v>1164</v>
      </c>
    </row>
    <row r="40" spans="1:2" ht="15.75" x14ac:dyDescent="0.25">
      <c r="A40" s="193">
        <v>10703</v>
      </c>
      <c r="B40" s="88" t="s">
        <v>1170</v>
      </c>
    </row>
    <row r="41" spans="1:2" ht="15.75" x14ac:dyDescent="0.25">
      <c r="A41" s="193">
        <v>10704</v>
      </c>
      <c r="B41" s="88" t="s">
        <v>1200</v>
      </c>
    </row>
    <row r="42" spans="1:2" ht="17.649999999999999" customHeight="1" x14ac:dyDescent="0.25">
      <c r="A42" s="193">
        <v>10710</v>
      </c>
      <c r="B42" s="88" t="s">
        <v>949</v>
      </c>
    </row>
    <row r="43" spans="1:2" ht="15.75" x14ac:dyDescent="0.25">
      <c r="A43" s="193">
        <v>10800</v>
      </c>
      <c r="B43" s="88" t="s">
        <v>485</v>
      </c>
    </row>
    <row r="44" spans="1:2" ht="15.75" x14ac:dyDescent="0.25">
      <c r="A44" s="193">
        <v>10880</v>
      </c>
      <c r="B44" s="88" t="s">
        <v>552</v>
      </c>
    </row>
    <row r="45" spans="1:2" ht="15.75" x14ac:dyDescent="0.25">
      <c r="A45" s="193">
        <v>10900</v>
      </c>
      <c r="B45" s="88" t="s">
        <v>492</v>
      </c>
    </row>
    <row r="46" spans="1:2" ht="15.75" x14ac:dyDescent="0.25">
      <c r="A46" s="193">
        <v>11000</v>
      </c>
      <c r="B46" s="88" t="s">
        <v>389</v>
      </c>
    </row>
    <row r="47" spans="1:2" ht="31.5" x14ac:dyDescent="0.25">
      <c r="A47" s="193">
        <v>11280</v>
      </c>
      <c r="B47" s="88" t="s">
        <v>1437</v>
      </c>
    </row>
    <row r="48" spans="1:2" ht="31.5" x14ac:dyDescent="0.25">
      <c r="A48" s="193">
        <v>11430</v>
      </c>
      <c r="B48" s="88" t="s">
        <v>406</v>
      </c>
    </row>
    <row r="49" spans="1:2" ht="31.5" x14ac:dyDescent="0.25">
      <c r="A49" s="193">
        <v>11690</v>
      </c>
      <c r="B49" s="88" t="s">
        <v>1695</v>
      </c>
    </row>
    <row r="50" spans="1:2" ht="15.75" x14ac:dyDescent="0.25">
      <c r="A50" s="193">
        <v>12010</v>
      </c>
      <c r="B50" s="88" t="s">
        <v>313</v>
      </c>
    </row>
    <row r="51" spans="1:2" ht="15.75" x14ac:dyDescent="0.25">
      <c r="A51" s="193">
        <v>12020</v>
      </c>
      <c r="B51" s="88" t="s">
        <v>312</v>
      </c>
    </row>
    <row r="52" spans="1:2" ht="15.75" x14ac:dyDescent="0.25">
      <c r="A52" s="193">
        <v>12030</v>
      </c>
      <c r="B52" s="88" t="s">
        <v>569</v>
      </c>
    </row>
    <row r="53" spans="1:2" ht="15.75" x14ac:dyDescent="0.25">
      <c r="A53" s="193">
        <v>12040</v>
      </c>
      <c r="B53" s="88" t="s">
        <v>1346</v>
      </c>
    </row>
    <row r="54" spans="1:2" ht="15.75" x14ac:dyDescent="0.25">
      <c r="A54" s="193">
        <v>12080</v>
      </c>
      <c r="B54" s="88" t="s">
        <v>331</v>
      </c>
    </row>
    <row r="55" spans="1:2" ht="15.75" x14ac:dyDescent="0.25">
      <c r="A55" s="193">
        <v>12090</v>
      </c>
      <c r="B55" s="88" t="s">
        <v>361</v>
      </c>
    </row>
    <row r="56" spans="1:2" ht="15.75" x14ac:dyDescent="0.25">
      <c r="A56" s="193">
        <v>12100</v>
      </c>
      <c r="B56" s="88" t="s">
        <v>332</v>
      </c>
    </row>
    <row r="57" spans="1:2" ht="15.75" x14ac:dyDescent="0.25">
      <c r="A57" s="193">
        <v>12130</v>
      </c>
      <c r="B57" s="304" t="s">
        <v>358</v>
      </c>
    </row>
    <row r="58" spans="1:2" ht="15.75" x14ac:dyDescent="0.25">
      <c r="A58" s="193">
        <v>12200</v>
      </c>
      <c r="B58" s="88" t="s">
        <v>324</v>
      </c>
    </row>
    <row r="59" spans="1:2" ht="15.75" x14ac:dyDescent="0.25">
      <c r="A59" s="193">
        <v>12210</v>
      </c>
      <c r="B59" s="88" t="s">
        <v>329</v>
      </c>
    </row>
    <row r="60" spans="1:2" ht="15.75" x14ac:dyDescent="0.25">
      <c r="A60" s="193">
        <v>12220</v>
      </c>
      <c r="B60" s="88" t="s">
        <v>321</v>
      </c>
    </row>
    <row r="61" spans="1:2" ht="15.75" x14ac:dyDescent="0.25">
      <c r="A61" s="193">
        <v>12240</v>
      </c>
      <c r="B61" s="88" t="s">
        <v>1119</v>
      </c>
    </row>
    <row r="62" spans="1:2" ht="31.5" x14ac:dyDescent="0.25">
      <c r="A62" s="193">
        <v>12241</v>
      </c>
      <c r="B62" s="304" t="s">
        <v>1118</v>
      </c>
    </row>
    <row r="63" spans="1:2" ht="15.75" x14ac:dyDescent="0.25">
      <c r="A63" s="193">
        <v>12250</v>
      </c>
      <c r="B63" s="304" t="s">
        <v>429</v>
      </c>
    </row>
    <row r="64" spans="1:2" ht="15.75" x14ac:dyDescent="0.25">
      <c r="A64" s="193">
        <v>12260</v>
      </c>
      <c r="B64" s="194" t="s">
        <v>950</v>
      </c>
    </row>
    <row r="65" spans="1:2" ht="15.75" x14ac:dyDescent="0.25">
      <c r="A65" s="193">
        <v>12270</v>
      </c>
      <c r="B65" s="253" t="s">
        <v>1139</v>
      </c>
    </row>
    <row r="66" spans="1:2" ht="15.75" x14ac:dyDescent="0.25">
      <c r="A66" s="193">
        <v>12300</v>
      </c>
      <c r="B66" s="253" t="s">
        <v>1517</v>
      </c>
    </row>
    <row r="67" spans="1:2" ht="15.75" x14ac:dyDescent="0.25">
      <c r="A67" s="193">
        <v>12310</v>
      </c>
      <c r="B67" s="194" t="s">
        <v>841</v>
      </c>
    </row>
    <row r="68" spans="1:2" ht="15.75" x14ac:dyDescent="0.25">
      <c r="A68" s="193">
        <v>12320</v>
      </c>
      <c r="B68" s="194" t="s">
        <v>842</v>
      </c>
    </row>
    <row r="69" spans="1:2" ht="31.5" x14ac:dyDescent="0.25">
      <c r="A69" s="193">
        <v>12440</v>
      </c>
      <c r="B69" s="88" t="s">
        <v>1311</v>
      </c>
    </row>
    <row r="70" spans="1:2" ht="15.75" x14ac:dyDescent="0.25">
      <c r="A70" s="193">
        <v>12600</v>
      </c>
      <c r="B70" s="304" t="s">
        <v>1347</v>
      </c>
    </row>
    <row r="71" spans="1:2" ht="15.75" x14ac:dyDescent="0.25">
      <c r="A71" s="193">
        <v>12700</v>
      </c>
      <c r="B71" s="88" t="s">
        <v>1598</v>
      </c>
    </row>
    <row r="72" spans="1:2" ht="15.75" x14ac:dyDescent="0.25">
      <c r="A72" s="193">
        <v>12710</v>
      </c>
      <c r="B72" s="88" t="s">
        <v>1348</v>
      </c>
    </row>
    <row r="73" spans="1:2" ht="15.75" x14ac:dyDescent="0.25">
      <c r="A73" s="193">
        <v>12750</v>
      </c>
      <c r="B73" s="88" t="s">
        <v>522</v>
      </c>
    </row>
    <row r="74" spans="1:2" ht="15.75" x14ac:dyDescent="0.25">
      <c r="A74" s="193">
        <v>12800</v>
      </c>
      <c r="B74" s="88" t="s">
        <v>482</v>
      </c>
    </row>
    <row r="75" spans="1:2" ht="31.5" x14ac:dyDescent="0.25">
      <c r="A75" s="193">
        <v>12880</v>
      </c>
      <c r="B75" s="198" t="s">
        <v>1308</v>
      </c>
    </row>
    <row r="76" spans="1:2" ht="15.75" x14ac:dyDescent="0.25">
      <c r="A76" s="193">
        <v>12900</v>
      </c>
      <c r="B76" s="88" t="s">
        <v>317</v>
      </c>
    </row>
    <row r="77" spans="1:2" ht="15.75" x14ac:dyDescent="0.25">
      <c r="A77" s="193">
        <v>12950</v>
      </c>
      <c r="B77" s="88" t="s">
        <v>1356</v>
      </c>
    </row>
    <row r="78" spans="1:2" ht="15.75" x14ac:dyDescent="0.25">
      <c r="A78" s="193">
        <v>13010</v>
      </c>
      <c r="B78" s="88" t="s">
        <v>371</v>
      </c>
    </row>
    <row r="79" spans="1:2" ht="15.75" x14ac:dyDescent="0.25">
      <c r="A79" s="193">
        <v>13050</v>
      </c>
      <c r="B79" s="194" t="s">
        <v>951</v>
      </c>
    </row>
    <row r="80" spans="1:2" ht="15.75" x14ac:dyDescent="0.25">
      <c r="A80" s="193">
        <v>13110</v>
      </c>
      <c r="B80" s="88" t="s">
        <v>381</v>
      </c>
    </row>
    <row r="81" spans="1:2" ht="15.75" x14ac:dyDescent="0.25">
      <c r="A81" s="193">
        <v>13140</v>
      </c>
      <c r="B81" s="88" t="s">
        <v>1443</v>
      </c>
    </row>
    <row r="82" spans="1:2" ht="15.75" x14ac:dyDescent="0.25">
      <c r="A82" s="193">
        <v>13210</v>
      </c>
      <c r="B82" s="88" t="s">
        <v>382</v>
      </c>
    </row>
    <row r="83" spans="1:2" ht="15.75" x14ac:dyDescent="0.25">
      <c r="A83" s="193">
        <v>13310</v>
      </c>
      <c r="B83" s="88" t="s">
        <v>410</v>
      </c>
    </row>
    <row r="84" spans="1:2" ht="15.75" x14ac:dyDescent="0.25">
      <c r="A84" s="193">
        <v>13320</v>
      </c>
      <c r="B84" s="88" t="s">
        <v>412</v>
      </c>
    </row>
    <row r="85" spans="1:2" ht="15.75" x14ac:dyDescent="0.25">
      <c r="A85" s="193">
        <v>13330</v>
      </c>
      <c r="B85" s="253" t="s">
        <v>952</v>
      </c>
    </row>
    <row r="86" spans="1:2" ht="15.75" x14ac:dyDescent="0.25">
      <c r="A86" s="193">
        <v>13340</v>
      </c>
      <c r="B86" s="194"/>
    </row>
    <row r="87" spans="1:2" ht="15.75" x14ac:dyDescent="0.25">
      <c r="A87" s="193">
        <v>13380</v>
      </c>
      <c r="B87" s="88" t="s">
        <v>953</v>
      </c>
    </row>
    <row r="88" spans="1:2" ht="31.5" x14ac:dyDescent="0.25">
      <c r="A88" s="193">
        <v>13390</v>
      </c>
      <c r="B88" s="194" t="s">
        <v>954</v>
      </c>
    </row>
    <row r="89" spans="1:2" ht="15.75" x14ac:dyDescent="0.25">
      <c r="A89" s="193">
        <v>13400</v>
      </c>
      <c r="B89" s="194"/>
    </row>
    <row r="90" spans="1:2" ht="15.75" x14ac:dyDescent="0.25">
      <c r="A90" s="193">
        <v>13510</v>
      </c>
      <c r="B90" s="194" t="s">
        <v>955</v>
      </c>
    </row>
    <row r="91" spans="1:2" ht="15.75" x14ac:dyDescent="0.25">
      <c r="A91" s="193">
        <v>13710</v>
      </c>
      <c r="B91" s="304" t="s">
        <v>430</v>
      </c>
    </row>
    <row r="92" spans="1:2" ht="15.75" x14ac:dyDescent="0.25">
      <c r="A92" s="193">
        <v>13750</v>
      </c>
      <c r="B92" s="194" t="s">
        <v>432</v>
      </c>
    </row>
    <row r="93" spans="1:2" ht="15.75" x14ac:dyDescent="0.25">
      <c r="A93" s="193">
        <v>13810</v>
      </c>
      <c r="B93" s="88" t="s">
        <v>421</v>
      </c>
    </row>
    <row r="94" spans="1:2" ht="31.5" x14ac:dyDescent="0.25">
      <c r="A94" s="193">
        <v>13820</v>
      </c>
      <c r="B94" s="88" t="s">
        <v>506</v>
      </c>
    </row>
    <row r="95" spans="1:2" ht="31.5" x14ac:dyDescent="0.25">
      <c r="A95" s="193">
        <v>13900</v>
      </c>
      <c r="B95" s="88" t="s">
        <v>1310</v>
      </c>
    </row>
    <row r="96" spans="1:2" ht="30.75" customHeight="1" x14ac:dyDescent="0.25">
      <c r="A96" s="193">
        <v>13930</v>
      </c>
      <c r="B96" s="88" t="s">
        <v>1369</v>
      </c>
    </row>
    <row r="97" spans="1:2" ht="15.75" x14ac:dyDescent="0.25">
      <c r="A97" s="193">
        <v>14010</v>
      </c>
      <c r="B97" s="88" t="s">
        <v>440</v>
      </c>
    </row>
    <row r="98" spans="1:2" ht="15.75" x14ac:dyDescent="0.25">
      <c r="A98" s="193">
        <v>14020</v>
      </c>
      <c r="B98" s="88" t="s">
        <v>1064</v>
      </c>
    </row>
    <row r="99" spans="1:2" ht="15.75" x14ac:dyDescent="0.25">
      <c r="A99" s="193">
        <v>14100</v>
      </c>
      <c r="B99" s="88" t="s">
        <v>956</v>
      </c>
    </row>
    <row r="100" spans="1:2" ht="15.75" x14ac:dyDescent="0.25">
      <c r="A100" s="193">
        <v>14510</v>
      </c>
      <c r="B100" s="88" t="s">
        <v>502</v>
      </c>
    </row>
    <row r="101" spans="1:2" ht="15.75" x14ac:dyDescent="0.25">
      <c r="A101" s="193">
        <v>14530</v>
      </c>
      <c r="B101" s="88" t="s">
        <v>503</v>
      </c>
    </row>
    <row r="102" spans="1:2" ht="15.75" x14ac:dyDescent="0.25">
      <c r="A102" s="193">
        <v>14540</v>
      </c>
      <c r="B102" s="88" t="s">
        <v>1755</v>
      </c>
    </row>
    <row r="103" spans="1:2" ht="15.75" x14ac:dyDescent="0.25">
      <c r="A103" s="193">
        <v>14550</v>
      </c>
      <c r="B103" s="194"/>
    </row>
    <row r="104" spans="1:2" ht="15.75" x14ac:dyDescent="0.25">
      <c r="A104" s="193">
        <v>14560</v>
      </c>
      <c r="B104" s="88" t="s">
        <v>401</v>
      </c>
    </row>
    <row r="105" spans="1:2" ht="15.75" x14ac:dyDescent="0.25">
      <c r="A105" s="193">
        <v>14570</v>
      </c>
      <c r="B105" s="194" t="s">
        <v>957</v>
      </c>
    </row>
    <row r="106" spans="1:2" ht="15.75" x14ac:dyDescent="0.25">
      <c r="A106" s="193">
        <v>14580</v>
      </c>
      <c r="B106" s="194"/>
    </row>
    <row r="107" spans="1:2" ht="15.75" x14ac:dyDescent="0.25">
      <c r="A107" s="193">
        <v>14880</v>
      </c>
      <c r="B107" s="304" t="s">
        <v>1066</v>
      </c>
    </row>
    <row r="108" spans="1:2" ht="15.75" x14ac:dyDescent="0.25">
      <c r="A108" s="193">
        <v>15010</v>
      </c>
      <c r="B108" s="304" t="s">
        <v>513</v>
      </c>
    </row>
    <row r="109" spans="1:2" ht="15.75" x14ac:dyDescent="0.25">
      <c r="A109" s="193">
        <v>15030</v>
      </c>
      <c r="B109" s="194" t="s">
        <v>958</v>
      </c>
    </row>
    <row r="110" spans="1:2" ht="15.75" x14ac:dyDescent="0.25">
      <c r="A110" s="193">
        <v>15110</v>
      </c>
      <c r="B110" s="88" t="s">
        <v>518</v>
      </c>
    </row>
    <row r="111" spans="1:2" ht="15.75" x14ac:dyDescent="0.25">
      <c r="A111" s="193">
        <v>15130</v>
      </c>
      <c r="B111" s="88" t="s">
        <v>959</v>
      </c>
    </row>
    <row r="112" spans="1:2" ht="15.75" x14ac:dyDescent="0.25">
      <c r="A112" s="193">
        <v>15210</v>
      </c>
      <c r="B112" s="88" t="s">
        <v>521</v>
      </c>
    </row>
    <row r="113" spans="1:2" ht="15.75" x14ac:dyDescent="0.25">
      <c r="A113" s="193">
        <v>15220</v>
      </c>
      <c r="B113" s="88" t="s">
        <v>497</v>
      </c>
    </row>
    <row r="114" spans="1:2" ht="15.75" x14ac:dyDescent="0.25">
      <c r="A114" s="193">
        <v>15250</v>
      </c>
      <c r="B114" s="194"/>
    </row>
    <row r="115" spans="1:2" ht="15.75" x14ac:dyDescent="0.25">
      <c r="A115" s="193">
        <v>15260</v>
      </c>
      <c r="B115" s="253" t="s">
        <v>1201</v>
      </c>
    </row>
    <row r="116" spans="1:2" ht="15.75" x14ac:dyDescent="0.25">
      <c r="A116" s="193">
        <v>15350</v>
      </c>
      <c r="B116" s="253" t="s">
        <v>1227</v>
      </c>
    </row>
    <row r="117" spans="1:2" ht="15.75" x14ac:dyDescent="0.25">
      <c r="A117" s="193">
        <v>15620</v>
      </c>
      <c r="B117" s="253" t="s">
        <v>1799</v>
      </c>
    </row>
    <row r="118" spans="1:2" ht="15.75" x14ac:dyDescent="0.25">
      <c r="A118" s="193">
        <v>15800</v>
      </c>
      <c r="B118" s="253" t="s">
        <v>1299</v>
      </c>
    </row>
    <row r="119" spans="1:2" ht="31.5" x14ac:dyDescent="0.25">
      <c r="A119" s="193">
        <v>15880</v>
      </c>
      <c r="B119" s="253" t="s">
        <v>1322</v>
      </c>
    </row>
    <row r="120" spans="1:2" ht="31.5" x14ac:dyDescent="0.25">
      <c r="A120" s="193">
        <v>15890</v>
      </c>
      <c r="B120" s="253" t="s">
        <v>1679</v>
      </c>
    </row>
    <row r="121" spans="1:2" ht="15.75" x14ac:dyDescent="0.25">
      <c r="A121" s="193">
        <v>15900</v>
      </c>
      <c r="B121" s="253" t="s">
        <v>1655</v>
      </c>
    </row>
    <row r="122" spans="1:2" ht="15.75" x14ac:dyDescent="0.25">
      <c r="A122" s="193">
        <v>16010</v>
      </c>
      <c r="B122" s="88" t="s">
        <v>449</v>
      </c>
    </row>
    <row r="123" spans="1:2" ht="15.75" x14ac:dyDescent="0.25">
      <c r="A123" s="192">
        <v>16050</v>
      </c>
      <c r="B123" s="353" t="s">
        <v>1202</v>
      </c>
    </row>
    <row r="124" spans="1:2" ht="15.75" x14ac:dyDescent="0.25">
      <c r="A124" s="193">
        <v>16110</v>
      </c>
      <c r="B124" s="194"/>
    </row>
    <row r="125" spans="1:2" ht="15.75" x14ac:dyDescent="0.25">
      <c r="A125" s="193">
        <v>16150</v>
      </c>
      <c r="B125" s="88" t="s">
        <v>1605</v>
      </c>
    </row>
    <row r="126" spans="1:2" ht="15.75" x14ac:dyDescent="0.25">
      <c r="A126" s="193">
        <v>16151</v>
      </c>
      <c r="B126" s="88" t="s">
        <v>1203</v>
      </c>
    </row>
    <row r="127" spans="1:2" ht="31.5" x14ac:dyDescent="0.25">
      <c r="A127" s="193">
        <v>16160</v>
      </c>
      <c r="B127" s="88" t="s">
        <v>1350</v>
      </c>
    </row>
    <row r="128" spans="1:2" ht="15.75" x14ac:dyDescent="0.25">
      <c r="A128" s="193">
        <v>16210</v>
      </c>
      <c r="B128" s="88" t="s">
        <v>467</v>
      </c>
    </row>
    <row r="129" spans="1:2" ht="15.75" x14ac:dyDescent="0.25">
      <c r="A129" s="193">
        <v>16220</v>
      </c>
      <c r="B129" s="88" t="s">
        <v>468</v>
      </c>
    </row>
    <row r="130" spans="1:2" ht="21" customHeight="1" x14ac:dyDescent="0.25">
      <c r="A130" s="193">
        <v>16250</v>
      </c>
      <c r="B130" s="88" t="s">
        <v>510</v>
      </c>
    </row>
    <row r="131" spans="1:2" ht="21" customHeight="1" x14ac:dyDescent="0.25">
      <c r="A131" s="193">
        <v>16900</v>
      </c>
      <c r="B131" s="88" t="s">
        <v>1436</v>
      </c>
    </row>
    <row r="132" spans="1:2" ht="21" customHeight="1" x14ac:dyDescent="0.25">
      <c r="A132" s="193">
        <v>16950</v>
      </c>
      <c r="B132" s="88" t="s">
        <v>1599</v>
      </c>
    </row>
    <row r="133" spans="1:2" ht="21" customHeight="1" x14ac:dyDescent="0.25">
      <c r="A133" s="193">
        <v>17260</v>
      </c>
      <c r="B133" s="88" t="s">
        <v>1592</v>
      </c>
    </row>
    <row r="134" spans="1:2" ht="21" customHeight="1" x14ac:dyDescent="0.25">
      <c r="A134" s="193">
        <v>17440</v>
      </c>
      <c r="B134" s="88" t="s">
        <v>1612</v>
      </c>
    </row>
    <row r="135" spans="1:2" ht="21" customHeight="1" x14ac:dyDescent="0.25">
      <c r="A135" s="193">
        <v>21236</v>
      </c>
      <c r="B135" s="88" t="s">
        <v>1204</v>
      </c>
    </row>
    <row r="136" spans="1:2" ht="30.75" customHeight="1" x14ac:dyDescent="0.25">
      <c r="A136" s="193">
        <v>22446</v>
      </c>
      <c r="B136" s="88" t="s">
        <v>1420</v>
      </c>
    </row>
    <row r="137" spans="1:2" ht="48" customHeight="1" x14ac:dyDescent="0.25">
      <c r="A137" s="193">
        <v>22886</v>
      </c>
      <c r="B137" s="88" t="s">
        <v>1578</v>
      </c>
    </row>
    <row r="138" spans="1:2" ht="35.25" customHeight="1" x14ac:dyDescent="0.25">
      <c r="A138" s="193">
        <v>23906</v>
      </c>
      <c r="B138" s="88" t="s">
        <v>1419</v>
      </c>
    </row>
    <row r="139" spans="1:2" ht="35.25" customHeight="1" x14ac:dyDescent="0.25">
      <c r="A139" s="193">
        <v>23936</v>
      </c>
      <c r="B139" s="88" t="s">
        <v>1447</v>
      </c>
    </row>
    <row r="140" spans="1:2" ht="35.25" customHeight="1" x14ac:dyDescent="0.25">
      <c r="A140" s="193">
        <v>25356</v>
      </c>
      <c r="B140" s="88" t="s">
        <v>1205</v>
      </c>
    </row>
    <row r="141" spans="1:2" ht="24" customHeight="1" x14ac:dyDescent="0.25">
      <c r="A141" s="193">
        <v>25626</v>
      </c>
      <c r="B141" s="88" t="s">
        <v>1206</v>
      </c>
    </row>
    <row r="142" spans="1:2" ht="35.25" customHeight="1" x14ac:dyDescent="0.25">
      <c r="A142" s="193">
        <v>26426</v>
      </c>
      <c r="B142" s="88" t="s">
        <v>1378</v>
      </c>
    </row>
    <row r="143" spans="1:2" ht="46.5" customHeight="1" x14ac:dyDescent="0.25">
      <c r="A143" s="193">
        <v>26936</v>
      </c>
      <c r="B143" s="88" t="s">
        <v>1453</v>
      </c>
    </row>
    <row r="144" spans="1:2" ht="28.5" customHeight="1" x14ac:dyDescent="0.25">
      <c r="A144" s="193">
        <v>27266</v>
      </c>
      <c r="B144" s="88" t="s">
        <v>1581</v>
      </c>
    </row>
    <row r="145" spans="1:2" ht="28.5" customHeight="1" x14ac:dyDescent="0.25">
      <c r="A145" s="193">
        <v>27356</v>
      </c>
      <c r="B145" s="88" t="s">
        <v>1700</v>
      </c>
    </row>
    <row r="146" spans="1:2" ht="19.149999999999999" customHeight="1" x14ac:dyDescent="0.25">
      <c r="A146" s="193">
        <v>29016</v>
      </c>
      <c r="B146" s="196" t="s">
        <v>315</v>
      </c>
    </row>
    <row r="147" spans="1:2" ht="31.5" x14ac:dyDescent="0.25">
      <c r="A147" s="193">
        <v>29026</v>
      </c>
      <c r="B147" s="88" t="s">
        <v>362</v>
      </c>
    </row>
    <row r="148" spans="1:2" ht="31.5" x14ac:dyDescent="0.25">
      <c r="A148" s="193">
        <v>29036</v>
      </c>
      <c r="B148" s="88" t="s">
        <v>960</v>
      </c>
    </row>
    <row r="149" spans="1:2" ht="15.75" x14ac:dyDescent="0.25">
      <c r="A149" s="193">
        <v>29046</v>
      </c>
      <c r="B149" s="348" t="s">
        <v>1147</v>
      </c>
    </row>
    <row r="150" spans="1:2" ht="15.75" x14ac:dyDescent="0.25">
      <c r="A150" s="193">
        <v>29056</v>
      </c>
      <c r="B150" s="348" t="s">
        <v>961</v>
      </c>
    </row>
    <row r="151" spans="1:2" ht="15.75" x14ac:dyDescent="0.25">
      <c r="A151" s="193">
        <v>29066</v>
      </c>
      <c r="B151" s="348" t="s">
        <v>1148</v>
      </c>
    </row>
    <row r="152" spans="1:2" ht="15.75" x14ac:dyDescent="0.25">
      <c r="A152" s="193">
        <v>29076</v>
      </c>
      <c r="B152" s="18" t="s">
        <v>962</v>
      </c>
    </row>
    <row r="153" spans="1:2" ht="23.25" customHeight="1" x14ac:dyDescent="0.25">
      <c r="A153" s="193">
        <v>29086</v>
      </c>
      <c r="B153" s="18" t="s">
        <v>963</v>
      </c>
    </row>
    <row r="154" spans="1:2" ht="15.75" x14ac:dyDescent="0.25">
      <c r="A154" s="193">
        <v>29096</v>
      </c>
      <c r="B154" s="18" t="s">
        <v>964</v>
      </c>
    </row>
    <row r="155" spans="1:2" ht="15.75" x14ac:dyDescent="0.25">
      <c r="A155" s="193">
        <v>29106</v>
      </c>
      <c r="B155" s="35" t="s">
        <v>965</v>
      </c>
    </row>
    <row r="156" spans="1:2" ht="31.5" x14ac:dyDescent="0.25">
      <c r="A156" s="193">
        <v>29116</v>
      </c>
      <c r="B156" s="88" t="s">
        <v>966</v>
      </c>
    </row>
    <row r="157" spans="1:2" ht="31.5" x14ac:dyDescent="0.25">
      <c r="A157" s="193">
        <v>29126</v>
      </c>
      <c r="B157" s="18" t="s">
        <v>967</v>
      </c>
    </row>
    <row r="158" spans="1:2" ht="31.5" x14ac:dyDescent="0.25">
      <c r="A158" s="193">
        <v>29136</v>
      </c>
      <c r="B158" s="18" t="s">
        <v>1351</v>
      </c>
    </row>
    <row r="159" spans="1:2" ht="31.5" x14ac:dyDescent="0.25">
      <c r="A159" s="193">
        <v>29146</v>
      </c>
      <c r="B159" s="18" t="s">
        <v>968</v>
      </c>
    </row>
    <row r="160" spans="1:2" ht="15.75" x14ac:dyDescent="0.25">
      <c r="A160" s="193">
        <v>29156</v>
      </c>
      <c r="B160" s="86" t="s">
        <v>969</v>
      </c>
    </row>
    <row r="161" spans="1:2" ht="15.75" x14ac:dyDescent="0.25">
      <c r="A161" s="193">
        <v>29166</v>
      </c>
      <c r="B161" s="18" t="s">
        <v>970</v>
      </c>
    </row>
    <row r="162" spans="1:2" ht="15.75" x14ac:dyDescent="0.25">
      <c r="A162" s="193">
        <v>29176</v>
      </c>
      <c r="B162" s="18" t="s">
        <v>1207</v>
      </c>
    </row>
    <row r="163" spans="1:2" ht="31.5" x14ac:dyDescent="0.25">
      <c r="A163" s="193">
        <v>29186</v>
      </c>
      <c r="B163" s="18" t="s">
        <v>971</v>
      </c>
    </row>
    <row r="164" spans="1:2" ht="15.75" x14ac:dyDescent="0.25">
      <c r="A164" s="193">
        <v>29196</v>
      </c>
      <c r="B164" s="18" t="s">
        <v>972</v>
      </c>
    </row>
    <row r="165" spans="1:2" ht="15.75" x14ac:dyDescent="0.25">
      <c r="A165" s="193">
        <v>29206</v>
      </c>
      <c r="B165" s="18" t="s">
        <v>1702</v>
      </c>
    </row>
    <row r="166" spans="1:2" ht="19.5" customHeight="1" x14ac:dyDescent="0.25">
      <c r="A166" s="193">
        <v>29216</v>
      </c>
      <c r="B166" s="18" t="s">
        <v>497</v>
      </c>
    </row>
    <row r="167" spans="1:2" ht="15.75" x14ac:dyDescent="0.25">
      <c r="A167" s="193">
        <v>29226</v>
      </c>
      <c r="B167" s="18" t="s">
        <v>440</v>
      </c>
    </row>
    <row r="168" spans="1:2" ht="15.75" x14ac:dyDescent="0.25">
      <c r="A168" s="193">
        <v>29236</v>
      </c>
      <c r="B168" s="18" t="s">
        <v>973</v>
      </c>
    </row>
    <row r="169" spans="1:2" ht="15.75" x14ac:dyDescent="0.25">
      <c r="A169" s="193">
        <v>29246</v>
      </c>
      <c r="B169" s="18" t="s">
        <v>974</v>
      </c>
    </row>
    <row r="170" spans="1:2" ht="15.75" x14ac:dyDescent="0.25">
      <c r="A170" s="193">
        <v>29256</v>
      </c>
      <c r="B170" s="18" t="s">
        <v>1149</v>
      </c>
    </row>
    <row r="171" spans="1:2" ht="15.75" x14ac:dyDescent="0.25">
      <c r="A171" s="193">
        <v>29266</v>
      </c>
      <c r="B171" s="18" t="s">
        <v>1150</v>
      </c>
    </row>
    <row r="172" spans="1:2" ht="31.5" x14ac:dyDescent="0.25">
      <c r="A172" s="193">
        <v>29276</v>
      </c>
      <c r="B172" s="18" t="s">
        <v>975</v>
      </c>
    </row>
    <row r="173" spans="1:2" ht="15.75" x14ac:dyDescent="0.25">
      <c r="A173" s="193">
        <v>29286</v>
      </c>
      <c r="B173" s="197" t="s">
        <v>976</v>
      </c>
    </row>
    <row r="174" spans="1:2" ht="30" customHeight="1" x14ac:dyDescent="0.25">
      <c r="A174" s="193">
        <v>29296</v>
      </c>
      <c r="B174" s="197" t="s">
        <v>977</v>
      </c>
    </row>
    <row r="175" spans="1:2" ht="15.75" x14ac:dyDescent="0.25">
      <c r="A175" s="193">
        <v>29306</v>
      </c>
      <c r="B175" s="35" t="s">
        <v>978</v>
      </c>
    </row>
    <row r="176" spans="1:2" ht="15.75" x14ac:dyDescent="0.25">
      <c r="A176" s="193">
        <v>29316</v>
      </c>
      <c r="B176" s="18" t="s">
        <v>979</v>
      </c>
    </row>
    <row r="177" spans="1:2" ht="15.75" x14ac:dyDescent="0.25">
      <c r="A177" s="193">
        <v>29326</v>
      </c>
      <c r="B177" s="18" t="s">
        <v>980</v>
      </c>
    </row>
    <row r="178" spans="1:2" ht="15.75" x14ac:dyDescent="0.25">
      <c r="A178" s="193">
        <v>29336</v>
      </c>
      <c r="B178" s="348" t="s">
        <v>981</v>
      </c>
    </row>
    <row r="179" spans="1:2" ht="15.75" x14ac:dyDescent="0.25">
      <c r="A179" s="193">
        <v>29346</v>
      </c>
      <c r="B179" s="18" t="s">
        <v>982</v>
      </c>
    </row>
    <row r="180" spans="1:2" ht="15.75" x14ac:dyDescent="0.25">
      <c r="A180" s="193">
        <v>29356</v>
      </c>
      <c r="B180" s="35" t="s">
        <v>1705</v>
      </c>
    </row>
    <row r="181" spans="1:2" ht="15.75" x14ac:dyDescent="0.25">
      <c r="A181" s="193">
        <v>29366</v>
      </c>
      <c r="B181" s="18" t="s">
        <v>983</v>
      </c>
    </row>
    <row r="182" spans="1:2" ht="31.5" x14ac:dyDescent="0.25">
      <c r="A182" s="193">
        <v>29376</v>
      </c>
      <c r="B182" s="88" t="s">
        <v>1352</v>
      </c>
    </row>
    <row r="183" spans="1:2" ht="15.75" x14ac:dyDescent="0.25">
      <c r="A183" s="193">
        <v>29386</v>
      </c>
      <c r="B183" s="348" t="s">
        <v>1208</v>
      </c>
    </row>
    <row r="184" spans="1:2" ht="31.5" x14ac:dyDescent="0.25">
      <c r="A184" s="193">
        <v>29396</v>
      </c>
      <c r="B184" s="88" t="s">
        <v>984</v>
      </c>
    </row>
    <row r="185" spans="1:2" ht="31.5" x14ac:dyDescent="0.25">
      <c r="A185" s="193">
        <v>29406</v>
      </c>
      <c r="B185" s="197" t="s">
        <v>985</v>
      </c>
    </row>
    <row r="186" spans="1:2" ht="44.25" customHeight="1" x14ac:dyDescent="0.25">
      <c r="A186" s="193">
        <v>29416</v>
      </c>
      <c r="B186" s="88" t="s">
        <v>986</v>
      </c>
    </row>
    <row r="187" spans="1:2" ht="15.75" x14ac:dyDescent="0.25">
      <c r="A187" s="193">
        <v>29426</v>
      </c>
      <c r="B187" s="348" t="s">
        <v>987</v>
      </c>
    </row>
    <row r="188" spans="1:2" ht="15.75" x14ac:dyDescent="0.25">
      <c r="A188" s="193">
        <v>29436</v>
      </c>
      <c r="B188" s="88" t="s">
        <v>988</v>
      </c>
    </row>
    <row r="189" spans="1:2" ht="31.5" x14ac:dyDescent="0.25">
      <c r="A189" s="193">
        <v>29446</v>
      </c>
      <c r="B189" s="88" t="s">
        <v>989</v>
      </c>
    </row>
    <row r="190" spans="1:2" ht="15.75" x14ac:dyDescent="0.25">
      <c r="A190" s="193">
        <v>29456</v>
      </c>
      <c r="B190" s="196" t="s">
        <v>1306</v>
      </c>
    </row>
    <row r="191" spans="1:2" ht="15.75" x14ac:dyDescent="0.25">
      <c r="A191" s="193">
        <v>29466</v>
      </c>
      <c r="B191" s="196" t="s">
        <v>990</v>
      </c>
    </row>
    <row r="192" spans="1:2" ht="15.75" x14ac:dyDescent="0.25">
      <c r="A192" s="193">
        <v>29476</v>
      </c>
      <c r="B192" s="348" t="s">
        <v>1151</v>
      </c>
    </row>
    <row r="193" spans="1:2" ht="15.75" x14ac:dyDescent="0.25">
      <c r="A193" s="193">
        <v>29486</v>
      </c>
      <c r="B193" s="348" t="s">
        <v>991</v>
      </c>
    </row>
    <row r="194" spans="1:2" ht="15.75" x14ac:dyDescent="0.25">
      <c r="A194" s="193">
        <v>29496</v>
      </c>
      <c r="B194" s="35" t="s">
        <v>992</v>
      </c>
    </row>
    <row r="195" spans="1:2" ht="15.75" x14ac:dyDescent="0.25">
      <c r="A195" s="193">
        <v>29506</v>
      </c>
      <c r="B195" s="197" t="s">
        <v>993</v>
      </c>
    </row>
    <row r="196" spans="1:2" ht="15.75" x14ac:dyDescent="0.25">
      <c r="A196" s="193">
        <v>29516</v>
      </c>
      <c r="B196" s="197" t="s">
        <v>1123</v>
      </c>
    </row>
    <row r="197" spans="1:2" ht="15.75" x14ac:dyDescent="0.25">
      <c r="A197" s="193">
        <v>29526</v>
      </c>
      <c r="B197" s="197" t="s">
        <v>1319</v>
      </c>
    </row>
    <row r="198" spans="1:2" ht="15.75" x14ac:dyDescent="0.25">
      <c r="A198" s="193">
        <v>29536</v>
      </c>
      <c r="B198" s="197" t="s">
        <v>1454</v>
      </c>
    </row>
    <row r="199" spans="1:2" ht="31.5" x14ac:dyDescent="0.25">
      <c r="A199" s="193">
        <v>29556</v>
      </c>
      <c r="B199" s="197" t="s">
        <v>1209</v>
      </c>
    </row>
    <row r="200" spans="1:2" ht="15.75" x14ac:dyDescent="0.25">
      <c r="A200" s="193">
        <v>29566</v>
      </c>
      <c r="B200" s="197" t="s">
        <v>1122</v>
      </c>
    </row>
    <row r="201" spans="1:2" ht="31.5" x14ac:dyDescent="0.25">
      <c r="A201" s="193">
        <v>29576</v>
      </c>
      <c r="B201" s="88" t="s">
        <v>1210</v>
      </c>
    </row>
    <row r="202" spans="1:2" ht="31.5" x14ac:dyDescent="0.25">
      <c r="A202" s="193">
        <v>29586</v>
      </c>
      <c r="B202" s="197" t="s">
        <v>1211</v>
      </c>
    </row>
    <row r="203" spans="1:2" ht="15.75" x14ac:dyDescent="0.25">
      <c r="A203" s="193">
        <v>29596</v>
      </c>
      <c r="B203" s="35" t="s">
        <v>1212</v>
      </c>
    </row>
    <row r="204" spans="1:2" ht="15.75" x14ac:dyDescent="0.25">
      <c r="A204" s="193">
        <v>29606</v>
      </c>
      <c r="B204" s="88" t="s">
        <v>1213</v>
      </c>
    </row>
    <row r="205" spans="1:2" ht="15.75" x14ac:dyDescent="0.25">
      <c r="A205" s="193">
        <v>29616</v>
      </c>
      <c r="B205" s="35" t="s">
        <v>1214</v>
      </c>
    </row>
    <row r="206" spans="1:2" ht="15.75" x14ac:dyDescent="0.25">
      <c r="A206" s="193">
        <v>29626</v>
      </c>
      <c r="B206" s="88" t="s">
        <v>1215</v>
      </c>
    </row>
    <row r="207" spans="1:2" ht="15.75" x14ac:dyDescent="0.25">
      <c r="A207" s="193">
        <v>29636</v>
      </c>
      <c r="B207" s="35" t="s">
        <v>1216</v>
      </c>
    </row>
    <row r="208" spans="1:2" ht="15.75" x14ac:dyDescent="0.25">
      <c r="A208" s="193">
        <v>29646</v>
      </c>
      <c r="B208" s="197" t="s">
        <v>1217</v>
      </c>
    </row>
    <row r="209" spans="1:2" ht="15.75" x14ac:dyDescent="0.25">
      <c r="A209" s="193">
        <v>29656</v>
      </c>
      <c r="B209" s="196" t="s">
        <v>1703</v>
      </c>
    </row>
    <row r="210" spans="1:2" ht="15.75" x14ac:dyDescent="0.25">
      <c r="A210" s="193">
        <v>29666</v>
      </c>
      <c r="B210" s="196" t="s">
        <v>1218</v>
      </c>
    </row>
    <row r="211" spans="1:2" ht="31.5" x14ac:dyDescent="0.25">
      <c r="A211" s="193">
        <v>29676</v>
      </c>
      <c r="B211" s="88" t="s">
        <v>1219</v>
      </c>
    </row>
    <row r="212" spans="1:2" ht="15.75" x14ac:dyDescent="0.25">
      <c r="A212" s="193">
        <v>29686</v>
      </c>
      <c r="B212" s="88" t="s">
        <v>1602</v>
      </c>
    </row>
    <row r="213" spans="1:2" ht="15.75" x14ac:dyDescent="0.25">
      <c r="A213" s="193">
        <v>29696</v>
      </c>
      <c r="B213" s="88" t="s">
        <v>1220</v>
      </c>
    </row>
    <row r="214" spans="1:2" ht="15.75" x14ac:dyDescent="0.25">
      <c r="A214" s="193">
        <v>29706</v>
      </c>
      <c r="B214" s="88" t="s">
        <v>1221</v>
      </c>
    </row>
    <row r="215" spans="1:2" ht="15.75" x14ac:dyDescent="0.25">
      <c r="A215" s="193">
        <v>29716</v>
      </c>
      <c r="B215" s="88" t="s">
        <v>1222</v>
      </c>
    </row>
    <row r="216" spans="1:2" ht="31.5" x14ac:dyDescent="0.25">
      <c r="A216" s="193">
        <v>29726</v>
      </c>
      <c r="B216" s="197" t="s">
        <v>1223</v>
      </c>
    </row>
    <row r="217" spans="1:2" ht="15.75" x14ac:dyDescent="0.25">
      <c r="A217" s="193">
        <v>29736</v>
      </c>
      <c r="B217" s="197"/>
    </row>
    <row r="218" spans="1:2" ht="15.75" x14ac:dyDescent="0.25">
      <c r="A218" s="193">
        <v>29746</v>
      </c>
      <c r="B218" s="197"/>
    </row>
    <row r="219" spans="1:2" ht="15.75" x14ac:dyDescent="0.25">
      <c r="A219" s="193">
        <v>29756</v>
      </c>
      <c r="B219" s="196" t="s">
        <v>1327</v>
      </c>
    </row>
    <row r="220" spans="1:2" ht="15.75" x14ac:dyDescent="0.25">
      <c r="A220" s="193">
        <v>29766</v>
      </c>
      <c r="B220" s="348" t="s">
        <v>1365</v>
      </c>
    </row>
    <row r="221" spans="1:2" ht="15.75" x14ac:dyDescent="0.25">
      <c r="A221" s="193">
        <v>29776</v>
      </c>
      <c r="B221" s="197" t="s">
        <v>1366</v>
      </c>
    </row>
    <row r="222" spans="1:2" ht="15.75" x14ac:dyDescent="0.25">
      <c r="A222" s="193">
        <v>29786</v>
      </c>
      <c r="B222" s="197" t="s">
        <v>1492</v>
      </c>
    </row>
    <row r="223" spans="1:2" ht="15.75" x14ac:dyDescent="0.25">
      <c r="A223" s="193">
        <v>29806</v>
      </c>
      <c r="B223" s="197" t="s">
        <v>1591</v>
      </c>
    </row>
    <row r="224" spans="1:2" ht="31.5" x14ac:dyDescent="0.25">
      <c r="A224" s="193">
        <v>29856</v>
      </c>
      <c r="B224" s="197" t="s">
        <v>1583</v>
      </c>
    </row>
    <row r="225" spans="1:2" ht="15.75" x14ac:dyDescent="0.25">
      <c r="A225" s="193">
        <v>29866</v>
      </c>
      <c r="B225" s="197" t="s">
        <v>1776</v>
      </c>
    </row>
    <row r="226" spans="1:2" ht="15.75" x14ac:dyDescent="0.25">
      <c r="A226" s="193">
        <v>50130</v>
      </c>
      <c r="B226" s="194" t="s">
        <v>843</v>
      </c>
    </row>
    <row r="227" spans="1:2" ht="31.5" x14ac:dyDescent="0.25">
      <c r="A227" s="193">
        <v>50136</v>
      </c>
      <c r="B227" s="253" t="s">
        <v>1376</v>
      </c>
    </row>
    <row r="228" spans="1:2" ht="47.25" x14ac:dyDescent="0.25">
      <c r="A228" s="193">
        <v>50650</v>
      </c>
      <c r="B228" s="194" t="s">
        <v>391</v>
      </c>
    </row>
    <row r="229" spans="1:2" ht="31.5" x14ac:dyDescent="0.25">
      <c r="A229" s="193">
        <v>50840</v>
      </c>
      <c r="B229" s="304" t="s">
        <v>469</v>
      </c>
    </row>
    <row r="230" spans="1:2" ht="31.5" x14ac:dyDescent="0.25">
      <c r="A230" s="193">
        <v>50970</v>
      </c>
      <c r="B230" s="253" t="s">
        <v>1429</v>
      </c>
    </row>
    <row r="231" spans="1:2" ht="15.75" x14ac:dyDescent="0.25">
      <c r="A231" s="193">
        <v>51180</v>
      </c>
      <c r="B231" s="88" t="s">
        <v>479</v>
      </c>
    </row>
    <row r="232" spans="1:2" ht="31.5" x14ac:dyDescent="0.25">
      <c r="A232" s="193">
        <v>51190</v>
      </c>
      <c r="B232" s="194" t="s">
        <v>994</v>
      </c>
    </row>
    <row r="233" spans="1:2" ht="31.5" x14ac:dyDescent="0.25">
      <c r="A233" s="193">
        <v>51200</v>
      </c>
      <c r="B233" s="88" t="s">
        <v>316</v>
      </c>
    </row>
    <row r="234" spans="1:2" ht="15.75" x14ac:dyDescent="0.25">
      <c r="A234" s="193">
        <v>51370</v>
      </c>
      <c r="B234" s="88" t="s">
        <v>453</v>
      </c>
    </row>
    <row r="235" spans="1:2" ht="31.5" x14ac:dyDescent="0.25">
      <c r="A235" s="193">
        <v>51390</v>
      </c>
      <c r="B235" s="88" t="s">
        <v>1658</v>
      </c>
    </row>
    <row r="236" spans="1:2" ht="15.75" x14ac:dyDescent="0.25">
      <c r="A236" s="193">
        <v>51440</v>
      </c>
      <c r="B236" s="194" t="s">
        <v>995</v>
      </c>
    </row>
    <row r="237" spans="1:2" ht="31.5" x14ac:dyDescent="0.25">
      <c r="A237" s="193">
        <v>52200</v>
      </c>
      <c r="B237" s="88" t="s">
        <v>454</v>
      </c>
    </row>
    <row r="238" spans="1:2" ht="31.5" x14ac:dyDescent="0.25">
      <c r="A238" s="193">
        <v>52400</v>
      </c>
      <c r="B238" s="88" t="s">
        <v>455</v>
      </c>
    </row>
    <row r="239" spans="1:2" ht="15.75" x14ac:dyDescent="0.25">
      <c r="A239" s="193">
        <v>52500</v>
      </c>
      <c r="B239" s="88" t="s">
        <v>456</v>
      </c>
    </row>
    <row r="240" spans="1:2" ht="31.5" x14ac:dyDescent="0.25">
      <c r="A240" s="193">
        <v>52600</v>
      </c>
      <c r="B240" s="304" t="s">
        <v>435</v>
      </c>
    </row>
    <row r="241" spans="1:2" ht="47.25" x14ac:dyDescent="0.25">
      <c r="A241" s="193">
        <v>52700</v>
      </c>
      <c r="B241" s="304" t="s">
        <v>470</v>
      </c>
    </row>
    <row r="242" spans="1:2" ht="15.75" x14ac:dyDescent="0.25">
      <c r="A242" s="193">
        <v>52930</v>
      </c>
      <c r="B242" s="194" t="s">
        <v>1326</v>
      </c>
    </row>
    <row r="243" spans="1:2" ht="31.5" x14ac:dyDescent="0.25">
      <c r="A243" s="193">
        <v>53031</v>
      </c>
      <c r="B243" s="194" t="s">
        <v>1511</v>
      </c>
    </row>
    <row r="244" spans="1:2" ht="15.75" x14ac:dyDescent="0.25">
      <c r="A244" s="193">
        <v>53116</v>
      </c>
      <c r="B244" s="328" t="s">
        <v>1331</v>
      </c>
    </row>
    <row r="245" spans="1:2" ht="47.25" x14ac:dyDescent="0.25">
      <c r="A245" s="193">
        <v>53800</v>
      </c>
      <c r="B245" s="253" t="s">
        <v>996</v>
      </c>
    </row>
    <row r="246" spans="1:2" ht="31.5" x14ac:dyDescent="0.25">
      <c r="A246" s="193" t="s">
        <v>1528</v>
      </c>
      <c r="B246" s="253" t="s">
        <v>1529</v>
      </c>
    </row>
    <row r="247" spans="1:2" ht="31.5" x14ac:dyDescent="0.25">
      <c r="A247" s="193">
        <v>53810</v>
      </c>
      <c r="B247" s="88" t="s">
        <v>457</v>
      </c>
    </row>
    <row r="248" spans="1:2" ht="31.5" x14ac:dyDescent="0.25">
      <c r="A248" s="193">
        <v>53850</v>
      </c>
      <c r="B248" s="88" t="s">
        <v>458</v>
      </c>
    </row>
    <row r="249" spans="1:2" ht="15.75" x14ac:dyDescent="0.25">
      <c r="A249" s="193">
        <v>53910</v>
      </c>
      <c r="B249" s="88" t="s">
        <v>1659</v>
      </c>
    </row>
    <row r="250" spans="1:2" ht="47.25" x14ac:dyDescent="0.25">
      <c r="A250" s="193">
        <v>54246</v>
      </c>
      <c r="B250" s="328" t="s">
        <v>1584</v>
      </c>
    </row>
    <row r="251" spans="1:2" ht="31.5" x14ac:dyDescent="0.25">
      <c r="A251" s="193">
        <v>54620</v>
      </c>
      <c r="B251" s="88" t="s">
        <v>1660</v>
      </c>
    </row>
    <row r="252" spans="1:2" ht="15.75" x14ac:dyDescent="0.25">
      <c r="A252" s="193">
        <v>54690</v>
      </c>
      <c r="B252" s="88" t="s">
        <v>1510</v>
      </c>
    </row>
    <row r="253" spans="1:2" ht="15.75" x14ac:dyDescent="0.25">
      <c r="A253" s="193">
        <v>55133</v>
      </c>
      <c r="B253" s="88" t="s">
        <v>1426</v>
      </c>
    </row>
    <row r="254" spans="1:2" ht="31.5" x14ac:dyDescent="0.25">
      <c r="A254" s="193">
        <v>55191</v>
      </c>
      <c r="B254" s="88" t="s">
        <v>1568</v>
      </c>
    </row>
    <row r="255" spans="1:2" ht="15.75" x14ac:dyDescent="0.25">
      <c r="A255" s="193">
        <v>55196</v>
      </c>
      <c r="B255" s="88" t="s">
        <v>1426</v>
      </c>
    </row>
    <row r="256" spans="1:2" ht="31.5" x14ac:dyDescent="0.25">
      <c r="A256" s="193">
        <v>55490</v>
      </c>
      <c r="B256" s="88" t="s">
        <v>1795</v>
      </c>
    </row>
    <row r="257" spans="1:2" ht="15.75" x14ac:dyDescent="0.25">
      <c r="A257" s="193">
        <v>55556</v>
      </c>
      <c r="B257" s="88" t="s">
        <v>1661</v>
      </c>
    </row>
    <row r="258" spans="1:2" ht="15.75" x14ac:dyDescent="0.25">
      <c r="A258" s="193">
        <v>55730</v>
      </c>
      <c r="B258" s="88" t="s">
        <v>1604</v>
      </c>
    </row>
    <row r="259" spans="1:2" ht="15.75" x14ac:dyDescent="0.25">
      <c r="A259" s="193">
        <v>56936</v>
      </c>
      <c r="B259" s="88"/>
    </row>
    <row r="260" spans="1:2" ht="15.75" x14ac:dyDescent="0.25">
      <c r="A260" s="193">
        <v>59300</v>
      </c>
      <c r="B260" s="88" t="s">
        <v>333</v>
      </c>
    </row>
    <row r="261" spans="1:2" ht="31.5" x14ac:dyDescent="0.25">
      <c r="A261" s="193" t="s">
        <v>1526</v>
      </c>
      <c r="B261" s="88" t="s">
        <v>1662</v>
      </c>
    </row>
    <row r="262" spans="1:2" ht="31.5" x14ac:dyDescent="0.25">
      <c r="A262" s="193">
        <v>70370</v>
      </c>
      <c r="B262" s="88" t="s">
        <v>1780</v>
      </c>
    </row>
    <row r="263" spans="1:2" ht="15.75" x14ac:dyDescent="0.25">
      <c r="A263" s="193">
        <v>70416</v>
      </c>
      <c r="B263" s="253" t="s">
        <v>1704</v>
      </c>
    </row>
    <row r="264" spans="1:2" ht="31.5" x14ac:dyDescent="0.25">
      <c r="A264" s="193">
        <v>70430</v>
      </c>
      <c r="B264" s="304" t="s">
        <v>436</v>
      </c>
    </row>
    <row r="265" spans="1:2" ht="31.5" x14ac:dyDescent="0.25">
      <c r="A265" s="193">
        <v>70460</v>
      </c>
      <c r="B265" s="304" t="s">
        <v>437</v>
      </c>
    </row>
    <row r="266" spans="1:2" ht="31.5" x14ac:dyDescent="0.25">
      <c r="A266" s="193">
        <v>70470</v>
      </c>
      <c r="B266" s="194" t="s">
        <v>413</v>
      </c>
    </row>
    <row r="267" spans="1:2" ht="15.75" x14ac:dyDescent="0.25">
      <c r="A267" s="193">
        <v>70480</v>
      </c>
      <c r="B267" s="194" t="s">
        <v>997</v>
      </c>
    </row>
    <row r="268" spans="1:2" ht="15.75" x14ac:dyDescent="0.25">
      <c r="A268" s="193">
        <v>70500</v>
      </c>
      <c r="B268" s="304" t="s">
        <v>438</v>
      </c>
    </row>
    <row r="269" spans="1:2" ht="31.5" x14ac:dyDescent="0.25">
      <c r="A269" s="193">
        <v>70510</v>
      </c>
      <c r="B269" s="194" t="s">
        <v>373</v>
      </c>
    </row>
    <row r="270" spans="1:2" ht="15.75" x14ac:dyDescent="0.25">
      <c r="A270" s="193">
        <v>70520</v>
      </c>
      <c r="B270" s="304" t="s">
        <v>383</v>
      </c>
    </row>
    <row r="271" spans="1:2" ht="31.5" x14ac:dyDescent="0.25">
      <c r="A271" s="193">
        <v>70530</v>
      </c>
      <c r="B271" s="304" t="s">
        <v>384</v>
      </c>
    </row>
    <row r="272" spans="1:2" ht="15.75" x14ac:dyDescent="0.25">
      <c r="A272" s="193">
        <v>70550</v>
      </c>
      <c r="B272" s="304" t="s">
        <v>417</v>
      </c>
    </row>
    <row r="273" spans="1:2" ht="31.5" x14ac:dyDescent="0.25">
      <c r="A273" s="193">
        <v>70560</v>
      </c>
      <c r="B273" s="194" t="s">
        <v>998</v>
      </c>
    </row>
    <row r="274" spans="1:2" ht="31.5" x14ac:dyDescent="0.25">
      <c r="A274" s="193">
        <v>70570</v>
      </c>
      <c r="B274" s="194" t="s">
        <v>999</v>
      </c>
    </row>
    <row r="275" spans="1:2" ht="15.75" x14ac:dyDescent="0.25">
      <c r="A275" s="193">
        <v>70620</v>
      </c>
      <c r="B275" s="253" t="s">
        <v>1758</v>
      </c>
    </row>
    <row r="276" spans="1:2" ht="15.75" x14ac:dyDescent="0.25">
      <c r="A276" s="193">
        <v>70626</v>
      </c>
      <c r="B276" s="253" t="s">
        <v>1758</v>
      </c>
    </row>
    <row r="277" spans="1:2" ht="31.5" x14ac:dyDescent="0.25">
      <c r="A277" s="193">
        <v>70650</v>
      </c>
      <c r="B277" s="88" t="s">
        <v>504</v>
      </c>
    </row>
    <row r="278" spans="1:2" ht="31.5" x14ac:dyDescent="0.25">
      <c r="A278" s="193">
        <v>70660</v>
      </c>
      <c r="B278" s="194" t="s">
        <v>1000</v>
      </c>
    </row>
    <row r="279" spans="1:2" ht="15.75" x14ac:dyDescent="0.25">
      <c r="A279" s="193">
        <v>70670</v>
      </c>
      <c r="B279" s="194" t="s">
        <v>1001</v>
      </c>
    </row>
    <row r="280" spans="1:2" ht="31.5" x14ac:dyDescent="0.25">
      <c r="A280" s="193">
        <v>70740</v>
      </c>
      <c r="B280" s="88" t="s">
        <v>459</v>
      </c>
    </row>
    <row r="281" spans="1:2" ht="31.5" x14ac:dyDescent="0.25">
      <c r="A281" s="193">
        <v>70750</v>
      </c>
      <c r="B281" s="88" t="s">
        <v>460</v>
      </c>
    </row>
    <row r="282" spans="1:2" ht="31.5" x14ac:dyDescent="0.25">
      <c r="A282" s="193">
        <v>70760</v>
      </c>
      <c r="B282" s="88" t="s">
        <v>1784</v>
      </c>
    </row>
    <row r="283" spans="1:2" ht="15.75" x14ac:dyDescent="0.25">
      <c r="A283" s="193">
        <v>70780</v>
      </c>
      <c r="B283" s="88" t="s">
        <v>1785</v>
      </c>
    </row>
    <row r="284" spans="1:2" ht="31.5" x14ac:dyDescent="0.25">
      <c r="A284" s="193">
        <v>70830</v>
      </c>
      <c r="B284" s="194" t="s">
        <v>471</v>
      </c>
    </row>
    <row r="285" spans="1:2" ht="31.5" x14ac:dyDescent="0.25">
      <c r="A285" s="193">
        <v>70840</v>
      </c>
      <c r="B285" s="88" t="s">
        <v>461</v>
      </c>
    </row>
    <row r="286" spans="1:2" ht="47.25" x14ac:dyDescent="0.25">
      <c r="A286" s="193">
        <v>70850</v>
      </c>
      <c r="B286" s="88" t="s">
        <v>452</v>
      </c>
    </row>
    <row r="287" spans="1:2" ht="15.75" x14ac:dyDescent="0.25">
      <c r="A287" s="193">
        <v>70860</v>
      </c>
      <c r="B287" s="88" t="s">
        <v>462</v>
      </c>
    </row>
    <row r="288" spans="1:2" ht="31.5" x14ac:dyDescent="0.25">
      <c r="A288" s="193">
        <v>70870</v>
      </c>
      <c r="B288" s="253" t="s">
        <v>472</v>
      </c>
    </row>
    <row r="289" spans="1:2" ht="15.75" x14ac:dyDescent="0.25">
      <c r="A289" s="193">
        <v>70890</v>
      </c>
      <c r="B289" s="88" t="s">
        <v>463</v>
      </c>
    </row>
    <row r="290" spans="1:2" ht="15.75" x14ac:dyDescent="0.25">
      <c r="A290" s="193">
        <v>70920</v>
      </c>
      <c r="B290" s="194" t="s">
        <v>957</v>
      </c>
    </row>
    <row r="291" spans="1:2" ht="31.5" x14ac:dyDescent="0.25">
      <c r="A291" s="193">
        <v>70930</v>
      </c>
      <c r="B291" s="194" t="s">
        <v>1002</v>
      </c>
    </row>
    <row r="292" spans="1:2" ht="31.5" x14ac:dyDescent="0.25">
      <c r="A292" s="193">
        <v>70970</v>
      </c>
      <c r="B292" s="194" t="s">
        <v>439</v>
      </c>
    </row>
    <row r="293" spans="1:2" ht="15.75" x14ac:dyDescent="0.25">
      <c r="A293" s="193">
        <v>70990</v>
      </c>
      <c r="B293" s="194" t="s">
        <v>1003</v>
      </c>
    </row>
    <row r="294" spans="1:2" ht="31.5" x14ac:dyDescent="0.25">
      <c r="A294" s="193">
        <v>71000</v>
      </c>
      <c r="B294" s="253" t="s">
        <v>392</v>
      </c>
    </row>
    <row r="295" spans="1:2" ht="15.75" x14ac:dyDescent="0.25">
      <c r="A295" s="193">
        <v>71010</v>
      </c>
      <c r="B295" s="194" t="s">
        <v>1004</v>
      </c>
    </row>
    <row r="296" spans="1:2" ht="31.5" x14ac:dyDescent="0.25">
      <c r="A296" s="193">
        <v>71060</v>
      </c>
      <c r="B296" s="253" t="s">
        <v>393</v>
      </c>
    </row>
    <row r="297" spans="1:2" ht="31.5" x14ac:dyDescent="0.25">
      <c r="A297" s="193">
        <v>71160</v>
      </c>
      <c r="B297" s="194" t="s">
        <v>1005</v>
      </c>
    </row>
    <row r="298" spans="1:2" ht="31.5" x14ac:dyDescent="0.25">
      <c r="A298" s="193">
        <v>71170</v>
      </c>
      <c r="B298" s="194" t="s">
        <v>1006</v>
      </c>
    </row>
    <row r="299" spans="1:2" ht="31.5" x14ac:dyDescent="0.25">
      <c r="A299" s="193">
        <v>71180</v>
      </c>
      <c r="B299" s="194" t="s">
        <v>1007</v>
      </c>
    </row>
    <row r="300" spans="1:2" ht="31.5" x14ac:dyDescent="0.25">
      <c r="A300" s="193">
        <v>71190</v>
      </c>
      <c r="B300" s="194" t="s">
        <v>1663</v>
      </c>
    </row>
    <row r="301" spans="1:2" ht="31.5" x14ac:dyDescent="0.25">
      <c r="A301" s="193">
        <v>71230</v>
      </c>
      <c r="B301" s="253" t="s">
        <v>1664</v>
      </c>
    </row>
    <row r="302" spans="1:2" ht="31.5" x14ac:dyDescent="0.25">
      <c r="A302" s="193">
        <v>71236</v>
      </c>
      <c r="B302" s="253" t="s">
        <v>1224</v>
      </c>
    </row>
    <row r="303" spans="1:2" ht="31.5" x14ac:dyDescent="0.25">
      <c r="A303" s="193">
        <v>71280</v>
      </c>
      <c r="B303" s="253" t="s">
        <v>1373</v>
      </c>
    </row>
    <row r="304" spans="1:2" ht="31.5" x14ac:dyDescent="0.25">
      <c r="A304" s="193">
        <v>71430</v>
      </c>
      <c r="B304" s="194" t="s">
        <v>408</v>
      </c>
    </row>
    <row r="305" spans="1:2" ht="15.75" x14ac:dyDescent="0.25">
      <c r="A305" s="193">
        <v>71450</v>
      </c>
      <c r="B305" s="253" t="s">
        <v>1665</v>
      </c>
    </row>
    <row r="306" spans="1:2" ht="31.5" x14ac:dyDescent="0.25">
      <c r="A306" s="193">
        <v>71690</v>
      </c>
      <c r="B306" s="88" t="s">
        <v>1601</v>
      </c>
    </row>
    <row r="307" spans="1:2" ht="15.75" x14ac:dyDescent="0.25">
      <c r="A307" s="193">
        <v>71700</v>
      </c>
      <c r="B307" s="194" t="s">
        <v>1009</v>
      </c>
    </row>
    <row r="308" spans="1:2" ht="31.5" x14ac:dyDescent="0.25">
      <c r="A308" s="193">
        <v>71750</v>
      </c>
      <c r="B308" s="253" t="s">
        <v>96</v>
      </c>
    </row>
    <row r="309" spans="1:2" ht="15.75" x14ac:dyDescent="0.25">
      <c r="A309" s="193">
        <v>71756</v>
      </c>
      <c r="B309" s="253" t="s">
        <v>1225</v>
      </c>
    </row>
    <row r="310" spans="1:2" ht="31.5" x14ac:dyDescent="0.25">
      <c r="A310" s="193">
        <v>71860</v>
      </c>
      <c r="B310" s="88" t="s">
        <v>1010</v>
      </c>
    </row>
    <row r="311" spans="1:2" ht="15.75" x14ac:dyDescent="0.25">
      <c r="A311" s="193">
        <v>72010</v>
      </c>
      <c r="B311" s="88" t="s">
        <v>1011</v>
      </c>
    </row>
    <row r="312" spans="1:2" ht="31.5" x14ac:dyDescent="0.25">
      <c r="A312" s="193">
        <v>72040</v>
      </c>
      <c r="B312" s="194" t="s">
        <v>1012</v>
      </c>
    </row>
    <row r="313" spans="1:2" ht="15.75" x14ac:dyDescent="0.25">
      <c r="A313" s="193">
        <v>72150</v>
      </c>
      <c r="B313" s="88" t="s">
        <v>1013</v>
      </c>
    </row>
    <row r="314" spans="1:2" ht="31.5" x14ac:dyDescent="0.25">
      <c r="A314" s="193">
        <v>72170</v>
      </c>
      <c r="B314" s="88" t="s">
        <v>1014</v>
      </c>
    </row>
    <row r="315" spans="1:2" ht="15.75" x14ac:dyDescent="0.25">
      <c r="A315" s="193">
        <v>72280</v>
      </c>
      <c r="B315" s="194" t="s">
        <v>1015</v>
      </c>
    </row>
    <row r="316" spans="1:2" ht="15.75" x14ac:dyDescent="0.25">
      <c r="A316" s="193">
        <v>72290</v>
      </c>
      <c r="B316" s="194" t="s">
        <v>1016</v>
      </c>
    </row>
    <row r="317" spans="1:2" ht="15.75" x14ac:dyDescent="0.25">
      <c r="A317" s="192">
        <v>72440</v>
      </c>
      <c r="B317" s="354" t="s">
        <v>550</v>
      </c>
    </row>
    <row r="318" spans="1:2" ht="15.75" x14ac:dyDescent="0.25">
      <c r="A318" s="192" t="s">
        <v>1446</v>
      </c>
      <c r="B318" s="354" t="s">
        <v>550</v>
      </c>
    </row>
    <row r="319" spans="1:2" ht="31.5" x14ac:dyDescent="0.25">
      <c r="A319" s="193">
        <v>72470</v>
      </c>
      <c r="B319" s="88" t="s">
        <v>1017</v>
      </c>
    </row>
    <row r="320" spans="1:2" ht="31.5" x14ac:dyDescent="0.25">
      <c r="A320" s="193">
        <v>72550</v>
      </c>
      <c r="B320" s="88" t="s">
        <v>1667</v>
      </c>
    </row>
    <row r="321" spans="1:2" ht="31.5" x14ac:dyDescent="0.25">
      <c r="A321" s="193">
        <v>72560</v>
      </c>
      <c r="B321" s="88" t="s">
        <v>1666</v>
      </c>
    </row>
    <row r="322" spans="1:2" ht="31.5" x14ac:dyDescent="0.25">
      <c r="A322" s="193">
        <v>72610</v>
      </c>
      <c r="B322" s="194" t="s">
        <v>1018</v>
      </c>
    </row>
    <row r="323" spans="1:2" ht="47.25" x14ac:dyDescent="0.25">
      <c r="A323" s="193">
        <v>72886</v>
      </c>
      <c r="B323" s="253" t="s">
        <v>1579</v>
      </c>
    </row>
    <row r="324" spans="1:2" ht="15.75" x14ac:dyDescent="0.25">
      <c r="A324" s="193">
        <v>72940</v>
      </c>
      <c r="B324" s="194" t="s">
        <v>1019</v>
      </c>
    </row>
    <row r="325" spans="1:2" ht="15.75" x14ac:dyDescent="0.25">
      <c r="A325" s="193">
        <v>72970</v>
      </c>
      <c r="B325" s="88" t="s">
        <v>486</v>
      </c>
    </row>
    <row r="326" spans="1:2" ht="31.5" x14ac:dyDescent="0.25">
      <c r="A326" s="193">
        <v>73000</v>
      </c>
      <c r="B326" s="194" t="s">
        <v>1020</v>
      </c>
    </row>
    <row r="327" spans="1:2" ht="15.75" x14ac:dyDescent="0.25">
      <c r="A327" s="193">
        <v>73040</v>
      </c>
      <c r="B327" s="88" t="s">
        <v>464</v>
      </c>
    </row>
    <row r="328" spans="1:2" ht="31.5" x14ac:dyDescent="0.25">
      <c r="A328" s="193">
        <v>73110</v>
      </c>
      <c r="B328" s="304" t="s">
        <v>374</v>
      </c>
    </row>
    <row r="329" spans="1:2" ht="15.75" x14ac:dyDescent="0.25">
      <c r="A329" s="193">
        <v>73140</v>
      </c>
      <c r="B329" s="194" t="s">
        <v>1349</v>
      </c>
    </row>
    <row r="330" spans="1:2" ht="15.75" x14ac:dyDescent="0.25">
      <c r="A330" s="193">
        <v>73230</v>
      </c>
      <c r="B330" s="194" t="s">
        <v>1021</v>
      </c>
    </row>
    <row r="331" spans="1:2" ht="15.75" x14ac:dyDescent="0.25">
      <c r="A331" s="193">
        <v>73260</v>
      </c>
      <c r="B331" s="253" t="s">
        <v>1226</v>
      </c>
    </row>
    <row r="332" spans="1:2" ht="15.75" x14ac:dyDescent="0.25">
      <c r="A332" s="193">
        <v>73266</v>
      </c>
      <c r="B332" s="253" t="s">
        <v>1353</v>
      </c>
    </row>
    <row r="333" spans="1:2" ht="15.75" x14ac:dyDescent="0.25">
      <c r="A333" s="193">
        <v>73280</v>
      </c>
      <c r="B333" s="194" t="s">
        <v>324</v>
      </c>
    </row>
    <row r="334" spans="1:2" ht="31.5" x14ac:dyDescent="0.25">
      <c r="A334" s="193">
        <v>73900</v>
      </c>
      <c r="B334" s="253" t="s">
        <v>1668</v>
      </c>
    </row>
    <row r="335" spans="1:2" ht="31.5" x14ac:dyDescent="0.25">
      <c r="A335" s="193">
        <v>73930</v>
      </c>
      <c r="B335" s="253" t="s">
        <v>1370</v>
      </c>
    </row>
    <row r="336" spans="1:2" ht="37.5" customHeight="1" x14ac:dyDescent="0.25">
      <c r="A336" s="193">
        <v>73936</v>
      </c>
      <c r="B336" s="253" t="s">
        <v>1371</v>
      </c>
    </row>
    <row r="337" spans="1:2" ht="15.75" x14ac:dyDescent="0.25">
      <c r="A337" s="193"/>
      <c r="B337" s="253"/>
    </row>
    <row r="338" spans="1:2" ht="15.75" x14ac:dyDescent="0.25">
      <c r="A338" s="193">
        <v>74390</v>
      </c>
      <c r="B338" s="88" t="s">
        <v>394</v>
      </c>
    </row>
    <row r="339" spans="1:2" ht="15.75" x14ac:dyDescent="0.25">
      <c r="A339" s="193">
        <v>74420</v>
      </c>
      <c r="B339" s="455" t="s">
        <v>1678</v>
      </c>
    </row>
    <row r="340" spans="1:2" ht="31.5" x14ac:dyDescent="0.25">
      <c r="A340" s="193">
        <v>74450</v>
      </c>
      <c r="B340" s="88" t="s">
        <v>1669</v>
      </c>
    </row>
    <row r="341" spans="1:2" ht="15.75" x14ac:dyDescent="0.25">
      <c r="A341" s="193">
        <v>74540</v>
      </c>
      <c r="B341" s="88" t="s">
        <v>1755</v>
      </c>
    </row>
    <row r="342" spans="1:2" ht="15.75" x14ac:dyDescent="0.25">
      <c r="A342" s="193">
        <v>74770</v>
      </c>
      <c r="B342" s="88" t="s">
        <v>1022</v>
      </c>
    </row>
    <row r="343" spans="1:2" ht="31.5" x14ac:dyDescent="0.25">
      <c r="A343" s="193">
        <v>74790</v>
      </c>
      <c r="B343" s="88" t="s">
        <v>91</v>
      </c>
    </row>
    <row r="344" spans="1:2" ht="15.75" x14ac:dyDescent="0.25">
      <c r="A344" s="193">
        <v>74880</v>
      </c>
      <c r="B344" s="88" t="s">
        <v>1066</v>
      </c>
    </row>
    <row r="345" spans="1:2" ht="15.75" x14ac:dyDescent="0.25">
      <c r="A345" s="193">
        <v>75160</v>
      </c>
      <c r="B345" s="88" t="s">
        <v>1670</v>
      </c>
    </row>
    <row r="346" spans="1:2" ht="15.75" x14ac:dyDescent="0.25">
      <c r="A346" s="193">
        <v>75260</v>
      </c>
      <c r="B346" s="88" t="s">
        <v>1671</v>
      </c>
    </row>
    <row r="347" spans="1:2" ht="15.75" x14ac:dyDescent="0.25">
      <c r="A347" s="193">
        <v>75350</v>
      </c>
      <c r="B347" s="88" t="s">
        <v>1227</v>
      </c>
    </row>
    <row r="348" spans="1:2" ht="31.5" x14ac:dyDescent="0.25">
      <c r="A348" s="193">
        <v>75356</v>
      </c>
      <c r="B348" s="88" t="s">
        <v>1228</v>
      </c>
    </row>
    <row r="349" spans="1:2" ht="31.5" x14ac:dyDescent="0.25">
      <c r="A349" s="193">
        <v>75480</v>
      </c>
      <c r="B349" s="88" t="s">
        <v>1166</v>
      </c>
    </row>
    <row r="350" spans="1:2" ht="31.5" x14ac:dyDescent="0.25">
      <c r="A350" s="193">
        <v>75490</v>
      </c>
      <c r="B350" s="88" t="s">
        <v>1156</v>
      </c>
    </row>
    <row r="351" spans="1:2" ht="15.75" x14ac:dyDescent="0.25">
      <c r="A351" s="193">
        <v>75510</v>
      </c>
      <c r="B351" s="88" t="s">
        <v>1513</v>
      </c>
    </row>
    <row r="352" spans="1:2" ht="31.5" x14ac:dyDescent="0.25">
      <c r="A352" s="193">
        <v>75520</v>
      </c>
      <c r="B352" s="88" t="s">
        <v>1531</v>
      </c>
    </row>
    <row r="353" spans="1:2" ht="15.75" x14ac:dyDescent="0.25">
      <c r="A353" s="193">
        <v>75550</v>
      </c>
      <c r="B353" s="88" t="s">
        <v>1229</v>
      </c>
    </row>
    <row r="354" spans="1:2" ht="15.75" x14ac:dyDescent="0.25">
      <c r="A354" s="193">
        <v>75556</v>
      </c>
      <c r="B354" s="88" t="s">
        <v>1230</v>
      </c>
    </row>
    <row r="355" spans="1:2" ht="15.75" x14ac:dyDescent="0.25">
      <c r="A355" s="193">
        <v>75620</v>
      </c>
      <c r="B355" s="88" t="s">
        <v>1800</v>
      </c>
    </row>
    <row r="356" spans="1:2" ht="15.75" x14ac:dyDescent="0.25">
      <c r="A356" s="193">
        <v>75626</v>
      </c>
      <c r="B356" s="88" t="s">
        <v>1206</v>
      </c>
    </row>
    <row r="357" spans="1:2" ht="15.75" x14ac:dyDescent="0.25">
      <c r="A357" s="193">
        <v>75800</v>
      </c>
      <c r="B357" s="88" t="s">
        <v>1159</v>
      </c>
    </row>
    <row r="358" spans="1:2" ht="31.5" x14ac:dyDescent="0.25">
      <c r="A358" s="601">
        <v>75870</v>
      </c>
      <c r="B358" s="602" t="s">
        <v>1231</v>
      </c>
    </row>
    <row r="359" spans="1:2" ht="15.75" x14ac:dyDescent="0.25">
      <c r="A359" s="193">
        <v>75876</v>
      </c>
      <c r="B359" s="602" t="s">
        <v>1232</v>
      </c>
    </row>
    <row r="360" spans="1:2" ht="31.5" x14ac:dyDescent="0.25">
      <c r="A360" s="193">
        <v>75880</v>
      </c>
      <c r="B360" s="88" t="s">
        <v>1322</v>
      </c>
    </row>
    <row r="361" spans="1:2" ht="31.5" x14ac:dyDescent="0.25">
      <c r="A361" s="193">
        <v>75890</v>
      </c>
      <c r="B361" s="88" t="s">
        <v>1679</v>
      </c>
    </row>
    <row r="362" spans="1:2" ht="15.75" x14ac:dyDescent="0.25">
      <c r="A362" s="193">
        <v>75900</v>
      </c>
      <c r="B362" s="88" t="s">
        <v>1655</v>
      </c>
    </row>
    <row r="363" spans="1:2" ht="15.75" x14ac:dyDescent="0.25">
      <c r="A363" s="193">
        <v>76150</v>
      </c>
      <c r="B363" s="88" t="s">
        <v>1203</v>
      </c>
    </row>
    <row r="364" spans="1:2" ht="31.5" x14ac:dyDescent="0.25">
      <c r="A364" s="193">
        <v>76160</v>
      </c>
      <c r="B364" s="88" t="s">
        <v>1350</v>
      </c>
    </row>
    <row r="365" spans="1:2" ht="31.5" x14ac:dyDescent="0.25">
      <c r="A365" s="193">
        <v>76426</v>
      </c>
      <c r="B365" s="88" t="s">
        <v>1377</v>
      </c>
    </row>
    <row r="366" spans="1:2" ht="31.5" x14ac:dyDescent="0.25">
      <c r="A366" s="193">
        <v>76516</v>
      </c>
      <c r="B366" s="88" t="s">
        <v>1794</v>
      </c>
    </row>
    <row r="367" spans="1:2" ht="15.75" x14ac:dyDescent="0.25">
      <c r="A367" s="193">
        <v>76900</v>
      </c>
      <c r="B367" s="88" t="s">
        <v>1460</v>
      </c>
    </row>
    <row r="368" spans="1:2" ht="31.5" x14ac:dyDescent="0.25">
      <c r="A368" s="193">
        <v>76935</v>
      </c>
      <c r="B368" s="672" t="s">
        <v>1701</v>
      </c>
    </row>
    <row r="369" spans="1:2" ht="37.15" customHeight="1" x14ac:dyDescent="0.25">
      <c r="A369" s="193">
        <v>76936</v>
      </c>
      <c r="B369" s="672" t="s">
        <v>1577</v>
      </c>
    </row>
    <row r="370" spans="1:2" ht="37.15" customHeight="1" x14ac:dyDescent="0.25">
      <c r="A370" s="193">
        <v>76950</v>
      </c>
      <c r="B370" s="88" t="s">
        <v>1203</v>
      </c>
    </row>
    <row r="371" spans="1:2" ht="37.15" customHeight="1" x14ac:dyDescent="0.25">
      <c r="A371" s="193">
        <v>77260</v>
      </c>
      <c r="B371" s="88" t="s">
        <v>1592</v>
      </c>
    </row>
    <row r="372" spans="1:2" ht="37.15" customHeight="1" x14ac:dyDescent="0.25">
      <c r="A372" s="193">
        <v>77266</v>
      </c>
      <c r="B372" s="88" t="s">
        <v>1582</v>
      </c>
    </row>
    <row r="373" spans="1:2" ht="37.15" customHeight="1" x14ac:dyDescent="0.25">
      <c r="A373" s="193">
        <v>77356</v>
      </c>
      <c r="B373" s="88" t="s">
        <v>1700</v>
      </c>
    </row>
    <row r="374" spans="1:2" ht="37.15" customHeight="1" x14ac:dyDescent="0.25">
      <c r="A374" s="193">
        <v>77440</v>
      </c>
      <c r="B374" s="88" t="s">
        <v>1612</v>
      </c>
    </row>
    <row r="375" spans="1:2" ht="15.75" x14ac:dyDescent="0.25">
      <c r="A375" s="193">
        <v>80120</v>
      </c>
      <c r="B375" s="194" t="s">
        <v>1023</v>
      </c>
    </row>
    <row r="376" spans="1:2" ht="31.5" x14ac:dyDescent="0.25">
      <c r="A376" s="193">
        <v>80190</v>
      </c>
      <c r="B376" s="304" t="s">
        <v>334</v>
      </c>
    </row>
    <row r="377" spans="1:2" ht="31.5" x14ac:dyDescent="0.25">
      <c r="A377" s="193">
        <v>80200</v>
      </c>
      <c r="B377" s="304" t="s">
        <v>335</v>
      </c>
    </row>
    <row r="378" spans="1:2" ht="31.5" x14ac:dyDescent="0.25">
      <c r="A378" s="193">
        <v>90050</v>
      </c>
      <c r="B378" s="253" t="s">
        <v>1354</v>
      </c>
    </row>
    <row r="379" spans="1:2" ht="15.75" x14ac:dyDescent="0.25">
      <c r="A379" s="193" t="s">
        <v>1032</v>
      </c>
      <c r="B379" s="88" t="s">
        <v>1033</v>
      </c>
    </row>
    <row r="380" spans="1:2" ht="15.75" x14ac:dyDescent="0.25">
      <c r="A380" s="193" t="s">
        <v>1233</v>
      </c>
      <c r="B380" s="88" t="s">
        <v>1234</v>
      </c>
    </row>
    <row r="381" spans="1:2" ht="31.5" x14ac:dyDescent="0.25">
      <c r="A381" s="193" t="s">
        <v>1494</v>
      </c>
      <c r="B381" s="88" t="s">
        <v>1495</v>
      </c>
    </row>
    <row r="382" spans="1:2" ht="15.75" x14ac:dyDescent="0.25">
      <c r="A382" s="193" t="s">
        <v>1235</v>
      </c>
      <c r="B382" s="88" t="s">
        <v>1236</v>
      </c>
    </row>
    <row r="383" spans="1:2" ht="15.75" x14ac:dyDescent="0.25">
      <c r="A383" s="193" t="s">
        <v>1237</v>
      </c>
      <c r="B383" s="88" t="s">
        <v>1238</v>
      </c>
    </row>
    <row r="384" spans="1:2" ht="15.75" x14ac:dyDescent="0.25">
      <c r="A384" s="193" t="s">
        <v>1752</v>
      </c>
      <c r="B384" s="88" t="s">
        <v>1753</v>
      </c>
    </row>
    <row r="385" spans="1:2" ht="15.75" x14ac:dyDescent="0.25">
      <c r="A385" s="193" t="s">
        <v>1424</v>
      </c>
      <c r="B385" s="88" t="s">
        <v>1425</v>
      </c>
    </row>
    <row r="386" spans="1:2" ht="15.75" x14ac:dyDescent="0.25">
      <c r="A386" s="193" t="s">
        <v>1651</v>
      </c>
      <c r="B386" s="88" t="s">
        <v>1652</v>
      </c>
    </row>
    <row r="387" spans="1:2" ht="31.5" x14ac:dyDescent="0.25">
      <c r="A387" s="193" t="s">
        <v>1239</v>
      </c>
      <c r="B387" s="88" t="s">
        <v>1240</v>
      </c>
    </row>
    <row r="388" spans="1:2" ht="15.75" x14ac:dyDescent="0.25">
      <c r="A388" s="193" t="s">
        <v>1241</v>
      </c>
      <c r="B388" s="88" t="s">
        <v>1242</v>
      </c>
    </row>
    <row r="389" spans="1:2" ht="31.5" x14ac:dyDescent="0.25">
      <c r="A389" s="193" t="s">
        <v>1243</v>
      </c>
      <c r="B389" s="88" t="s">
        <v>1244</v>
      </c>
    </row>
    <row r="390" spans="1:2" ht="15.75" x14ac:dyDescent="0.25">
      <c r="A390" s="193" t="s">
        <v>1031</v>
      </c>
      <c r="B390" s="88" t="s">
        <v>1034</v>
      </c>
    </row>
    <row r="391" spans="1:2" ht="31.5" x14ac:dyDescent="0.25">
      <c r="A391" s="193" t="s">
        <v>1245</v>
      </c>
      <c r="B391" s="253" t="s">
        <v>334</v>
      </c>
    </row>
    <row r="392" spans="1:2" ht="31.5" x14ac:dyDescent="0.25">
      <c r="A392" s="193" t="s">
        <v>1246</v>
      </c>
      <c r="B392" s="253" t="s">
        <v>335</v>
      </c>
    </row>
    <row r="393" spans="1:2" ht="31.5" x14ac:dyDescent="0.25">
      <c r="A393" s="193" t="s">
        <v>1247</v>
      </c>
      <c r="B393" s="253" t="s">
        <v>436</v>
      </c>
    </row>
    <row r="394" spans="1:2" ht="15.75" x14ac:dyDescent="0.25">
      <c r="A394" s="193"/>
      <c r="B394" s="253"/>
    </row>
    <row r="395" spans="1:2" ht="31.5" x14ac:dyDescent="0.25">
      <c r="A395" s="193" t="s">
        <v>1248</v>
      </c>
      <c r="B395" s="253" t="s">
        <v>437</v>
      </c>
    </row>
    <row r="396" spans="1:2" ht="15.75" x14ac:dyDescent="0.25">
      <c r="A396" s="193" t="s">
        <v>1249</v>
      </c>
      <c r="B396" s="253" t="s">
        <v>438</v>
      </c>
    </row>
    <row r="397" spans="1:2" ht="31.5" x14ac:dyDescent="0.25">
      <c r="A397" s="193" t="s">
        <v>1250</v>
      </c>
      <c r="B397" s="253" t="s">
        <v>373</v>
      </c>
    </row>
    <row r="398" spans="1:2" ht="15.75" x14ac:dyDescent="0.25">
      <c r="A398" s="193" t="s">
        <v>1251</v>
      </c>
      <c r="B398" s="253" t="s">
        <v>383</v>
      </c>
    </row>
    <row r="399" spans="1:2" ht="31.5" x14ac:dyDescent="0.25">
      <c r="A399" s="193" t="s">
        <v>1252</v>
      </c>
      <c r="B399" s="253" t="s">
        <v>384</v>
      </c>
    </row>
    <row r="400" spans="1:2" ht="15.75" x14ac:dyDescent="0.25">
      <c r="A400" s="193" t="s">
        <v>1253</v>
      </c>
      <c r="B400" s="253" t="s">
        <v>417</v>
      </c>
    </row>
    <row r="401" spans="1:2" ht="31.5" x14ac:dyDescent="0.25">
      <c r="A401" s="193" t="s">
        <v>1254</v>
      </c>
      <c r="B401" s="253" t="s">
        <v>504</v>
      </c>
    </row>
    <row r="402" spans="1:2" ht="31.5" x14ac:dyDescent="0.25">
      <c r="A402" s="193" t="s">
        <v>1255</v>
      </c>
      <c r="B402" s="253" t="s">
        <v>459</v>
      </c>
    </row>
    <row r="403" spans="1:2" ht="31.5" x14ac:dyDescent="0.25">
      <c r="A403" s="193" t="s">
        <v>1256</v>
      </c>
      <c r="B403" s="253" t="s">
        <v>460</v>
      </c>
    </row>
    <row r="404" spans="1:2" ht="31.5" x14ac:dyDescent="0.25">
      <c r="A404" s="193" t="s">
        <v>1025</v>
      </c>
      <c r="B404" s="253" t="s">
        <v>471</v>
      </c>
    </row>
    <row r="405" spans="1:2" ht="31.5" x14ac:dyDescent="0.25">
      <c r="A405" s="193" t="s">
        <v>1257</v>
      </c>
      <c r="B405" s="253" t="s">
        <v>461</v>
      </c>
    </row>
    <row r="406" spans="1:2" ht="47.25" x14ac:dyDescent="0.25">
      <c r="A406" s="193" t="s">
        <v>1258</v>
      </c>
      <c r="B406" s="253" t="s">
        <v>452</v>
      </c>
    </row>
    <row r="407" spans="1:2" ht="17.649999999999999" customHeight="1" x14ac:dyDescent="0.25">
      <c r="A407" s="193" t="s">
        <v>1259</v>
      </c>
      <c r="B407" s="253" t="s">
        <v>462</v>
      </c>
    </row>
    <row r="408" spans="1:2" ht="17.649999999999999" customHeight="1" x14ac:dyDescent="0.25">
      <c r="A408" s="193" t="s">
        <v>1260</v>
      </c>
      <c r="B408" s="253" t="s">
        <v>472</v>
      </c>
    </row>
    <row r="409" spans="1:2" ht="17.649999999999999" customHeight="1" x14ac:dyDescent="0.25">
      <c r="A409" s="193" t="s">
        <v>1261</v>
      </c>
      <c r="B409" s="253" t="s">
        <v>463</v>
      </c>
    </row>
    <row r="410" spans="1:2" ht="32.25" customHeight="1" x14ac:dyDescent="0.25">
      <c r="A410" s="193" t="s">
        <v>1262</v>
      </c>
      <c r="B410" s="253" t="s">
        <v>1263</v>
      </c>
    </row>
    <row r="411" spans="1:2" ht="17.649999999999999" customHeight="1" x14ac:dyDescent="0.25">
      <c r="A411" s="193" t="s">
        <v>1264</v>
      </c>
      <c r="B411" s="253" t="s">
        <v>389</v>
      </c>
    </row>
    <row r="412" spans="1:2" ht="31.9" customHeight="1" x14ac:dyDescent="0.25">
      <c r="A412" s="193" t="s">
        <v>1265</v>
      </c>
      <c r="B412" s="253" t="s">
        <v>393</v>
      </c>
    </row>
    <row r="413" spans="1:2" ht="31.9" customHeight="1" x14ac:dyDescent="0.25">
      <c r="A413" s="193" t="s">
        <v>1266</v>
      </c>
      <c r="B413" s="253" t="s">
        <v>408</v>
      </c>
    </row>
    <row r="414" spans="1:2" ht="17.649999999999999" customHeight="1" x14ac:dyDescent="0.25">
      <c r="A414" s="193" t="s">
        <v>1267</v>
      </c>
      <c r="B414" s="253" t="s">
        <v>1008</v>
      </c>
    </row>
    <row r="415" spans="1:2" ht="17.649999999999999" customHeight="1" x14ac:dyDescent="0.25">
      <c r="A415" s="193" t="s">
        <v>1268</v>
      </c>
      <c r="B415" s="253" t="s">
        <v>514</v>
      </c>
    </row>
    <row r="416" spans="1:2" ht="17.649999999999999" customHeight="1" x14ac:dyDescent="0.25">
      <c r="A416" s="193" t="s">
        <v>1269</v>
      </c>
      <c r="B416" s="253" t="s">
        <v>1270</v>
      </c>
    </row>
    <row r="417" spans="1:2" ht="17.649999999999999" customHeight="1" x14ac:dyDescent="0.25">
      <c r="A417" s="193" t="s">
        <v>1271</v>
      </c>
      <c r="B417" s="253" t="s">
        <v>1272</v>
      </c>
    </row>
    <row r="418" spans="1:2" ht="17.649999999999999" customHeight="1" x14ac:dyDescent="0.25">
      <c r="A418" s="193" t="s">
        <v>1273</v>
      </c>
      <c r="B418" s="253" t="s">
        <v>1274</v>
      </c>
    </row>
    <row r="419" spans="1:2" ht="37.15" customHeight="1" x14ac:dyDescent="0.25">
      <c r="A419" s="193" t="s">
        <v>1275</v>
      </c>
      <c r="B419" s="253" t="s">
        <v>1048</v>
      </c>
    </row>
    <row r="420" spans="1:2" ht="37.15" customHeight="1" x14ac:dyDescent="0.25">
      <c r="A420" s="193" t="s">
        <v>1276</v>
      </c>
      <c r="B420" s="253" t="s">
        <v>1049</v>
      </c>
    </row>
    <row r="421" spans="1:2" ht="49.15" customHeight="1" x14ac:dyDescent="0.25">
      <c r="A421" s="193" t="s">
        <v>1277</v>
      </c>
      <c r="B421" s="253" t="s">
        <v>1355</v>
      </c>
    </row>
    <row r="422" spans="1:2" ht="15.75" x14ac:dyDescent="0.25">
      <c r="A422" s="193" t="s">
        <v>1514</v>
      </c>
      <c r="B422" s="253" t="s">
        <v>1515</v>
      </c>
    </row>
    <row r="423" spans="1:2" ht="15.75" x14ac:dyDescent="0.25">
      <c r="A423" s="193" t="s">
        <v>1278</v>
      </c>
      <c r="B423" s="253" t="s">
        <v>464</v>
      </c>
    </row>
    <row r="424" spans="1:2" ht="31.5" x14ac:dyDescent="0.25">
      <c r="A424" s="193" t="s">
        <v>1512</v>
      </c>
      <c r="B424" s="253" t="s">
        <v>1530</v>
      </c>
    </row>
    <row r="425" spans="1:2" ht="31.5" x14ac:dyDescent="0.25">
      <c r="A425" s="193" t="s">
        <v>1279</v>
      </c>
      <c r="B425" s="253" t="s">
        <v>374</v>
      </c>
    </row>
    <row r="426" spans="1:2" ht="15.75" x14ac:dyDescent="0.25">
      <c r="A426" s="193" t="s">
        <v>1280</v>
      </c>
      <c r="B426" s="253" t="s">
        <v>1281</v>
      </c>
    </row>
    <row r="427" spans="1:2" ht="15.75" x14ac:dyDescent="0.25">
      <c r="A427" s="193" t="s">
        <v>1532</v>
      </c>
      <c r="B427" s="253" t="s">
        <v>1533</v>
      </c>
    </row>
    <row r="428" spans="1:2" ht="31.5" x14ac:dyDescent="0.25">
      <c r="A428" s="193" t="s">
        <v>1797</v>
      </c>
      <c r="B428" s="253" t="s">
        <v>1798</v>
      </c>
    </row>
    <row r="429" spans="1:2" ht="15.75" x14ac:dyDescent="0.25">
      <c r="A429" s="193" t="s">
        <v>1282</v>
      </c>
      <c r="B429" s="253" t="s">
        <v>394</v>
      </c>
    </row>
    <row r="430" spans="1:2" ht="15.75" x14ac:dyDescent="0.25">
      <c r="A430" s="193" t="s">
        <v>1283</v>
      </c>
      <c r="B430" s="253" t="s">
        <v>121</v>
      </c>
    </row>
    <row r="431" spans="1:2" ht="31.5" x14ac:dyDescent="0.25">
      <c r="A431" s="193" t="s">
        <v>1284</v>
      </c>
      <c r="B431" s="253" t="s">
        <v>122</v>
      </c>
    </row>
    <row r="432" spans="1:2" ht="31.5" x14ac:dyDescent="0.25">
      <c r="A432" s="193" t="s">
        <v>1146</v>
      </c>
      <c r="B432" s="253" t="s">
        <v>1155</v>
      </c>
    </row>
    <row r="433" spans="1:2" ht="15.75" x14ac:dyDescent="0.25">
      <c r="A433" s="193" t="s">
        <v>1285</v>
      </c>
      <c r="B433" s="253" t="s">
        <v>118</v>
      </c>
    </row>
    <row r="434" spans="1:2" ht="15.75" x14ac:dyDescent="0.25">
      <c r="A434" s="193" t="s">
        <v>1286</v>
      </c>
      <c r="B434" s="253" t="s">
        <v>1238</v>
      </c>
    </row>
    <row r="435" spans="1:2" ht="15.75" x14ac:dyDescent="0.25">
      <c r="A435" s="193" t="s">
        <v>1287</v>
      </c>
      <c r="B435" s="253" t="s">
        <v>1183</v>
      </c>
    </row>
    <row r="436" spans="1:2" ht="15.75" x14ac:dyDescent="0.25">
      <c r="A436" s="193" t="s">
        <v>1288</v>
      </c>
      <c r="B436" s="253" t="s">
        <v>1227</v>
      </c>
    </row>
    <row r="437" spans="1:2" ht="15.75" x14ac:dyDescent="0.25">
      <c r="A437" s="193" t="s">
        <v>1289</v>
      </c>
      <c r="B437" s="253" t="s">
        <v>1290</v>
      </c>
    </row>
    <row r="438" spans="1:2" ht="31.5" x14ac:dyDescent="0.25">
      <c r="A438" s="193" t="s">
        <v>1291</v>
      </c>
      <c r="B438" s="88" t="s">
        <v>1166</v>
      </c>
    </row>
    <row r="439" spans="1:2" ht="31.5" x14ac:dyDescent="0.25">
      <c r="A439" s="193" t="s">
        <v>1292</v>
      </c>
      <c r="B439" s="253" t="s">
        <v>1156</v>
      </c>
    </row>
    <row r="440" spans="1:2" ht="15.75" x14ac:dyDescent="0.25">
      <c r="A440" s="193" t="s">
        <v>1293</v>
      </c>
      <c r="B440" s="253" t="s">
        <v>1230</v>
      </c>
    </row>
    <row r="441" spans="1:2" ht="15.75" x14ac:dyDescent="0.25">
      <c r="A441" s="193" t="s">
        <v>1294</v>
      </c>
      <c r="B441" s="253" t="s">
        <v>1230</v>
      </c>
    </row>
    <row r="442" spans="1:2" ht="15.75" x14ac:dyDescent="0.25">
      <c r="A442" s="193" t="s">
        <v>1295</v>
      </c>
      <c r="B442" s="253" t="s">
        <v>1296</v>
      </c>
    </row>
    <row r="443" spans="1:2" ht="15.75" x14ac:dyDescent="0.25">
      <c r="A443" s="193" t="s">
        <v>1297</v>
      </c>
      <c r="B443" s="253" t="s">
        <v>1206</v>
      </c>
    </row>
    <row r="444" spans="1:2" ht="15.75" x14ac:dyDescent="0.25">
      <c r="A444" s="193" t="s">
        <v>1298</v>
      </c>
      <c r="B444" s="253" t="s">
        <v>1299</v>
      </c>
    </row>
    <row r="445" spans="1:2" ht="31.5" x14ac:dyDescent="0.25">
      <c r="A445" s="193" t="s">
        <v>414</v>
      </c>
      <c r="B445" s="88" t="s">
        <v>413</v>
      </c>
    </row>
    <row r="446" spans="1:2" ht="31.5" x14ac:dyDescent="0.25">
      <c r="A446" s="193" t="s">
        <v>505</v>
      </c>
      <c r="B446" s="88" t="s">
        <v>504</v>
      </c>
    </row>
    <row r="447" spans="1:2" ht="15.75" x14ac:dyDescent="0.25">
      <c r="A447" s="193" t="s">
        <v>434</v>
      </c>
      <c r="B447" s="88" t="s">
        <v>433</v>
      </c>
    </row>
    <row r="448" spans="1:2" ht="15.75" x14ac:dyDescent="0.25">
      <c r="A448" s="193" t="s">
        <v>390</v>
      </c>
      <c r="B448" s="88" t="s">
        <v>389</v>
      </c>
    </row>
    <row r="449" spans="1:2" ht="15.75" x14ac:dyDescent="0.25">
      <c r="A449" s="193" t="s">
        <v>1300</v>
      </c>
      <c r="B449" s="88" t="s">
        <v>969</v>
      </c>
    </row>
    <row r="450" spans="1:2" ht="31.5" x14ac:dyDescent="0.25">
      <c r="A450" s="192" t="s">
        <v>407</v>
      </c>
      <c r="B450" s="88" t="s">
        <v>406</v>
      </c>
    </row>
    <row r="451" spans="1:2" ht="15.75" x14ac:dyDescent="0.25">
      <c r="A451" s="192" t="s">
        <v>515</v>
      </c>
      <c r="B451" s="88" t="s">
        <v>514</v>
      </c>
    </row>
    <row r="452" spans="1:2" ht="15.75" x14ac:dyDescent="0.25">
      <c r="A452" s="192" t="s">
        <v>443</v>
      </c>
      <c r="B452" s="88" t="s">
        <v>442</v>
      </c>
    </row>
    <row r="453" spans="1:2" ht="15.75" x14ac:dyDescent="0.25">
      <c r="A453" s="192" t="s">
        <v>1301</v>
      </c>
      <c r="B453" s="88" t="s">
        <v>963</v>
      </c>
    </row>
    <row r="454" spans="1:2" ht="31.5" x14ac:dyDescent="0.25">
      <c r="A454" s="193" t="s">
        <v>357</v>
      </c>
      <c r="B454" s="198" t="s">
        <v>356</v>
      </c>
    </row>
    <row r="455" spans="1:2" ht="15.75" x14ac:dyDescent="0.25">
      <c r="A455" s="193" t="s">
        <v>1157</v>
      </c>
      <c r="B455" s="198" t="s">
        <v>1349</v>
      </c>
    </row>
    <row r="456" spans="1:2" ht="15.75" x14ac:dyDescent="0.25">
      <c r="A456" s="193" t="s">
        <v>424</v>
      </c>
      <c r="B456" s="88" t="s">
        <v>423</v>
      </c>
    </row>
    <row r="457" spans="1:2" ht="15.75" x14ac:dyDescent="0.25">
      <c r="A457" s="193" t="s">
        <v>1065</v>
      </c>
      <c r="B457" s="88" t="s">
        <v>1066</v>
      </c>
    </row>
    <row r="458" spans="1:2" ht="15.75" x14ac:dyDescent="0.25">
      <c r="A458" s="193" t="s">
        <v>1302</v>
      </c>
      <c r="B458" s="88" t="s">
        <v>1184</v>
      </c>
    </row>
    <row r="459" spans="1:2" ht="15.75" x14ac:dyDescent="0.25">
      <c r="A459" s="193" t="s">
        <v>1303</v>
      </c>
      <c r="B459" s="88" t="s">
        <v>1304</v>
      </c>
    </row>
    <row r="460" spans="1:2" ht="15.75" x14ac:dyDescent="0.25">
      <c r="A460" s="193" t="s">
        <v>1305</v>
      </c>
      <c r="B460" s="253" t="s">
        <v>1206</v>
      </c>
    </row>
    <row r="461" spans="1:2" ht="15.75" x14ac:dyDescent="0.25">
      <c r="A461" s="193" t="s">
        <v>1158</v>
      </c>
      <c r="B461" s="88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6" workbookViewId="0">
      <selection activeCell="B1835" sqref="B1835"/>
    </sheetView>
  </sheetViews>
  <sheetFormatPr defaultColWidth="9.140625" defaultRowHeight="12.75" x14ac:dyDescent="0.2"/>
  <cols>
    <col min="1" max="1" width="7.140625" style="171" customWidth="1"/>
    <col min="2" max="2" width="128" style="172" customWidth="1"/>
    <col min="3" max="16384" width="9.140625" style="170"/>
  </cols>
  <sheetData>
    <row r="1" spans="2:2" hidden="1" x14ac:dyDescent="0.2">
      <c r="B1" s="173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74">
        <v>100</v>
      </c>
      <c r="B1820" s="175" t="s">
        <v>1127</v>
      </c>
    </row>
    <row r="1821" spans="1:2" x14ac:dyDescent="0.2">
      <c r="A1821" s="174">
        <v>110</v>
      </c>
      <c r="B1821" s="175" t="s">
        <v>845</v>
      </c>
    </row>
    <row r="1822" spans="1:2" x14ac:dyDescent="0.2">
      <c r="A1822" s="174">
        <v>111</v>
      </c>
      <c r="B1822" s="175" t="s">
        <v>846</v>
      </c>
    </row>
    <row r="1823" spans="1:2" x14ac:dyDescent="0.2">
      <c r="A1823" s="174">
        <v>112</v>
      </c>
      <c r="B1823" s="175" t="s">
        <v>847</v>
      </c>
    </row>
    <row r="1824" spans="1:2" x14ac:dyDescent="0.2">
      <c r="A1824" s="174">
        <v>120</v>
      </c>
      <c r="B1824" s="175" t="s">
        <v>848</v>
      </c>
    </row>
    <row r="1825" spans="1:2" x14ac:dyDescent="0.2">
      <c r="A1825" s="174">
        <v>121</v>
      </c>
      <c r="B1825" s="175" t="s">
        <v>846</v>
      </c>
    </row>
    <row r="1826" spans="1:2" x14ac:dyDescent="0.2">
      <c r="A1826" s="174">
        <v>122</v>
      </c>
      <c r="B1826" s="175" t="s">
        <v>847</v>
      </c>
    </row>
    <row r="1827" spans="1:2" x14ac:dyDescent="0.2">
      <c r="A1827" s="174">
        <v>130</v>
      </c>
      <c r="B1827" s="175" t="s">
        <v>849</v>
      </c>
    </row>
    <row r="1828" spans="1:2" x14ac:dyDescent="0.2">
      <c r="A1828" s="174">
        <v>131</v>
      </c>
      <c r="B1828" s="175" t="s">
        <v>850</v>
      </c>
    </row>
    <row r="1829" spans="1:2" x14ac:dyDescent="0.2">
      <c r="A1829" s="174">
        <v>132</v>
      </c>
      <c r="B1829" s="175" t="s">
        <v>851</v>
      </c>
    </row>
    <row r="1830" spans="1:2" x14ac:dyDescent="0.2">
      <c r="A1830" s="174">
        <v>133</v>
      </c>
      <c r="B1830" s="175" t="s">
        <v>852</v>
      </c>
    </row>
    <row r="1831" spans="1:2" x14ac:dyDescent="0.2">
      <c r="A1831" s="174">
        <v>134</v>
      </c>
      <c r="B1831" s="175" t="s">
        <v>853</v>
      </c>
    </row>
    <row r="1832" spans="1:2" x14ac:dyDescent="0.2">
      <c r="A1832" s="174">
        <v>140</v>
      </c>
      <c r="B1832" s="175" t="s">
        <v>854</v>
      </c>
    </row>
    <row r="1833" spans="1:2" x14ac:dyDescent="0.2">
      <c r="A1833" s="174">
        <v>141</v>
      </c>
      <c r="B1833" s="175" t="s">
        <v>846</v>
      </c>
    </row>
    <row r="1834" spans="1:2" ht="25.5" x14ac:dyDescent="0.2">
      <c r="A1834" s="174">
        <v>142</v>
      </c>
      <c r="B1834" s="175" t="s">
        <v>855</v>
      </c>
    </row>
    <row r="1835" spans="1:2" ht="25.5" x14ac:dyDescent="0.2">
      <c r="A1835" s="174">
        <v>200</v>
      </c>
      <c r="B1835" s="175" t="s">
        <v>1126</v>
      </c>
    </row>
    <row r="1836" spans="1:2" x14ac:dyDescent="0.2">
      <c r="A1836" s="174">
        <v>210</v>
      </c>
      <c r="B1836" s="175" t="s">
        <v>856</v>
      </c>
    </row>
    <row r="1837" spans="1:2" ht="25.5" x14ac:dyDescent="0.2">
      <c r="A1837" s="174">
        <v>211</v>
      </c>
      <c r="B1837" s="175" t="s">
        <v>857</v>
      </c>
    </row>
    <row r="1838" spans="1:2" ht="25.5" x14ac:dyDescent="0.2">
      <c r="A1838" s="174">
        <v>212</v>
      </c>
      <c r="B1838" s="175" t="s">
        <v>858</v>
      </c>
    </row>
    <row r="1839" spans="1:2" ht="25.5" x14ac:dyDescent="0.2">
      <c r="A1839" s="174">
        <v>213</v>
      </c>
      <c r="B1839" s="175" t="s">
        <v>859</v>
      </c>
    </row>
    <row r="1840" spans="1:2" ht="25.5" x14ac:dyDescent="0.2">
      <c r="A1840" s="174">
        <v>214</v>
      </c>
      <c r="B1840" s="175" t="s">
        <v>860</v>
      </c>
    </row>
    <row r="1841" spans="1:2" ht="25.5" x14ac:dyDescent="0.2">
      <c r="A1841" s="174">
        <v>215</v>
      </c>
      <c r="B1841" s="175" t="s">
        <v>861</v>
      </c>
    </row>
    <row r="1842" spans="1:2" ht="25.5" x14ac:dyDescent="0.2">
      <c r="A1842" s="174">
        <v>216</v>
      </c>
      <c r="B1842" s="175" t="s">
        <v>862</v>
      </c>
    </row>
    <row r="1843" spans="1:2" ht="25.5" x14ac:dyDescent="0.2">
      <c r="A1843" s="174">
        <v>217</v>
      </c>
      <c r="B1843" s="175" t="s">
        <v>863</v>
      </c>
    </row>
    <row r="1844" spans="1:2" ht="25.5" x14ac:dyDescent="0.2">
      <c r="A1844" s="174">
        <v>218</v>
      </c>
      <c r="B1844" s="175" t="s">
        <v>864</v>
      </c>
    </row>
    <row r="1845" spans="1:2" x14ac:dyDescent="0.2">
      <c r="A1845" s="174">
        <v>219</v>
      </c>
      <c r="B1845" s="175" t="s">
        <v>865</v>
      </c>
    </row>
    <row r="1846" spans="1:2" ht="25.5" x14ac:dyDescent="0.2">
      <c r="A1846" s="174">
        <v>220</v>
      </c>
      <c r="B1846" s="175" t="s">
        <v>866</v>
      </c>
    </row>
    <row r="1847" spans="1:2" x14ac:dyDescent="0.2">
      <c r="A1847" s="174">
        <v>221</v>
      </c>
      <c r="B1847" s="175" t="s">
        <v>867</v>
      </c>
    </row>
    <row r="1848" spans="1:2" x14ac:dyDescent="0.2">
      <c r="A1848" s="174">
        <v>222</v>
      </c>
      <c r="B1848" s="175" t="s">
        <v>868</v>
      </c>
    </row>
    <row r="1849" spans="1:2" x14ac:dyDescent="0.2">
      <c r="A1849" s="174">
        <v>223</v>
      </c>
      <c r="B1849" s="175" t="s">
        <v>836</v>
      </c>
    </row>
    <row r="1850" spans="1:2" x14ac:dyDescent="0.2">
      <c r="A1850" s="174">
        <v>224</v>
      </c>
      <c r="B1850" s="175" t="s">
        <v>837</v>
      </c>
    </row>
    <row r="1851" spans="1:2" x14ac:dyDescent="0.2">
      <c r="A1851" s="174">
        <v>225</v>
      </c>
      <c r="B1851" s="175" t="s">
        <v>838</v>
      </c>
    </row>
    <row r="1852" spans="1:2" x14ac:dyDescent="0.2">
      <c r="A1852" s="174">
        <v>226</v>
      </c>
      <c r="B1852" s="175" t="s">
        <v>839</v>
      </c>
    </row>
    <row r="1853" spans="1:2" x14ac:dyDescent="0.2">
      <c r="A1853" s="174">
        <v>230</v>
      </c>
      <c r="B1853" s="175" t="s">
        <v>869</v>
      </c>
    </row>
    <row r="1854" spans="1:2" x14ac:dyDescent="0.2">
      <c r="A1854" s="174">
        <v>240</v>
      </c>
      <c r="B1854" s="175" t="s">
        <v>870</v>
      </c>
    </row>
    <row r="1855" spans="1:2" x14ac:dyDescent="0.2">
      <c r="A1855" s="174">
        <v>241</v>
      </c>
      <c r="B1855" s="175" t="s">
        <v>871</v>
      </c>
    </row>
    <row r="1856" spans="1:2" x14ac:dyDescent="0.2">
      <c r="A1856" s="174">
        <v>242</v>
      </c>
      <c r="B1856" s="175" t="s">
        <v>872</v>
      </c>
    </row>
    <row r="1857" spans="1:2" x14ac:dyDescent="0.2">
      <c r="A1857" s="174">
        <v>243</v>
      </c>
      <c r="B1857" s="175" t="s">
        <v>873</v>
      </c>
    </row>
    <row r="1858" spans="1:2" x14ac:dyDescent="0.2">
      <c r="A1858" s="174">
        <v>244</v>
      </c>
      <c r="B1858" s="175" t="s">
        <v>1125</v>
      </c>
    </row>
    <row r="1859" spans="1:2" x14ac:dyDescent="0.2">
      <c r="A1859" s="174">
        <v>300</v>
      </c>
      <c r="B1859" s="175" t="s">
        <v>343</v>
      </c>
    </row>
    <row r="1860" spans="1:2" x14ac:dyDescent="0.2">
      <c r="A1860" s="174">
        <v>310</v>
      </c>
      <c r="B1860" s="175" t="s">
        <v>874</v>
      </c>
    </row>
    <row r="1861" spans="1:2" x14ac:dyDescent="0.2">
      <c r="A1861" s="174">
        <v>311</v>
      </c>
      <c r="B1861" s="175" t="s">
        <v>875</v>
      </c>
    </row>
    <row r="1862" spans="1:2" x14ac:dyDescent="0.2">
      <c r="A1862" s="174">
        <v>312</v>
      </c>
      <c r="B1862" s="175" t="s">
        <v>876</v>
      </c>
    </row>
    <row r="1863" spans="1:2" x14ac:dyDescent="0.2">
      <c r="A1863" s="174">
        <v>313</v>
      </c>
      <c r="B1863" s="175" t="s">
        <v>877</v>
      </c>
    </row>
    <row r="1864" spans="1:2" x14ac:dyDescent="0.2">
      <c r="A1864" s="174">
        <v>314</v>
      </c>
      <c r="B1864" s="175" t="s">
        <v>878</v>
      </c>
    </row>
    <row r="1865" spans="1:2" x14ac:dyDescent="0.2">
      <c r="A1865" s="174">
        <v>320</v>
      </c>
      <c r="B1865" s="175" t="s">
        <v>879</v>
      </c>
    </row>
    <row r="1866" spans="1:2" x14ac:dyDescent="0.2">
      <c r="A1866" s="174">
        <v>321</v>
      </c>
      <c r="B1866" s="175" t="s">
        <v>880</v>
      </c>
    </row>
    <row r="1867" spans="1:2" x14ac:dyDescent="0.2">
      <c r="A1867" s="174">
        <v>322</v>
      </c>
      <c r="B1867" s="175" t="s">
        <v>881</v>
      </c>
    </row>
    <row r="1868" spans="1:2" x14ac:dyDescent="0.2">
      <c r="A1868" s="174">
        <v>323</v>
      </c>
      <c r="B1868" s="175" t="s">
        <v>882</v>
      </c>
    </row>
    <row r="1869" spans="1:2" x14ac:dyDescent="0.2">
      <c r="A1869" s="174">
        <v>330</v>
      </c>
      <c r="B1869" s="175" t="s">
        <v>883</v>
      </c>
    </row>
    <row r="1870" spans="1:2" x14ac:dyDescent="0.2">
      <c r="A1870" s="174">
        <v>340</v>
      </c>
      <c r="B1870" s="175" t="s">
        <v>884</v>
      </c>
    </row>
    <row r="1871" spans="1:2" x14ac:dyDescent="0.2">
      <c r="A1871" s="174">
        <v>350</v>
      </c>
      <c r="B1871" s="175" t="s">
        <v>885</v>
      </c>
    </row>
    <row r="1872" spans="1:2" x14ac:dyDescent="0.2">
      <c r="A1872" s="174">
        <v>360</v>
      </c>
      <c r="B1872" s="175" t="s">
        <v>886</v>
      </c>
    </row>
    <row r="1873" spans="1:2" ht="12.75" customHeight="1" x14ac:dyDescent="0.2">
      <c r="A1873" s="174">
        <v>400</v>
      </c>
      <c r="B1873" s="175" t="s">
        <v>1128</v>
      </c>
    </row>
    <row r="1874" spans="1:2" x14ac:dyDescent="0.2">
      <c r="A1874" s="174">
        <v>410</v>
      </c>
      <c r="B1874" s="175" t="s">
        <v>887</v>
      </c>
    </row>
    <row r="1875" spans="1:2" x14ac:dyDescent="0.2">
      <c r="A1875" s="174">
        <v>411</v>
      </c>
      <c r="B1875" s="175" t="s">
        <v>888</v>
      </c>
    </row>
    <row r="1876" spans="1:2" x14ac:dyDescent="0.2">
      <c r="A1876" s="174">
        <v>412</v>
      </c>
      <c r="B1876" s="175" t="s">
        <v>889</v>
      </c>
    </row>
    <row r="1877" spans="1:2" x14ac:dyDescent="0.2">
      <c r="A1877" s="174">
        <v>413</v>
      </c>
      <c r="B1877" s="175" t="s">
        <v>890</v>
      </c>
    </row>
    <row r="1878" spans="1:2" x14ac:dyDescent="0.2">
      <c r="A1878" s="174">
        <v>414</v>
      </c>
      <c r="B1878" s="175" t="s">
        <v>891</v>
      </c>
    </row>
    <row r="1879" spans="1:2" x14ac:dyDescent="0.2">
      <c r="A1879" s="174">
        <v>415</v>
      </c>
      <c r="B1879" s="175" t="s">
        <v>892</v>
      </c>
    </row>
    <row r="1880" spans="1:2" x14ac:dyDescent="0.2">
      <c r="A1880" s="174">
        <v>420</v>
      </c>
      <c r="B1880" s="175" t="s">
        <v>893</v>
      </c>
    </row>
    <row r="1881" spans="1:2" ht="25.5" x14ac:dyDescent="0.2">
      <c r="A1881" s="174">
        <v>421</v>
      </c>
      <c r="B1881" s="175" t="s">
        <v>894</v>
      </c>
    </row>
    <row r="1882" spans="1:2" ht="25.5" x14ac:dyDescent="0.2">
      <c r="A1882" s="174">
        <v>422</v>
      </c>
      <c r="B1882" s="175" t="s">
        <v>895</v>
      </c>
    </row>
    <row r="1883" spans="1:2" x14ac:dyDescent="0.2">
      <c r="A1883" s="174">
        <v>430</v>
      </c>
      <c r="B1883" s="175" t="s">
        <v>896</v>
      </c>
    </row>
    <row r="1884" spans="1:2" x14ac:dyDescent="0.2">
      <c r="A1884" s="174">
        <v>440</v>
      </c>
      <c r="B1884" s="175" t="s">
        <v>897</v>
      </c>
    </row>
    <row r="1885" spans="1:2" x14ac:dyDescent="0.2">
      <c r="A1885" s="174">
        <v>500</v>
      </c>
      <c r="B1885" s="175" t="s">
        <v>480</v>
      </c>
    </row>
    <row r="1886" spans="1:2" x14ac:dyDescent="0.2">
      <c r="A1886" s="174">
        <v>510</v>
      </c>
      <c r="B1886" s="175" t="s">
        <v>844</v>
      </c>
    </row>
    <row r="1887" spans="1:2" x14ac:dyDescent="0.2">
      <c r="A1887" s="174">
        <v>511</v>
      </c>
      <c r="B1887" s="175" t="s">
        <v>898</v>
      </c>
    </row>
    <row r="1888" spans="1:2" x14ac:dyDescent="0.2">
      <c r="A1888" s="174">
        <v>512</v>
      </c>
      <c r="B1888" s="175" t="s">
        <v>899</v>
      </c>
    </row>
    <row r="1889" spans="1:2" ht="25.5" x14ac:dyDescent="0.2">
      <c r="A1889" s="174">
        <v>513</v>
      </c>
      <c r="B1889" s="175" t="s">
        <v>900</v>
      </c>
    </row>
    <row r="1890" spans="1:2" x14ac:dyDescent="0.2">
      <c r="A1890" s="174">
        <v>514</v>
      </c>
      <c r="B1890" s="175" t="s">
        <v>901</v>
      </c>
    </row>
    <row r="1891" spans="1:2" x14ac:dyDescent="0.2">
      <c r="A1891" s="174">
        <v>515</v>
      </c>
      <c r="B1891" s="175" t="s">
        <v>244</v>
      </c>
    </row>
    <row r="1892" spans="1:2" x14ac:dyDescent="0.2">
      <c r="A1892" s="174">
        <v>520</v>
      </c>
      <c r="B1892" s="175" t="s">
        <v>840</v>
      </c>
    </row>
    <row r="1893" spans="1:2" ht="25.5" x14ac:dyDescent="0.2">
      <c r="A1893" s="174">
        <v>521</v>
      </c>
      <c r="B1893" s="175" t="s">
        <v>902</v>
      </c>
    </row>
    <row r="1894" spans="1:2" x14ac:dyDescent="0.2">
      <c r="A1894" s="174">
        <v>522</v>
      </c>
      <c r="B1894" s="175" t="s">
        <v>903</v>
      </c>
    </row>
    <row r="1895" spans="1:2" x14ac:dyDescent="0.2">
      <c r="A1895" s="174">
        <v>530</v>
      </c>
      <c r="B1895" s="175" t="s">
        <v>904</v>
      </c>
    </row>
    <row r="1896" spans="1:2" x14ac:dyDescent="0.2">
      <c r="A1896" s="174">
        <v>540</v>
      </c>
      <c r="B1896" s="175" t="s">
        <v>905</v>
      </c>
    </row>
    <row r="1897" spans="1:2" x14ac:dyDescent="0.2">
      <c r="A1897" s="174">
        <v>560</v>
      </c>
      <c r="B1897" s="175" t="s">
        <v>906</v>
      </c>
    </row>
    <row r="1898" spans="1:2" x14ac:dyDescent="0.2">
      <c r="A1898" s="174">
        <v>570</v>
      </c>
      <c r="B1898" s="175" t="s">
        <v>907</v>
      </c>
    </row>
    <row r="1899" spans="1:2" x14ac:dyDescent="0.2">
      <c r="A1899" s="174">
        <v>580</v>
      </c>
      <c r="B1899" s="175" t="s">
        <v>908</v>
      </c>
    </row>
    <row r="1900" spans="1:2" x14ac:dyDescent="0.2">
      <c r="A1900" s="174">
        <v>600</v>
      </c>
      <c r="B1900" s="175" t="s">
        <v>372</v>
      </c>
    </row>
    <row r="1901" spans="1:2" x14ac:dyDescent="0.2">
      <c r="A1901" s="174">
        <v>610</v>
      </c>
      <c r="B1901" s="175" t="s">
        <v>909</v>
      </c>
    </row>
    <row r="1902" spans="1:2" x14ac:dyDescent="0.2">
      <c r="A1902" s="174">
        <v>611</v>
      </c>
      <c r="B1902" s="175" t="s">
        <v>380</v>
      </c>
    </row>
    <row r="1903" spans="1:2" x14ac:dyDescent="0.2">
      <c r="A1903" s="174">
        <v>612</v>
      </c>
      <c r="B1903" s="175" t="s">
        <v>910</v>
      </c>
    </row>
    <row r="1904" spans="1:2" x14ac:dyDescent="0.2">
      <c r="A1904" s="174">
        <v>620</v>
      </c>
      <c r="B1904" s="175" t="s">
        <v>911</v>
      </c>
    </row>
    <row r="1905" spans="1:2" x14ac:dyDescent="0.2">
      <c r="A1905" s="174">
        <v>621</v>
      </c>
      <c r="B1905" s="175" t="s">
        <v>912</v>
      </c>
    </row>
    <row r="1906" spans="1:2" x14ac:dyDescent="0.2">
      <c r="A1906" s="174">
        <v>622</v>
      </c>
      <c r="B1906" s="175" t="s">
        <v>913</v>
      </c>
    </row>
    <row r="1907" spans="1:2" x14ac:dyDescent="0.2">
      <c r="A1907" s="174">
        <v>630</v>
      </c>
      <c r="B1907" s="175" t="s">
        <v>914</v>
      </c>
    </row>
    <row r="1908" spans="1:2" x14ac:dyDescent="0.2">
      <c r="A1908" s="174">
        <v>700</v>
      </c>
      <c r="B1908" s="175" t="s">
        <v>483</v>
      </c>
    </row>
    <row r="1909" spans="1:2" x14ac:dyDescent="0.2">
      <c r="A1909" s="174">
        <v>710</v>
      </c>
      <c r="B1909" s="175" t="s">
        <v>483</v>
      </c>
    </row>
    <row r="1910" spans="1:2" x14ac:dyDescent="0.2">
      <c r="A1910" s="174">
        <v>800</v>
      </c>
      <c r="B1910" s="175" t="s">
        <v>314</v>
      </c>
    </row>
    <row r="1911" spans="1:2" x14ac:dyDescent="0.2">
      <c r="A1911" s="174">
        <v>810</v>
      </c>
      <c r="B1911" s="175" t="s">
        <v>915</v>
      </c>
    </row>
    <row r="1912" spans="1:2" x14ac:dyDescent="0.2">
      <c r="A1912" s="174">
        <v>820</v>
      </c>
      <c r="B1912" s="175" t="s">
        <v>916</v>
      </c>
    </row>
    <row r="1913" spans="1:2" x14ac:dyDescent="0.2">
      <c r="A1913" s="174">
        <v>821</v>
      </c>
      <c r="B1913" s="175" t="s">
        <v>917</v>
      </c>
    </row>
    <row r="1914" spans="1:2" x14ac:dyDescent="0.2">
      <c r="A1914" s="174">
        <v>822</v>
      </c>
      <c r="B1914" s="175" t="s">
        <v>918</v>
      </c>
    </row>
    <row r="1915" spans="1:2" x14ac:dyDescent="0.2">
      <c r="A1915" s="174">
        <v>823</v>
      </c>
      <c r="B1915" s="175" t="s">
        <v>919</v>
      </c>
    </row>
    <row r="1916" spans="1:2" x14ac:dyDescent="0.2">
      <c r="A1916" s="174">
        <v>830</v>
      </c>
      <c r="B1916" s="175" t="s">
        <v>920</v>
      </c>
    </row>
    <row r="1917" spans="1:2" ht="38.25" x14ac:dyDescent="0.2">
      <c r="A1917" s="174">
        <v>831</v>
      </c>
      <c r="B1917" s="176" t="s">
        <v>921</v>
      </c>
    </row>
    <row r="1918" spans="1:2" ht="51" x14ac:dyDescent="0.2">
      <c r="A1918" s="174">
        <v>832</v>
      </c>
      <c r="B1918" s="176" t="s">
        <v>922</v>
      </c>
    </row>
    <row r="1919" spans="1:2" x14ac:dyDescent="0.2">
      <c r="A1919" s="174">
        <v>833</v>
      </c>
      <c r="B1919" s="175" t="s">
        <v>923</v>
      </c>
    </row>
    <row r="1920" spans="1:2" ht="25.5" x14ac:dyDescent="0.2">
      <c r="A1920" s="174">
        <v>840</v>
      </c>
      <c r="B1920" s="175" t="s">
        <v>924</v>
      </c>
    </row>
    <row r="1921" spans="1:2" x14ac:dyDescent="0.2">
      <c r="A1921" s="174">
        <v>841</v>
      </c>
      <c r="B1921" s="175" t="s">
        <v>925</v>
      </c>
    </row>
    <row r="1922" spans="1:2" x14ac:dyDescent="0.2">
      <c r="A1922" s="174">
        <v>850</v>
      </c>
      <c r="B1922" s="175" t="s">
        <v>926</v>
      </c>
    </row>
    <row r="1923" spans="1:2" x14ac:dyDescent="0.2">
      <c r="A1923" s="174">
        <v>851</v>
      </c>
      <c r="B1923" s="175" t="s">
        <v>927</v>
      </c>
    </row>
    <row r="1924" spans="1:2" ht="12.75" customHeight="1" x14ac:dyDescent="0.2">
      <c r="A1924" s="174">
        <v>852</v>
      </c>
      <c r="B1924" s="175" t="s">
        <v>928</v>
      </c>
    </row>
    <row r="1925" spans="1:2" x14ac:dyDescent="0.2">
      <c r="A1925" s="174">
        <v>860</v>
      </c>
      <c r="B1925" s="175" t="s">
        <v>929</v>
      </c>
    </row>
    <row r="1926" spans="1:2" x14ac:dyDescent="0.2">
      <c r="A1926" s="174">
        <v>861</v>
      </c>
      <c r="B1926" s="175" t="s">
        <v>930</v>
      </c>
    </row>
    <row r="1927" spans="1:2" x14ac:dyDescent="0.2">
      <c r="A1927" s="174">
        <v>862</v>
      </c>
      <c r="B1927" s="175" t="s">
        <v>931</v>
      </c>
    </row>
    <row r="1928" spans="1:2" x14ac:dyDescent="0.2">
      <c r="A1928" s="174">
        <v>863</v>
      </c>
      <c r="B1928" s="175" t="s">
        <v>932</v>
      </c>
    </row>
    <row r="1929" spans="1:2" x14ac:dyDescent="0.2">
      <c r="A1929" s="174">
        <v>870</v>
      </c>
      <c r="B1929" s="175" t="s">
        <v>933</v>
      </c>
    </row>
    <row r="1930" spans="1:2" x14ac:dyDescent="0.2">
      <c r="A1930" s="174">
        <v>880</v>
      </c>
      <c r="B1930" s="175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28515625" style="49" customWidth="1"/>
    <col min="2" max="2" width="62" style="50" customWidth="1"/>
    <col min="3" max="3" width="15.7109375" style="35" hidden="1" customWidth="1"/>
    <col min="4" max="4" width="18.7109375" style="35" hidden="1" customWidth="1"/>
    <col min="5" max="5" width="18.7109375" style="35" customWidth="1"/>
    <col min="6" max="6" width="43.28515625" style="35" customWidth="1"/>
    <col min="7" max="16384" width="11.85546875" style="35"/>
  </cols>
  <sheetData>
    <row r="1" spans="1:5" s="50" customFormat="1" x14ac:dyDescent="0.25">
      <c r="A1" s="829" t="s">
        <v>130</v>
      </c>
      <c r="B1" s="829"/>
      <c r="C1" s="829"/>
      <c r="D1" s="829"/>
      <c r="E1" s="829"/>
    </row>
    <row r="2" spans="1:5" s="50" customFormat="1" x14ac:dyDescent="0.25">
      <c r="A2" s="829" t="s">
        <v>1</v>
      </c>
      <c r="B2" s="829"/>
      <c r="C2" s="829"/>
      <c r="D2" s="829"/>
      <c r="E2" s="829"/>
    </row>
    <row r="3" spans="1:5" s="50" customFormat="1" x14ac:dyDescent="0.25">
      <c r="A3" s="829" t="s">
        <v>2</v>
      </c>
      <c r="B3" s="829"/>
      <c r="C3" s="829"/>
      <c r="D3" s="829"/>
      <c r="E3" s="829"/>
    </row>
    <row r="4" spans="1:5" s="50" customFormat="1" x14ac:dyDescent="0.25">
      <c r="A4" s="829" t="s">
        <v>1808</v>
      </c>
      <c r="B4" s="829"/>
      <c r="C4" s="829"/>
      <c r="D4" s="829"/>
      <c r="E4" s="829"/>
    </row>
    <row r="5" spans="1:5" s="50" customFormat="1" x14ac:dyDescent="0.25">
      <c r="A5" s="51"/>
      <c r="B5" s="52"/>
    </row>
    <row r="6" spans="1:5" s="50" customFormat="1" ht="44.25" customHeight="1" x14ac:dyDescent="0.25">
      <c r="A6" s="844" t="s">
        <v>1616</v>
      </c>
      <c r="B6" s="844"/>
      <c r="C6" s="844"/>
      <c r="D6" s="844"/>
      <c r="E6" s="844"/>
    </row>
    <row r="7" spans="1:5" s="50" customFormat="1" ht="16.5" thickBot="1" x14ac:dyDescent="0.3">
      <c r="A7" s="54"/>
    </row>
    <row r="8" spans="1:5" s="53" customFormat="1" ht="16.5" thickBot="1" x14ac:dyDescent="0.3">
      <c r="A8" s="55" t="s">
        <v>138</v>
      </c>
      <c r="B8" s="56" t="s">
        <v>139</v>
      </c>
      <c r="C8" s="56" t="s">
        <v>140</v>
      </c>
      <c r="D8" s="56" t="s">
        <v>140</v>
      </c>
      <c r="E8" s="56" t="s">
        <v>140</v>
      </c>
    </row>
    <row r="9" spans="1:5" s="57" customFormat="1" ht="16.5" thickBot="1" x14ac:dyDescent="0.3">
      <c r="A9" s="58">
        <v>100</v>
      </c>
      <c r="B9" s="59" t="s">
        <v>141</v>
      </c>
      <c r="C9" s="60">
        <f>C11+C13+C15+C20+C22+C14</f>
        <v>191932770.93000001</v>
      </c>
      <c r="D9" s="60">
        <f t="shared" ref="D9:E9" si="0">D11+D13+D15+D20+D22+D14</f>
        <v>1416344.0299999998</v>
      </c>
      <c r="E9" s="60">
        <f t="shared" si="0"/>
        <v>193349114.96000001</v>
      </c>
    </row>
    <row r="10" spans="1:5" s="57" customFormat="1" ht="16.5" hidden="1" thickBot="1" x14ac:dyDescent="0.3">
      <c r="A10" s="61">
        <v>101</v>
      </c>
      <c r="B10" s="62" t="s">
        <v>142</v>
      </c>
      <c r="C10" s="63">
        <f>SUMIF(Пр.10!C10:C1243,101,Пр.10!G10:G1243)</f>
        <v>0</v>
      </c>
      <c r="D10" s="63">
        <f>SUMIF(Пр.10!D10:D1243,101,Пр.10!H10:H1243)</f>
        <v>0</v>
      </c>
      <c r="E10" s="63">
        <f>SUMIF(Пр.10!E10:E1243,101,Пр.10!I10:I1243)</f>
        <v>0</v>
      </c>
    </row>
    <row r="11" spans="1:5" s="57" customFormat="1" ht="32.25" thickBot="1" x14ac:dyDescent="0.3">
      <c r="A11" s="61">
        <v>102</v>
      </c>
      <c r="B11" s="64" t="s">
        <v>143</v>
      </c>
      <c r="C11" s="63">
        <f>SUMIF(Пр.10!C7:C1273,102,Пр.10!G7:G1273)</f>
        <v>3390947</v>
      </c>
      <c r="D11" s="63">
        <f>SUMIF(Пр.10!$C7:$C1273,102,Пр.10!H7:H1273)</f>
        <v>-602424</v>
      </c>
      <c r="E11" s="63">
        <f>SUMIF(Пр.10!$C7:$C1273,102,Пр.10!I7:I1273)</f>
        <v>2788523</v>
      </c>
    </row>
    <row r="12" spans="1:5" s="57" customFormat="1" ht="48" hidden="1" thickBot="1" x14ac:dyDescent="0.3">
      <c r="A12" s="61">
        <v>103</v>
      </c>
      <c r="B12" s="64" t="s">
        <v>144</v>
      </c>
      <c r="C12" s="63">
        <f>SUMIF(Пр.10!C8:C1274,103,Пр.10!G8:G1274)</f>
        <v>0</v>
      </c>
      <c r="D12" s="63">
        <f>SUMIF(Пр.10!D8:D1274,103,Пр.10!H8:H1274)</f>
        <v>0</v>
      </c>
      <c r="E12" s="63">
        <f>SUMIF(Пр.10!E8:E1274,103,Пр.10!I8:I1274)</f>
        <v>0</v>
      </c>
    </row>
    <row r="13" spans="1:5" ht="48" thickBot="1" x14ac:dyDescent="0.3">
      <c r="A13" s="61">
        <v>104</v>
      </c>
      <c r="B13" s="64" t="s">
        <v>145</v>
      </c>
      <c r="C13" s="63">
        <f>SUMIF(Пр.10!$C9:$C1275,104,Пр.10!G9:G1275)</f>
        <v>50814035.710000001</v>
      </c>
      <c r="D13" s="63">
        <f>SUMIF(Пр.10!$C9:$C1275,104,Пр.10!H9:H1275)</f>
        <v>3006374.4299999997</v>
      </c>
      <c r="E13" s="63">
        <f>SUMIF(Пр.10!$C9:$C1275,104,Пр.10!I9:I1275)</f>
        <v>53820410.140000001</v>
      </c>
    </row>
    <row r="14" spans="1:5" ht="16.5" thickBot="1" x14ac:dyDescent="0.3">
      <c r="A14" s="61">
        <v>105</v>
      </c>
      <c r="B14" s="64" t="s">
        <v>146</v>
      </c>
      <c r="C14" s="63">
        <f>SUMIF(Пр.10!C7:C1239,105,Пр.10!G7:G1239)</f>
        <v>51506</v>
      </c>
      <c r="D14" s="63">
        <f>SUMIF(Пр.10!C10:C1276,105,Пр.10!H10:H1276)</f>
        <v>0</v>
      </c>
      <c r="E14" s="63">
        <f>SUMIF(Пр.10!$C10:$C1276,105,Пр.10!I10:I1276)</f>
        <v>51506</v>
      </c>
    </row>
    <row r="15" spans="1:5" ht="48" thickBot="1" x14ac:dyDescent="0.3">
      <c r="A15" s="61">
        <v>106</v>
      </c>
      <c r="B15" s="64" t="s">
        <v>147</v>
      </c>
      <c r="C15" s="63">
        <f>SUMIF(Пр.10!$C10:$C1276,106,Пр.10!G10:G1276)</f>
        <v>21372403</v>
      </c>
      <c r="D15" s="63">
        <f>SUMIF(Пр.10!$C10:$C1276,106,Пр.10!H10:H1276)</f>
        <v>730896</v>
      </c>
      <c r="E15" s="63">
        <f>SUMIF(Пр.10!$C10:$C1276,106,Пр.10!I10:I1276)</f>
        <v>22103299</v>
      </c>
    </row>
    <row r="16" spans="1:5" ht="16.5" hidden="1" thickBot="1" x14ac:dyDescent="0.3">
      <c r="A16" s="61">
        <v>107</v>
      </c>
      <c r="B16" s="64" t="s">
        <v>148</v>
      </c>
      <c r="C16" s="63">
        <f>SUMIF(Пр.10!C10:C1243,107,Пр.10!G10:G1243)</f>
        <v>0</v>
      </c>
      <c r="D16" s="63">
        <f>SUMIF(Пр.10!D10:D1243,107,Пр.10!H10:H1243)</f>
        <v>0</v>
      </c>
      <c r="E16" s="63">
        <f>SUMIF(Пр.10!E10:E1243,107,Пр.10!I10:I1243)</f>
        <v>0</v>
      </c>
    </row>
    <row r="17" spans="1:5" s="57" customFormat="1" ht="32.25" hidden="1" thickBot="1" x14ac:dyDescent="0.3">
      <c r="A17" s="61">
        <v>108</v>
      </c>
      <c r="B17" s="64" t="s">
        <v>149</v>
      </c>
      <c r="C17" s="63">
        <f>SUMIF(Пр.10!C10:C1243,108,Пр.10!G10:G1243)</f>
        <v>0</v>
      </c>
      <c r="D17" s="63">
        <f>SUMIF(Пр.10!D10:D1243,108,Пр.10!H10:H1243)</f>
        <v>0</v>
      </c>
      <c r="E17" s="63">
        <f>SUMIF(Пр.10!E10:E1243,108,Пр.10!I10:I1243)</f>
        <v>0</v>
      </c>
    </row>
    <row r="18" spans="1:5" ht="16.5" hidden="1" thickBot="1" x14ac:dyDescent="0.3">
      <c r="A18" s="61">
        <v>109</v>
      </c>
      <c r="B18" s="64" t="s">
        <v>150</v>
      </c>
      <c r="C18" s="63">
        <f>SUMIF(Пр.10!C10:C1243,109,Пр.10!G10:G1243)</f>
        <v>0</v>
      </c>
      <c r="D18" s="63">
        <f>SUMIF(Пр.10!D10:D1243,109,Пр.10!H10:H1243)</f>
        <v>0</v>
      </c>
      <c r="E18" s="63">
        <f>SUMIF(Пр.10!E10:E1243,109,Пр.10!I10:I1243)</f>
        <v>0</v>
      </c>
    </row>
    <row r="19" spans="1:5" ht="16.5" hidden="1" thickBot="1" x14ac:dyDescent="0.3">
      <c r="A19" s="61">
        <v>110</v>
      </c>
      <c r="B19" s="64" t="s">
        <v>151</v>
      </c>
      <c r="C19" s="63">
        <f>SUMIF(Пр.10!C10:C1243,110,Пр.10!G10:G1243)</f>
        <v>0</v>
      </c>
      <c r="D19" s="63">
        <f>SUMIF(Пр.10!D10:D1243,110,Пр.10!H10:H1243)</f>
        <v>0</v>
      </c>
      <c r="E19" s="63">
        <f>SUMIF(Пр.10!E10:E1243,110,Пр.10!I10:I1243)</f>
        <v>0</v>
      </c>
    </row>
    <row r="20" spans="1:5" s="57" customFormat="1" ht="16.5" hidden="1" thickBot="1" x14ac:dyDescent="0.3">
      <c r="A20" s="61">
        <v>111</v>
      </c>
      <c r="B20" s="64" t="s">
        <v>152</v>
      </c>
      <c r="C20" s="63">
        <f>SUMIF(Пр.10!$C10:$C1243,111,Пр.10!G10:G1243)</f>
        <v>2542598.2000000002</v>
      </c>
      <c r="D20" s="63">
        <f>SUMIF(Пр.10!$C10:$C1243,111,Пр.10!H10:H1243)</f>
        <v>-2542598.1999999997</v>
      </c>
      <c r="E20" s="63">
        <f>SUMIF(Пр.10!$C10:$C1243,111,Пр.10!I10:I1243)</f>
        <v>0</v>
      </c>
    </row>
    <row r="21" spans="1:5" ht="32.25" hidden="1" thickBot="1" x14ac:dyDescent="0.3">
      <c r="A21" s="61">
        <v>112</v>
      </c>
      <c r="B21" s="64" t="s">
        <v>153</v>
      </c>
      <c r="C21" s="63">
        <f>SUMIF(Пр.10!C10:C1243,112,Пр.10!G10:G1243)</f>
        <v>0</v>
      </c>
      <c r="D21" s="63">
        <f>SUMIF(Пр.10!D10:D1243,112,Пр.10!H10:H1243)</f>
        <v>0</v>
      </c>
      <c r="E21" s="63">
        <f>SUMIF(Пр.10!E10:E1243,112,Пр.10!I10:I1243)</f>
        <v>0</v>
      </c>
    </row>
    <row r="22" spans="1:5" ht="16.5" thickBot="1" x14ac:dyDescent="0.3">
      <c r="A22" s="61">
        <v>113</v>
      </c>
      <c r="B22" s="64" t="s">
        <v>154</v>
      </c>
      <c r="C22" s="63">
        <f>SUMIF(Пр.10!$C10:$C1273,113,Пр.10!G10:G1273)</f>
        <v>113761281.02000001</v>
      </c>
      <c r="D22" s="63">
        <f>SUMIF(Пр.10!$C10:$C1273,113,Пр.10!H10:H1273)</f>
        <v>824095.79999999981</v>
      </c>
      <c r="E22" s="63">
        <f>SUMIF(Пр.10!$C10:$C1273,113,Пр.10!I10:I1273)</f>
        <v>114585376.82000001</v>
      </c>
    </row>
    <row r="23" spans="1:5" ht="16.5" hidden="1" thickBot="1" x14ac:dyDescent="0.3">
      <c r="A23" s="58">
        <v>200</v>
      </c>
      <c r="B23" s="65" t="s">
        <v>155</v>
      </c>
      <c r="C23" s="60">
        <f>SUM(C24:C32)</f>
        <v>0</v>
      </c>
      <c r="D23" s="60">
        <f t="shared" ref="D23:E23" si="1">SUM(D24:D32)</f>
        <v>0</v>
      </c>
      <c r="E23" s="60">
        <f t="shared" si="1"/>
        <v>0</v>
      </c>
    </row>
    <row r="24" spans="1:5" ht="16.5" hidden="1" thickBot="1" x14ac:dyDescent="0.3">
      <c r="A24" s="61">
        <v>201</v>
      </c>
      <c r="B24" s="64" t="s">
        <v>156</v>
      </c>
      <c r="C24" s="63">
        <f>SUMIF(Пр.10!C10:C1243,201,Пр.10!G10:G1243)</f>
        <v>0</v>
      </c>
      <c r="D24" s="63">
        <f>SUMIF(Пр.10!D10:D1243,201,Пр.10!H10:H1243)</f>
        <v>0</v>
      </c>
      <c r="E24" s="63">
        <f>SUMIF(Пр.10!E10:E1243,201,Пр.10!I10:I1243)</f>
        <v>0</v>
      </c>
    </row>
    <row r="25" spans="1:5" s="57" customFormat="1" ht="32.25" hidden="1" thickBot="1" x14ac:dyDescent="0.3">
      <c r="A25" s="61">
        <v>202</v>
      </c>
      <c r="B25" s="64" t="s">
        <v>157</v>
      </c>
      <c r="C25" s="63">
        <f>SUMIF(Пр.10!C10:C1243,202,Пр.10!G10:G1243)</f>
        <v>0</v>
      </c>
      <c r="D25" s="63">
        <f>SUMIF(Пр.10!D10:D1243,202,Пр.10!H10:H1243)</f>
        <v>0</v>
      </c>
      <c r="E25" s="63">
        <f>SUMIF(Пр.10!E10:E1243,202,Пр.10!I10:I1243)</f>
        <v>0</v>
      </c>
    </row>
    <row r="26" spans="1:5" s="57" customFormat="1" ht="16.5" hidden="1" thickBot="1" x14ac:dyDescent="0.3">
      <c r="A26" s="61">
        <v>203</v>
      </c>
      <c r="B26" s="64" t="s">
        <v>158</v>
      </c>
      <c r="C26" s="63">
        <f>SUMIF(Пр.10!$C10:$C1243,203,Пр.10!G10:G1243)</f>
        <v>0</v>
      </c>
      <c r="D26" s="63">
        <f>SUMIF(Пр.10!$C10:$C1243,203,Пр.10!H10:H1243)</f>
        <v>0</v>
      </c>
      <c r="E26" s="63">
        <f>SUMIF(Пр.10!$C10:$C1243,203,Пр.10!I10:I1243)</f>
        <v>0</v>
      </c>
    </row>
    <row r="27" spans="1:5" ht="16.5" hidden="1" thickBot="1" x14ac:dyDescent="0.3">
      <c r="A27" s="61">
        <v>204</v>
      </c>
      <c r="B27" s="64" t="s">
        <v>159</v>
      </c>
      <c r="C27" s="63">
        <f>SUMIF(Пр.10!C10:C1243,204,Пр.10!G10:G1243)</f>
        <v>0</v>
      </c>
      <c r="D27" s="63">
        <f>SUMIF(Пр.10!D10:D1243,204,Пр.10!H10:H1243)</f>
        <v>0</v>
      </c>
      <c r="E27" s="63">
        <f>SUMIF(Пр.10!E10:E1243,204,Пр.10!I10:I1243)</f>
        <v>0</v>
      </c>
    </row>
    <row r="28" spans="1:5" ht="32.25" hidden="1" thickBot="1" x14ac:dyDescent="0.3">
      <c r="A28" s="61">
        <v>205</v>
      </c>
      <c r="B28" s="64" t="s">
        <v>160</v>
      </c>
      <c r="C28" s="63">
        <f>SUMIF(Пр.10!C10:C1243,205,Пр.10!G10:G1243)</f>
        <v>0</v>
      </c>
      <c r="D28" s="63">
        <f>SUMIF(Пр.10!D10:D1243,205,Пр.10!H10:H1243)</f>
        <v>0</v>
      </c>
      <c r="E28" s="63">
        <f>SUMIF(Пр.10!E10:E1243,205,Пр.10!I10:I1243)</f>
        <v>0</v>
      </c>
    </row>
    <row r="29" spans="1:5" ht="16.5" hidden="1" thickBot="1" x14ac:dyDescent="0.3">
      <c r="A29" s="61">
        <v>206</v>
      </c>
      <c r="B29" s="64" t="s">
        <v>161</v>
      </c>
      <c r="C29" s="63">
        <f>SUMIF(Пр.10!C10:C1243,206,Пр.10!G10:G1243)</f>
        <v>0</v>
      </c>
      <c r="D29" s="63">
        <f>SUMIF(Пр.10!D10:D1243,206,Пр.10!H10:H1243)</f>
        <v>0</v>
      </c>
      <c r="E29" s="63">
        <f>SUMIF(Пр.10!E10:E1243,206,Пр.10!I10:I1243)</f>
        <v>0</v>
      </c>
    </row>
    <row r="30" spans="1:5" s="57" customFormat="1" ht="32.25" hidden="1" thickBot="1" x14ac:dyDescent="0.3">
      <c r="A30" s="61">
        <v>207</v>
      </c>
      <c r="B30" s="64" t="s">
        <v>162</v>
      </c>
      <c r="C30" s="63">
        <f>SUMIF(Пр.10!C10:C1243,207,Пр.10!G10:G1243)</f>
        <v>0</v>
      </c>
      <c r="D30" s="63">
        <f>SUMIF(Пр.10!D10:D1243,207,Пр.10!H10:H1243)</f>
        <v>0</v>
      </c>
      <c r="E30" s="63">
        <f>SUMIF(Пр.10!E10:E1243,207,Пр.10!I10:I1243)</f>
        <v>0</v>
      </c>
    </row>
    <row r="31" spans="1:5" ht="32.25" hidden="1" thickBot="1" x14ac:dyDescent="0.3">
      <c r="A31" s="61">
        <v>208</v>
      </c>
      <c r="B31" s="64" t="s">
        <v>163</v>
      </c>
      <c r="C31" s="63">
        <f>SUMIF(Пр.10!C10:C1243,208,Пр.10!G10:G1243)</f>
        <v>0</v>
      </c>
      <c r="D31" s="63">
        <f>SUMIF(Пр.10!D10:D1243,208,Пр.10!H10:H1243)</f>
        <v>0</v>
      </c>
      <c r="E31" s="63">
        <f>SUMIF(Пр.10!E10:E1243,208,Пр.10!I10:I1243)</f>
        <v>0</v>
      </c>
    </row>
    <row r="32" spans="1:5" ht="16.5" hidden="1" thickBot="1" x14ac:dyDescent="0.3">
      <c r="A32" s="61">
        <v>209</v>
      </c>
      <c r="B32" s="64" t="s">
        <v>164</v>
      </c>
      <c r="C32" s="63">
        <f>SUMIF(Пр.10!C10:C1243,209,Пр.10!G10:G1243)</f>
        <v>0</v>
      </c>
      <c r="D32" s="63">
        <f>SUMIF(Пр.10!D10:D1243,209,Пр.10!H10:H1243)</f>
        <v>0</v>
      </c>
      <c r="E32" s="63">
        <f>SUMIF(Пр.10!E10:E1243,209,Пр.10!I10:I1243)</f>
        <v>0</v>
      </c>
    </row>
    <row r="33" spans="1:5" ht="32.25" thickBot="1" x14ac:dyDescent="0.3">
      <c r="A33" s="58">
        <v>300</v>
      </c>
      <c r="B33" s="65" t="s">
        <v>165</v>
      </c>
      <c r="C33" s="60">
        <f>SUM(C34:C45)</f>
        <v>2700000</v>
      </c>
      <c r="D33" s="60">
        <f t="shared" ref="D33:E33" si="2">SUM(D34:D45)</f>
        <v>-54567</v>
      </c>
      <c r="E33" s="60">
        <f t="shared" si="2"/>
        <v>2645433</v>
      </c>
    </row>
    <row r="34" spans="1:5" ht="16.5" hidden="1" thickBot="1" x14ac:dyDescent="0.3">
      <c r="A34" s="61">
        <v>303</v>
      </c>
      <c r="B34" s="64" t="s">
        <v>166</v>
      </c>
      <c r="C34" s="63">
        <f>SUMIF(Пр.10!C10:C1243,303,Пр.10!G10:G1243)</f>
        <v>0</v>
      </c>
      <c r="D34" s="63">
        <f>SUMIF(Пр.10!D10:D1243,303,Пр.10!H10:H1243)</f>
        <v>0</v>
      </c>
      <c r="E34" s="63">
        <f>SUMIF(Пр.10!E10:E1243,303,Пр.10!I10:I1243)</f>
        <v>0</v>
      </c>
    </row>
    <row r="35" spans="1:5" s="57" customFormat="1" ht="16.5" hidden="1" thickBot="1" x14ac:dyDescent="0.3">
      <c r="A35" s="61">
        <v>304</v>
      </c>
      <c r="B35" s="64" t="s">
        <v>167</v>
      </c>
      <c r="C35" s="63">
        <f>SUMIF(Пр.10!C10:C1243,304,Пр.10!G10:G1243)</f>
        <v>0</v>
      </c>
      <c r="D35" s="63">
        <f>SUMIF(Пр.10!D10:D1243,304,Пр.10!H10:H1243)</f>
        <v>0</v>
      </c>
      <c r="E35" s="63">
        <f>SUMIF(Пр.10!E10:E1243,304,Пр.10!I10:I1243)</f>
        <v>0</v>
      </c>
    </row>
    <row r="36" spans="1:5" ht="16.5" hidden="1" thickBot="1" x14ac:dyDescent="0.3">
      <c r="A36" s="61">
        <v>305</v>
      </c>
      <c r="B36" s="64" t="s">
        <v>168</v>
      </c>
      <c r="C36" s="63">
        <f>SUMIF(Пр.10!C10:C1243,305,Пр.10!G10:G1243)</f>
        <v>0</v>
      </c>
      <c r="D36" s="63">
        <f>SUMIF(Пр.10!D10:D1243,305,Пр.10!H10:H1243)</f>
        <v>0</v>
      </c>
      <c r="E36" s="63">
        <f>SUMIF(Пр.10!E10:E1243,305,Пр.10!I10:I1243)</f>
        <v>0</v>
      </c>
    </row>
    <row r="37" spans="1:5" ht="16.5" hidden="1" thickBot="1" x14ac:dyDescent="0.3">
      <c r="A37" s="61">
        <v>306</v>
      </c>
      <c r="B37" s="64" t="s">
        <v>169</v>
      </c>
      <c r="C37" s="63">
        <f>SUMIF(Пр.10!C10:C1243,306,Пр.10!G10:G1243)</f>
        <v>0</v>
      </c>
      <c r="D37" s="63">
        <f>SUMIF(Пр.10!D10:D1243,306,Пр.10!H10:H1243)</f>
        <v>0</v>
      </c>
      <c r="E37" s="63">
        <f>SUMIF(Пр.10!E10:E1243,306,Пр.10!I10:I1243)</f>
        <v>0</v>
      </c>
    </row>
    <row r="38" spans="1:5" ht="16.5" hidden="1" thickBot="1" x14ac:dyDescent="0.3">
      <c r="A38" s="61">
        <v>307</v>
      </c>
      <c r="B38" s="64" t="s">
        <v>170</v>
      </c>
      <c r="C38" s="63">
        <f>SUMIF(Пр.10!C10:C1243,307,Пр.10!G10:G1243)</f>
        <v>0</v>
      </c>
      <c r="D38" s="63">
        <f>SUMIF(Пр.10!D10:D1243,307,Пр.10!H10:H1243)</f>
        <v>0</v>
      </c>
      <c r="E38" s="63">
        <f>SUMIF(Пр.10!E10:E1243,307,Пр.10!I10:I1243)</f>
        <v>0</v>
      </c>
    </row>
    <row r="39" spans="1:5" s="57" customFormat="1" ht="32.25" hidden="1" thickBot="1" x14ac:dyDescent="0.3">
      <c r="A39" s="61">
        <v>308</v>
      </c>
      <c r="B39" s="64" t="s">
        <v>171</v>
      </c>
      <c r="C39" s="63">
        <f>SUMIF(Пр.10!C10:C1243,308,Пр.10!G10:G1243)</f>
        <v>0</v>
      </c>
      <c r="D39" s="63">
        <f>SUMIF(Пр.10!D10:D1243,308,Пр.10!H10:H1243)</f>
        <v>0</v>
      </c>
      <c r="E39" s="63">
        <f>SUMIF(Пр.10!E10:E1243,308,Пр.10!I10:I1243)</f>
        <v>0</v>
      </c>
    </row>
    <row r="40" spans="1:5" ht="16.5" hidden="1" thickBot="1" x14ac:dyDescent="0.3">
      <c r="A40" s="61">
        <v>309</v>
      </c>
      <c r="B40" s="87" t="s">
        <v>1559</v>
      </c>
      <c r="C40" s="63">
        <f>SUMIF(Пр.10!C10:C1243,309,Пр.10!G10:G1243)</f>
        <v>0</v>
      </c>
      <c r="D40" s="63">
        <f>SUMIF(Пр.10!$C31:$C1291,309,Пр.10!H31:H1291)</f>
        <v>0</v>
      </c>
      <c r="E40" s="63">
        <f>SUMIF(Пр.10!$C27:$C1266,309,Пр.10!I27:I1266)</f>
        <v>0</v>
      </c>
    </row>
    <row r="41" spans="1:5" ht="48" thickBot="1" x14ac:dyDescent="0.3">
      <c r="A41" s="61">
        <v>310</v>
      </c>
      <c r="B41" s="87" t="s">
        <v>1560</v>
      </c>
      <c r="C41" s="63">
        <f>SUMIF(Пр.10!C10:C1243,310,Пр.10!G10:G1243)</f>
        <v>2520000</v>
      </c>
      <c r="D41" s="63">
        <f>SUMIF(Пр.10!$C32:$C1292,310,Пр.10!H32:H1292)</f>
        <v>-54545</v>
      </c>
      <c r="E41" s="63">
        <f>SUMIF(Пр.10!$C28:$C1267,310,Пр.10!I28:I1267)</f>
        <v>2465455</v>
      </c>
    </row>
    <row r="42" spans="1:5" ht="16.5" hidden="1" thickBot="1" x14ac:dyDescent="0.3">
      <c r="A42" s="61">
        <v>311</v>
      </c>
      <c r="B42" s="64" t="s">
        <v>172</v>
      </c>
      <c r="C42" s="63">
        <f>SUMIF(Пр.10!C10:C1243,311,Пр.10!G10:G1243)</f>
        <v>0</v>
      </c>
      <c r="D42" s="63">
        <f>SUMIF(Пр.10!D10:D1243,311,Пр.10!H10:H1243)</f>
        <v>0</v>
      </c>
      <c r="E42" s="63">
        <f>SUMIF(Пр.10!E10:E1243,311,Пр.10!I10:I1243)</f>
        <v>0</v>
      </c>
    </row>
    <row r="43" spans="1:5" ht="32.25" hidden="1" thickBot="1" x14ac:dyDescent="0.3">
      <c r="A43" s="61">
        <v>312</v>
      </c>
      <c r="B43" s="64" t="s">
        <v>173</v>
      </c>
      <c r="C43" s="63">
        <f>SUMIF(Пр.10!C10:C1243,312,Пр.10!G10:G1243)</f>
        <v>0</v>
      </c>
      <c r="D43" s="63">
        <f>SUMIF(Пр.10!D10:D1243,312,Пр.10!H10:H1243)</f>
        <v>0</v>
      </c>
      <c r="E43" s="63">
        <f>SUMIF(Пр.10!E10:E1243,312,Пр.10!I10:I1243)</f>
        <v>0</v>
      </c>
    </row>
    <row r="44" spans="1:5" ht="48" hidden="1" thickBot="1" x14ac:dyDescent="0.3">
      <c r="A44" s="61">
        <v>313</v>
      </c>
      <c r="B44" s="64" t="s">
        <v>174</v>
      </c>
      <c r="C44" s="63">
        <f>SUMIF(Пр.10!C10:C1243,313,Пр.10!G10:G1243)</f>
        <v>0</v>
      </c>
      <c r="D44" s="63">
        <f>SUMIF(Пр.10!D10:D1243,313,Пр.10!H10:H1243)</f>
        <v>0</v>
      </c>
      <c r="E44" s="63">
        <f>SUMIF(Пр.10!E10:E1243,313,Пр.10!I10:I1243)</f>
        <v>0</v>
      </c>
    </row>
    <row r="45" spans="1:5" ht="32.25" thickBot="1" x14ac:dyDescent="0.3">
      <c r="A45" s="61">
        <v>314</v>
      </c>
      <c r="B45" s="64" t="s">
        <v>175</v>
      </c>
      <c r="C45" s="63">
        <f>SUMIF(Пр.10!C17:C1257,314,Пр.10!G17:G1257)</f>
        <v>180000</v>
      </c>
      <c r="D45" s="63">
        <f>SUMIF(Пр.10!$C36:$C1296,314,Пр.10!H36:H1296)</f>
        <v>-22</v>
      </c>
      <c r="E45" s="63">
        <f>SUMIF(Пр.10!$C32:$C1271,314,Пр.10!I32:I1271)</f>
        <v>179978</v>
      </c>
    </row>
    <row r="46" spans="1:5" ht="16.5" thickBot="1" x14ac:dyDescent="0.3">
      <c r="A46" s="58">
        <v>400</v>
      </c>
      <c r="B46" s="65" t="s">
        <v>176</v>
      </c>
      <c r="C46" s="60">
        <f>C48+C51+C54+C55+C58+C52+C47</f>
        <v>331939489</v>
      </c>
      <c r="D46" s="60">
        <f>D48+D51+D54+D55+D58+D52+D47</f>
        <v>5479140</v>
      </c>
      <c r="E46" s="60">
        <f>E48+E51+E54+E55+E58+E52+E47</f>
        <v>337418629</v>
      </c>
    </row>
    <row r="47" spans="1:5" ht="16.5" thickBot="1" x14ac:dyDescent="0.3">
      <c r="A47" s="61">
        <v>401</v>
      </c>
      <c r="B47" s="66" t="s">
        <v>177</v>
      </c>
      <c r="C47" s="63">
        <f>SUMIF(Пр.10!C10:C1243,401,Пр.10!G10:G1243)</f>
        <v>934984</v>
      </c>
      <c r="D47" s="63">
        <f>SUMIF(Пр.10!$C2:$C1235,401,Пр.10!H2:H1235)</f>
        <v>0</v>
      </c>
      <c r="E47" s="63">
        <f>SUMIF(Пр.10!$C6:$C1239,401,Пр.10!I6:I1239)</f>
        <v>934984</v>
      </c>
    </row>
    <row r="48" spans="1:5" ht="16.5" hidden="1" thickBot="1" x14ac:dyDescent="0.3">
      <c r="A48" s="61">
        <v>402</v>
      </c>
      <c r="B48" s="62" t="s">
        <v>178</v>
      </c>
      <c r="C48" s="63">
        <f>SUMIF(Пр.10!$C10:$C1243,402,Пр.10!G10:G1243)</f>
        <v>0</v>
      </c>
      <c r="D48" s="63">
        <f>SUMIF(Пр.10!$C10:$C1243,402,Пр.10!H10:H1243)</f>
        <v>0</v>
      </c>
      <c r="E48" s="63">
        <f>SUMIF(Пр.10!$C10:$C1243,402,Пр.10!I10:I1243)</f>
        <v>0</v>
      </c>
    </row>
    <row r="49" spans="1:5" ht="16.5" hidden="1" thickBot="1" x14ac:dyDescent="0.3">
      <c r="A49" s="61">
        <v>403</v>
      </c>
      <c r="B49" s="64" t="s">
        <v>179</v>
      </c>
      <c r="C49" s="63">
        <f>SUMIF(Пр.10!C10:C1243,403,Пр.10!G10:G1243)</f>
        <v>0</v>
      </c>
      <c r="D49" s="63">
        <f>SUMIF(Пр.10!D10:D1243,403,Пр.10!H10:H1243)</f>
        <v>0</v>
      </c>
      <c r="E49" s="63">
        <f>SUMIF(Пр.10!E10:E1243,403,Пр.10!I10:I1243)</f>
        <v>0</v>
      </c>
    </row>
    <row r="50" spans="1:5" ht="16.5" hidden="1" thickBot="1" x14ac:dyDescent="0.3">
      <c r="A50" s="61">
        <v>404</v>
      </c>
      <c r="B50" s="64" t="s">
        <v>180</v>
      </c>
      <c r="C50" s="63">
        <f>SUMIF(Пр.10!C10:C1243,404,Пр.10!G10:G1243)</f>
        <v>0</v>
      </c>
      <c r="D50" s="63">
        <f>SUMIF(Пр.10!D10:D1243,404,Пр.10!H10:H1243)</f>
        <v>0</v>
      </c>
      <c r="E50" s="63">
        <f>SUMIF(Пр.10!E10:E1243,404,Пр.10!I10:I1243)</f>
        <v>0</v>
      </c>
    </row>
    <row r="51" spans="1:5" ht="16.5" thickBot="1" x14ac:dyDescent="0.3">
      <c r="A51" s="61">
        <v>405</v>
      </c>
      <c r="B51" s="64" t="s">
        <v>181</v>
      </c>
      <c r="C51" s="63">
        <f>SUMIF(Пр.10!$C10:$C1243,405,Пр.10!G10:G1243)</f>
        <v>1012090</v>
      </c>
      <c r="D51" s="63">
        <f>SUMIF(Пр.10!$C10:$C1243,405,Пр.10!H10:H1243)</f>
        <v>0</v>
      </c>
      <c r="E51" s="63">
        <f>SUMIF(Пр.10!$C10:$C1243,405,Пр.10!I10:I1243)</f>
        <v>1012090</v>
      </c>
    </row>
    <row r="52" spans="1:5" ht="16.5" hidden="1" thickBot="1" x14ac:dyDescent="0.3">
      <c r="A52" s="61">
        <v>406</v>
      </c>
      <c r="B52" s="64" t="s">
        <v>182</v>
      </c>
      <c r="C52" s="63">
        <f>SUMIF(Пр.10!$C10:$C1243,406,Пр.10!G10:G1243)</f>
        <v>0</v>
      </c>
      <c r="D52" s="63">
        <f>SUMIF(Пр.10!$C10:$C1243,406,Пр.10!H10:H1243)</f>
        <v>0</v>
      </c>
      <c r="E52" s="63">
        <f>SUMIF(Пр.10!$C10:$C1243,406,Пр.10!I10:I1243)</f>
        <v>0</v>
      </c>
    </row>
    <row r="53" spans="1:5" ht="16.5" hidden="1" thickBot="1" x14ac:dyDescent="0.3">
      <c r="A53" s="61">
        <v>407</v>
      </c>
      <c r="B53" s="64" t="s">
        <v>183</v>
      </c>
      <c r="C53" s="63">
        <f>SUMIF(Пр.10!C10:C1243,407,Пр.10!G10:G1243)</f>
        <v>0</v>
      </c>
      <c r="D53" s="63">
        <f>SUMIF(Пр.10!D10:D1243,407,Пр.10!H10:H1243)</f>
        <v>0</v>
      </c>
      <c r="E53" s="63">
        <f>SUMIF(Пр.10!E10:E1243,407,Пр.10!I10:I1243)</f>
        <v>0</v>
      </c>
    </row>
    <row r="54" spans="1:5" ht="16.5" thickBot="1" x14ac:dyDescent="0.3">
      <c r="A54" s="61">
        <v>408</v>
      </c>
      <c r="B54" s="64" t="s">
        <v>184</v>
      </c>
      <c r="C54" s="63">
        <f>SUMIF(Пр.10!$C10:$C1243,408,Пр.10!G10:G1243)</f>
        <v>24354246</v>
      </c>
      <c r="D54" s="63">
        <f>SUMIF(Пр.10!$C10:$C1243,408,Пр.10!H10:H1243)</f>
        <v>55305</v>
      </c>
      <c r="E54" s="63">
        <f>SUMIF(Пр.10!$C10:$C1243,408,Пр.10!I10:I1243)</f>
        <v>24409551</v>
      </c>
    </row>
    <row r="55" spans="1:5" ht="16.5" thickBot="1" x14ac:dyDescent="0.3">
      <c r="A55" s="61">
        <v>409</v>
      </c>
      <c r="B55" s="64" t="s">
        <v>185</v>
      </c>
      <c r="C55" s="63">
        <f>SUMIF(Пр.10!$C10:$C1243,409,Пр.10!G10:G1243)</f>
        <v>304597473</v>
      </c>
      <c r="D55" s="63">
        <f>SUMIF(Пр.10!$C10:$C1243,409,Пр.10!H10:H1243)</f>
        <v>5553835</v>
      </c>
      <c r="E55" s="63">
        <f>SUMIF(Пр.10!$C10:$C1243,409,Пр.10!I10:I1243)</f>
        <v>310151308</v>
      </c>
    </row>
    <row r="56" spans="1:5" ht="16.5" hidden="1" thickBot="1" x14ac:dyDescent="0.3">
      <c r="A56" s="61">
        <v>410</v>
      </c>
      <c r="B56" s="64" t="s">
        <v>186</v>
      </c>
      <c r="C56" s="63">
        <f>SUMIF(Пр.10!C10:C1243,410,Пр.10!G10:G1243)</f>
        <v>0</v>
      </c>
      <c r="D56" s="63">
        <f>SUMIF(Пр.10!D10:D1243,410,Пр.10!H10:H1243)</f>
        <v>0</v>
      </c>
      <c r="E56" s="63">
        <f>SUMIF(Пр.10!E10:E1243,410,Пр.10!I10:I1243)</f>
        <v>0</v>
      </c>
    </row>
    <row r="57" spans="1:5" ht="32.25" hidden="1" thickBot="1" x14ac:dyDescent="0.3">
      <c r="A57" s="61">
        <v>411</v>
      </c>
      <c r="B57" s="64" t="s">
        <v>187</v>
      </c>
      <c r="C57" s="63">
        <f>SUMIF(Пр.10!C10:C1243,411,Пр.10!G10:G1243)</f>
        <v>0</v>
      </c>
      <c r="D57" s="63">
        <f>SUMIF(Пр.10!D10:D1243,411,Пр.10!H10:H1243)</f>
        <v>0</v>
      </c>
      <c r="E57" s="63">
        <f>SUMIF(Пр.10!E10:E1243,411,Пр.10!I10:I1243)</f>
        <v>0</v>
      </c>
    </row>
    <row r="58" spans="1:5" ht="16.5" thickBot="1" x14ac:dyDescent="0.3">
      <c r="A58" s="61">
        <v>412</v>
      </c>
      <c r="B58" s="64" t="s">
        <v>188</v>
      </c>
      <c r="C58" s="63">
        <f>SUMIF(Пр.10!$C10:$C1243,412,Пр.10!G10:G1243)</f>
        <v>1040696</v>
      </c>
      <c r="D58" s="63">
        <f>SUMIF(Пр.10!$C10:$C1243,412,Пр.10!H10:H1243)</f>
        <v>-130000</v>
      </c>
      <c r="E58" s="63">
        <f>SUMIF(Пр.10!$C10:$C1243,412,Пр.10!I10:I1243)</f>
        <v>910696</v>
      </c>
    </row>
    <row r="59" spans="1:5" ht="16.5" thickBot="1" x14ac:dyDescent="0.3">
      <c r="A59" s="58">
        <v>500</v>
      </c>
      <c r="B59" s="65" t="s">
        <v>189</v>
      </c>
      <c r="C59" s="60">
        <f>C60+C61+C62+C63+C64</f>
        <v>175971567</v>
      </c>
      <c r="D59" s="60">
        <f t="shared" ref="D59:E59" si="3">D60+D61+D62+D63+D64</f>
        <v>3783762.44</v>
      </c>
      <c r="E59" s="60">
        <f t="shared" si="3"/>
        <v>179755329.44</v>
      </c>
    </row>
    <row r="60" spans="1:5" ht="16.5" thickBot="1" x14ac:dyDescent="0.3">
      <c r="A60" s="61">
        <v>501</v>
      </c>
      <c r="B60" s="64" t="s">
        <v>190</v>
      </c>
      <c r="C60" s="63">
        <f>SUMIF(Пр.10!$C10:$C1243,501,Пр.10!G10:G1243)</f>
        <v>7707161</v>
      </c>
      <c r="D60" s="63">
        <f>SUMIF(Пр.10!$C10:$C1243,501,Пр.10!H10:H1243)</f>
        <v>6557</v>
      </c>
      <c r="E60" s="63">
        <f>SUMIF(Пр.10!$C10:$C1243,501,Пр.10!I10:I1243)</f>
        <v>7713718</v>
      </c>
    </row>
    <row r="61" spans="1:5" ht="16.5" thickBot="1" x14ac:dyDescent="0.3">
      <c r="A61" s="61">
        <v>502</v>
      </c>
      <c r="B61" s="64" t="s">
        <v>191</v>
      </c>
      <c r="C61" s="63">
        <f>SUMIF(Пр.10!$C10:$C1243,502,Пр.10!G10:G1243)</f>
        <v>17689112</v>
      </c>
      <c r="D61" s="63">
        <f>SUMIF(Пр.10!$C10:$C1243,502,Пр.10!H10:H1243)</f>
        <v>247880.44</v>
      </c>
      <c r="E61" s="63">
        <f>SUMIF(Пр.10!$C10:$C1243,502,Пр.10!I10:I1243)</f>
        <v>17936992.440000001</v>
      </c>
    </row>
    <row r="62" spans="1:5" ht="16.5" thickBot="1" x14ac:dyDescent="0.3">
      <c r="A62" s="61">
        <v>503</v>
      </c>
      <c r="B62" s="62" t="s">
        <v>192</v>
      </c>
      <c r="C62" s="63">
        <f>SUMIF(Пр.10!$C10:$C1243,503,Пр.10!G10:G1243)</f>
        <v>149402738</v>
      </c>
      <c r="D62" s="63">
        <f>SUMIF(Пр.10!$C10:$C1243,503,Пр.10!H10:H1243)</f>
        <v>3260678</v>
      </c>
      <c r="E62" s="63">
        <f>SUMIF(Пр.10!$C10:$C1243,503,Пр.10!I10:I1243)</f>
        <v>152663416</v>
      </c>
    </row>
    <row r="63" spans="1:5" ht="32.25" hidden="1" thickBot="1" x14ac:dyDescent="0.3">
      <c r="A63" s="61">
        <v>504</v>
      </c>
      <c r="B63" s="64" t="s">
        <v>193</v>
      </c>
      <c r="C63" s="63">
        <f>SUMIF(Пр.10!C10:C1243,504,Пр.10!G10:G1243)</f>
        <v>0</v>
      </c>
      <c r="D63" s="63">
        <f>SUMIF(Пр.10!D10:D1243,504,Пр.10!H10:H1243)</f>
        <v>0</v>
      </c>
      <c r="E63" s="63">
        <f>SUMIF(Пр.10!E10:E1243,504,Пр.10!I10:I1243)</f>
        <v>0</v>
      </c>
    </row>
    <row r="64" spans="1:5" ht="32.25" thickBot="1" x14ac:dyDescent="0.3">
      <c r="A64" s="61">
        <v>505</v>
      </c>
      <c r="B64" s="64" t="s">
        <v>194</v>
      </c>
      <c r="C64" s="63">
        <f>SUMIF(Пр.10!$C10:$C1243,505,Пр.10!G10:G1243)</f>
        <v>1172556</v>
      </c>
      <c r="D64" s="63">
        <f>SUMIF(Пр.10!$C10:$C1243,505,Пр.10!H10:H1243)</f>
        <v>268647</v>
      </c>
      <c r="E64" s="63">
        <f>SUMIF(Пр.10!$C10:$C1243,505,Пр.10!I10:I1243)</f>
        <v>1441203</v>
      </c>
    </row>
    <row r="65" spans="1:5" ht="16.5" thickBot="1" x14ac:dyDescent="0.3">
      <c r="A65" s="58">
        <v>600</v>
      </c>
      <c r="B65" s="67" t="s">
        <v>195</v>
      </c>
      <c r="C65" s="60">
        <f>SUM(C66:C70)</f>
        <v>1644115</v>
      </c>
      <c r="D65" s="60">
        <f t="shared" ref="D65:E65" si="4">SUM(D66:D70)</f>
        <v>-26180</v>
      </c>
      <c r="E65" s="60">
        <f t="shared" si="4"/>
        <v>1617935</v>
      </c>
    </row>
    <row r="66" spans="1:5" ht="17.25" hidden="1" customHeight="1" thickBot="1" x14ac:dyDescent="0.3">
      <c r="A66" s="61">
        <v>601</v>
      </c>
      <c r="B66" s="62" t="s">
        <v>196</v>
      </c>
      <c r="C66" s="63">
        <f>SUMIF(Пр.10!C10:C1243,601,Пр.10!G10:G1243)</f>
        <v>0</v>
      </c>
      <c r="D66" s="63">
        <f>SUMIF(Пр.10!D10:D1243,601,Пр.10!H10:H1243)</f>
        <v>0</v>
      </c>
      <c r="E66" s="63">
        <f>SUMIF(Пр.10!E10:E1243,601,Пр.10!I10:I1243)</f>
        <v>0</v>
      </c>
    </row>
    <row r="67" spans="1:5" ht="16.5" hidden="1" thickBot="1" x14ac:dyDescent="0.3">
      <c r="A67" s="61">
        <v>602</v>
      </c>
      <c r="B67" s="64" t="s">
        <v>197</v>
      </c>
      <c r="C67" s="63">
        <f>SUMIF(Пр.10!C10:C1243,602,Пр.10!G10:G1243)</f>
        <v>0</v>
      </c>
      <c r="D67" s="63">
        <f>SUMIF(Пр.10!D10:D1243,602,Пр.10!H10:H1243)</f>
        <v>0</v>
      </c>
      <c r="E67" s="63">
        <f>SUMIF(Пр.10!E10:E1243,602,Пр.10!I10:I1243)</f>
        <v>0</v>
      </c>
    </row>
    <row r="68" spans="1:5" ht="32.25" hidden="1" thickBot="1" x14ac:dyDescent="0.3">
      <c r="A68" s="61">
        <v>603</v>
      </c>
      <c r="B68" s="64" t="s">
        <v>198</v>
      </c>
      <c r="C68" s="63">
        <f>SUMIF(Пр.10!C10:C1243,603,Пр.10!G10:G1243)</f>
        <v>0</v>
      </c>
      <c r="D68" s="63">
        <f>SUMIF(Пр.10!D10:D1243,603,Пр.10!H10:H1243)</f>
        <v>0</v>
      </c>
      <c r="E68" s="63">
        <f>SUMIF(Пр.10!E10:E1243,603,Пр.10!I10:I1243)</f>
        <v>0</v>
      </c>
    </row>
    <row r="69" spans="1:5" ht="32.25" hidden="1" thickBot="1" x14ac:dyDescent="0.3">
      <c r="A69" s="61">
        <v>604</v>
      </c>
      <c r="B69" s="64" t="s">
        <v>199</v>
      </c>
      <c r="C69" s="63">
        <f>SUMIF(Пр.10!C10:C1243,604,Пр.10!G10:G1243)</f>
        <v>0</v>
      </c>
      <c r="D69" s="63">
        <f>SUMIF(Пр.10!D10:D1243,604,Пр.10!H10:H1243)</f>
        <v>0</v>
      </c>
      <c r="E69" s="63">
        <f>SUMIF(Пр.10!E10:E1243,604,Пр.10!I10:I1243)</f>
        <v>0</v>
      </c>
    </row>
    <row r="70" spans="1:5" ht="16.5" thickBot="1" x14ac:dyDescent="0.3">
      <c r="A70" s="61">
        <v>605</v>
      </c>
      <c r="B70" s="64" t="s">
        <v>200</v>
      </c>
      <c r="C70" s="63">
        <f>SUMIF(Пр.10!$C10:$C1243,605,Пр.10!G10:G1243)</f>
        <v>1644115</v>
      </c>
      <c r="D70" s="63">
        <f>SUMIF(Пр.10!$C10:$C1243,605,Пр.10!H10:H1243)</f>
        <v>-26180</v>
      </c>
      <c r="E70" s="63">
        <f>SUMIF(Пр.10!$C10:$C1243,605,Пр.10!I10:I1243)</f>
        <v>1617935</v>
      </c>
    </row>
    <row r="71" spans="1:5" ht="16.5" thickBot="1" x14ac:dyDescent="0.3">
      <c r="A71" s="58">
        <v>700</v>
      </c>
      <c r="B71" s="67" t="s">
        <v>201</v>
      </c>
      <c r="C71" s="60">
        <f>C72+C73+C78+C80+C74+C76</f>
        <v>1208203126.54</v>
      </c>
      <c r="D71" s="60">
        <f>D72+D73+D78+D80+D74+D76</f>
        <v>-1299760.8899999997</v>
      </c>
      <c r="E71" s="60">
        <f>E72+E73+E78+E80+E74+E76</f>
        <v>1206903365.6499999</v>
      </c>
    </row>
    <row r="72" spans="1:5" ht="16.5" thickBot="1" x14ac:dyDescent="0.3">
      <c r="A72" s="61">
        <v>701</v>
      </c>
      <c r="B72" s="64" t="s">
        <v>202</v>
      </c>
      <c r="C72" s="63">
        <f>SUMIF(Пр.10!$C10:$C1243,701,Пр.10!G10:G1243)</f>
        <v>449578560.30000001</v>
      </c>
      <c r="D72" s="63">
        <f>SUMIF(Пр.10!$C10:$C1243,701,Пр.10!H10:H1243)</f>
        <v>366116.28</v>
      </c>
      <c r="E72" s="63">
        <f>SUMIF(Пр.10!$C10:$C1243,701,Пр.10!I10:I1243)</f>
        <v>449944676.57999998</v>
      </c>
    </row>
    <row r="73" spans="1:5" ht="16.5" thickBot="1" x14ac:dyDescent="0.3">
      <c r="A73" s="61">
        <v>702</v>
      </c>
      <c r="B73" s="64" t="s">
        <v>203</v>
      </c>
      <c r="C73" s="63">
        <f>SUMIF(Пр.10!$C10:$C1243,702,Пр.10!G10:G1243)</f>
        <v>584441171.36000001</v>
      </c>
      <c r="D73" s="63">
        <f>SUMIF(Пр.10!$C10:$C1243,702,Пр.10!H10:H1243)</f>
        <v>-5136985.08</v>
      </c>
      <c r="E73" s="63">
        <f>SUMIF(Пр.10!$C10:$C1243,702,Пр.10!I10:I1243)</f>
        <v>579304186.27999997</v>
      </c>
    </row>
    <row r="74" spans="1:5" ht="16.5" thickBot="1" x14ac:dyDescent="0.3">
      <c r="A74" s="61">
        <v>703</v>
      </c>
      <c r="B74" s="64" t="s">
        <v>1028</v>
      </c>
      <c r="C74" s="63">
        <f>SUMIF(Пр.10!$C10:$C1243,703,Пр.10!G10:G1243)</f>
        <v>101082472.88</v>
      </c>
      <c r="D74" s="63">
        <f>SUMIF(Пр.10!$C10:$C1243,703,Пр.10!H10:H1243)</f>
        <v>671333.35</v>
      </c>
      <c r="E74" s="63">
        <f>SUMIF(Пр.10!$C10:$C1243,703,Пр.10!I10:I1243)</f>
        <v>101753806.22999999</v>
      </c>
    </row>
    <row r="75" spans="1:5" ht="16.5" hidden="1" thickBot="1" x14ac:dyDescent="0.3">
      <c r="A75" s="61">
        <v>704</v>
      </c>
      <c r="B75" s="64" t="s">
        <v>204</v>
      </c>
      <c r="C75" s="63">
        <f>SUMIF(Пр.10!C10:C1243,704,Пр.10!G10:G1243)</f>
        <v>0</v>
      </c>
      <c r="D75" s="63">
        <f>SUMIF(Пр.10!$C11:$C1244,704,Пр.10!H11:H1244)</f>
        <v>0</v>
      </c>
      <c r="E75" s="63">
        <f>SUMIF(Пр.10!$C11:$C1244,704,Пр.10!I11:I1244)</f>
        <v>0</v>
      </c>
    </row>
    <row r="76" spans="1:5" ht="32.25" thickBot="1" x14ac:dyDescent="0.3">
      <c r="A76" s="61">
        <v>705</v>
      </c>
      <c r="B76" s="64" t="s">
        <v>205</v>
      </c>
      <c r="C76" s="323">
        <f>SUMIF(Пр.10!C10:C1337,705,Пр.10!G10:G1337)</f>
        <v>1247000</v>
      </c>
      <c r="D76" s="63">
        <f>SUMIF(Пр.10!$C80:$C1337,705,Пр.10!H80:H1337)</f>
        <v>0</v>
      </c>
      <c r="E76" s="63">
        <f>SUMIF(Пр.10!$C12:$C1337,705,Пр.10!I12:I1337)</f>
        <v>1247000</v>
      </c>
    </row>
    <row r="77" spans="1:5" ht="16.5" hidden="1" thickBot="1" x14ac:dyDescent="0.3">
      <c r="A77" s="68">
        <v>706</v>
      </c>
      <c r="B77" s="69" t="s">
        <v>1566</v>
      </c>
      <c r="C77" s="63">
        <f>SUMIF(Пр.10!C10:C1243,706,Пр.10!G10:G1243)</f>
        <v>0</v>
      </c>
      <c r="D77" s="63">
        <f>SUMIF(Пр.10!D10:D1243,706,Пр.10!H10:H1243)</f>
        <v>0</v>
      </c>
      <c r="E77" s="63">
        <f>SUMIF(Пр.10!E10:E1243,706,Пр.10!I10:I1243)</f>
        <v>0</v>
      </c>
    </row>
    <row r="78" spans="1:5" ht="16.5" thickBot="1" x14ac:dyDescent="0.3">
      <c r="A78" s="61">
        <v>707</v>
      </c>
      <c r="B78" s="64" t="s">
        <v>1029</v>
      </c>
      <c r="C78" s="63">
        <f>SUMIF(Пр.10!$C10:$C1243,707,Пр.10!G10:G1243)</f>
        <v>23301413</v>
      </c>
      <c r="D78" s="63">
        <f>SUMIF(Пр.10!$C10:$C1243,707,Пр.10!H10:H1243)</f>
        <v>49711</v>
      </c>
      <c r="E78" s="63">
        <f>SUMIF(Пр.10!$C10:$C1243,707,Пр.10!I10:I1243)</f>
        <v>23351124</v>
      </c>
    </row>
    <row r="79" spans="1:5" ht="16.5" hidden="1" thickBot="1" x14ac:dyDescent="0.3">
      <c r="A79" s="61">
        <v>708</v>
      </c>
      <c r="B79" s="64" t="s">
        <v>206</v>
      </c>
      <c r="C79" s="63">
        <f>SUMIF(Пр.10!C10:C1243,708,Пр.10!G10:G1243)</f>
        <v>0</v>
      </c>
      <c r="D79" s="63">
        <f>SUMIF(Пр.10!D10:D1243,708,Пр.10!H10:H1243)</f>
        <v>0</v>
      </c>
      <c r="E79" s="63">
        <f>SUMIF(Пр.10!E10:E1243,708,Пр.10!I10:I1243)</f>
        <v>0</v>
      </c>
    </row>
    <row r="80" spans="1:5" ht="16.5" thickBot="1" x14ac:dyDescent="0.3">
      <c r="A80" s="61">
        <v>709</v>
      </c>
      <c r="B80" s="64" t="s">
        <v>207</v>
      </c>
      <c r="C80" s="63">
        <f>SUMIF(Пр.10!$C10:$C1243,709,Пр.10!G10:G1243)</f>
        <v>48552509</v>
      </c>
      <c r="D80" s="63">
        <f>SUMIF(Пр.10!$C10:$C1243,709,Пр.10!H10:H1243)</f>
        <v>2750063.56</v>
      </c>
      <c r="E80" s="63">
        <f>SUMIF(Пр.10!$C10:$C1243,709,Пр.10!I10:I1243)</f>
        <v>51302572.560000002</v>
      </c>
    </row>
    <row r="81" spans="1:5" ht="16.5" thickBot="1" x14ac:dyDescent="0.3">
      <c r="A81" s="58">
        <v>800</v>
      </c>
      <c r="B81" s="67" t="s">
        <v>208</v>
      </c>
      <c r="C81" s="60">
        <f>C82+C85</f>
        <v>209177131.00000003</v>
      </c>
      <c r="D81" s="60">
        <f>D82+D85</f>
        <v>962943.08</v>
      </c>
      <c r="E81" s="60">
        <f>E82+E85</f>
        <v>210140074.08000004</v>
      </c>
    </row>
    <row r="82" spans="1:5" ht="16.5" thickBot="1" x14ac:dyDescent="0.3">
      <c r="A82" s="61">
        <v>801</v>
      </c>
      <c r="B82" s="64" t="s">
        <v>209</v>
      </c>
      <c r="C82" s="63">
        <f>SUMIF(Пр.10!$C10:$C1243,801,Пр.10!G10:G1243)</f>
        <v>171920781.00000003</v>
      </c>
      <c r="D82" s="63">
        <f>SUMIF(Пр.10!$C10:$C1243,801,Пр.10!H10:H1243)</f>
        <v>25200</v>
      </c>
      <c r="E82" s="63">
        <f>SUMIF(Пр.10!$C10:$C1243,801,Пр.10!I10:I1243)</f>
        <v>171945981.00000003</v>
      </c>
    </row>
    <row r="83" spans="1:5" ht="16.5" hidden="1" thickBot="1" x14ac:dyDescent="0.3">
      <c r="A83" s="61">
        <v>802</v>
      </c>
      <c r="B83" s="64" t="s">
        <v>210</v>
      </c>
      <c r="C83" s="63">
        <f>SUMIF(Пр.10!C10:C1243,802,Пр.10!G10:G1243)</f>
        <v>0</v>
      </c>
      <c r="D83" s="63">
        <f>SUMIF(Пр.10!D10:D1243,802,Пр.10!H10:H1243)</f>
        <v>0</v>
      </c>
      <c r="E83" s="63">
        <f>SUMIF(Пр.10!E10:E1243,802,Пр.10!I10:I1243)</f>
        <v>0</v>
      </c>
    </row>
    <row r="84" spans="1:5" ht="32.25" hidden="1" thickBot="1" x14ac:dyDescent="0.3">
      <c r="A84" s="61">
        <v>803</v>
      </c>
      <c r="B84" s="64" t="s">
        <v>211</v>
      </c>
      <c r="C84" s="63">
        <f>SUMIF(Пр.10!C10:C1243,803,Пр.10!G10:G1243)</f>
        <v>0</v>
      </c>
      <c r="D84" s="63">
        <f>SUMIF(Пр.10!D10:D1243,803,Пр.10!H10:H1243)</f>
        <v>0</v>
      </c>
      <c r="E84" s="63">
        <f>SUMIF(Пр.10!E10:E1243,803,Пр.10!I10:I1243)</f>
        <v>0</v>
      </c>
    </row>
    <row r="85" spans="1:5" ht="16.5" thickBot="1" x14ac:dyDescent="0.3">
      <c r="A85" s="61">
        <v>804</v>
      </c>
      <c r="B85" s="64" t="s">
        <v>212</v>
      </c>
      <c r="C85" s="63">
        <f>SUMIF(Пр.10!$C10:$C1243,804,Пр.10!G10:G1243)</f>
        <v>37256350</v>
      </c>
      <c r="D85" s="63">
        <f>SUMIF(Пр.10!$C10:$C1243,804,Пр.10!H10:H1243)</f>
        <v>937743.08</v>
      </c>
      <c r="E85" s="63">
        <f>SUMIF(Пр.10!$C10:$C1243,804,Пр.10!I10:I1243)</f>
        <v>38194093.079999998</v>
      </c>
    </row>
    <row r="86" spans="1:5" ht="16.5" hidden="1" thickBot="1" x14ac:dyDescent="0.3">
      <c r="A86" s="58">
        <v>900</v>
      </c>
      <c r="B86" s="67" t="s">
        <v>213</v>
      </c>
      <c r="C86" s="60">
        <f>SUM(C87:C95)</f>
        <v>0</v>
      </c>
      <c r="D86" s="60">
        <f t="shared" ref="D86:E86" si="5">SUM(D87:D95)</f>
        <v>0</v>
      </c>
      <c r="E86" s="60">
        <f t="shared" si="5"/>
        <v>0</v>
      </c>
    </row>
    <row r="87" spans="1:5" ht="16.5" hidden="1" thickBot="1" x14ac:dyDescent="0.3">
      <c r="A87" s="61">
        <v>901</v>
      </c>
      <c r="B87" s="64" t="s">
        <v>214</v>
      </c>
      <c r="C87" s="63">
        <f>SUMIF(Пр.10!C10:C1243,901,Пр.10!G10:G1243)</f>
        <v>0</v>
      </c>
      <c r="D87" s="63">
        <f>SUMIF(Пр.10!D10:D1243,901,Пр.10!H10:H1243)</f>
        <v>0</v>
      </c>
      <c r="E87" s="63">
        <f>SUMIF(Пр.10!E10:E1243,901,Пр.10!I10:I1243)</f>
        <v>0</v>
      </c>
    </row>
    <row r="88" spans="1:5" ht="16.5" hidden="1" thickBot="1" x14ac:dyDescent="0.3">
      <c r="A88" s="61">
        <v>902</v>
      </c>
      <c r="B88" s="64" t="s">
        <v>215</v>
      </c>
      <c r="C88" s="63">
        <f>SUMIF(Пр.10!C10:C1243,902,Пр.10!G10:G1243)</f>
        <v>0</v>
      </c>
      <c r="D88" s="63">
        <f>SUMIF(Пр.10!D10:D1243,902,Пр.10!H10:H1243)</f>
        <v>0</v>
      </c>
      <c r="E88" s="63">
        <f>SUMIF(Пр.10!E10:E1243,902,Пр.10!I10:I1243)</f>
        <v>0</v>
      </c>
    </row>
    <row r="89" spans="1:5" ht="16.5" hidden="1" thickBot="1" x14ac:dyDescent="0.3">
      <c r="A89" s="61">
        <v>903</v>
      </c>
      <c r="B89" s="64" t="s">
        <v>216</v>
      </c>
      <c r="C89" s="63">
        <f>SUMIF(Пр.10!C10:C1243,903,Пр.10!G10:G1243)</f>
        <v>0</v>
      </c>
      <c r="D89" s="63">
        <f>SUMIF(Пр.10!D10:D1243,903,Пр.10!H10:H1243)</f>
        <v>0</v>
      </c>
      <c r="E89" s="63">
        <f>SUMIF(Пр.10!E10:E1243,903,Пр.10!I10:I1243)</f>
        <v>0</v>
      </c>
    </row>
    <row r="90" spans="1:5" ht="16.5" hidden="1" thickBot="1" x14ac:dyDescent="0.3">
      <c r="A90" s="61">
        <v>904</v>
      </c>
      <c r="B90" s="64" t="s">
        <v>217</v>
      </c>
      <c r="C90" s="63">
        <f>SUMIF(Пр.10!C10:C1243,904,Пр.10!G10:G1243)</f>
        <v>0</v>
      </c>
      <c r="D90" s="63">
        <f>SUMIF(Пр.10!D10:D1243,904,Пр.10!H10:H1243)</f>
        <v>0</v>
      </c>
      <c r="E90" s="63">
        <f>SUMIF(Пр.10!E10:E1243,904,Пр.10!I10:I1243)</f>
        <v>0</v>
      </c>
    </row>
    <row r="91" spans="1:5" ht="16.5" hidden="1" thickBot="1" x14ac:dyDescent="0.3">
      <c r="A91" s="61">
        <v>905</v>
      </c>
      <c r="B91" s="70" t="s">
        <v>218</v>
      </c>
      <c r="C91" s="63">
        <f>SUMIF(Пр.10!C10:C1243,905,Пр.10!G10:G1243)</f>
        <v>0</v>
      </c>
      <c r="D91" s="63">
        <f>SUMIF(Пр.10!D10:D1243,905,Пр.10!H10:H1243)</f>
        <v>0</v>
      </c>
      <c r="E91" s="63">
        <f>SUMIF(Пр.10!E10:E1243,905,Пр.10!I10:I1243)</f>
        <v>0</v>
      </c>
    </row>
    <row r="92" spans="1:5" ht="32.25" hidden="1" thickBot="1" x14ac:dyDescent="0.3">
      <c r="A92" s="61">
        <v>906</v>
      </c>
      <c r="B92" s="70" t="s">
        <v>219</v>
      </c>
      <c r="C92" s="63">
        <f>SUMIF(Пр.10!C10:C1243,906,Пр.10!G10:G1243)</f>
        <v>0</v>
      </c>
      <c r="D92" s="63">
        <f>SUMIF(Пр.10!D10:D1243,906,Пр.10!H10:H1243)</f>
        <v>0</v>
      </c>
      <c r="E92" s="63">
        <f>SUMIF(Пр.10!E10:E1243,906,Пр.10!I10:I1243)</f>
        <v>0</v>
      </c>
    </row>
    <row r="93" spans="1:5" ht="16.5" hidden="1" thickBot="1" x14ac:dyDescent="0.3">
      <c r="A93" s="61">
        <v>907</v>
      </c>
      <c r="B93" s="64" t="s">
        <v>220</v>
      </c>
      <c r="C93" s="63">
        <f>SUMIF(Пр.10!C10:C1243,907,Пр.10!G10:G1243)</f>
        <v>0</v>
      </c>
      <c r="D93" s="63">
        <f>SUMIF(Пр.10!D10:D1243,907,Пр.10!H10:H1243)</f>
        <v>0</v>
      </c>
      <c r="E93" s="63">
        <f>SUMIF(Пр.10!E10:E1243,907,Пр.10!I10:I1243)</f>
        <v>0</v>
      </c>
    </row>
    <row r="94" spans="1:5" ht="32.25" hidden="1" thickBot="1" x14ac:dyDescent="0.3">
      <c r="A94" s="61">
        <v>908</v>
      </c>
      <c r="B94" s="62" t="s">
        <v>221</v>
      </c>
      <c r="C94" s="63">
        <f>SUMIF(Пр.10!C10:C1243,908,Пр.10!G10:G1243)</f>
        <v>0</v>
      </c>
      <c r="D94" s="63">
        <f>SUMIF(Пр.10!D10:D1243,908,Пр.10!H10:H1243)</f>
        <v>0</v>
      </c>
      <c r="E94" s="63">
        <f>SUMIF(Пр.10!E10:E1243,908,Пр.10!I10:I1243)</f>
        <v>0</v>
      </c>
    </row>
    <row r="95" spans="1:5" ht="16.5" hidden="1" thickBot="1" x14ac:dyDescent="0.3">
      <c r="A95" s="61">
        <v>909</v>
      </c>
      <c r="B95" s="64" t="s">
        <v>222</v>
      </c>
      <c r="C95" s="63">
        <f>SUMIF(Пр.10!C10:C1243,909,Пр.10!G10:G1243)</f>
        <v>0</v>
      </c>
      <c r="D95" s="63">
        <f>SUMIF(Пр.10!D10:D1243,909,Пр.10!H10:H1243)</f>
        <v>0</v>
      </c>
      <c r="E95" s="63">
        <f>SUMIF(Пр.10!E10:E1243,909,Пр.10!I10:I1243)</f>
        <v>0</v>
      </c>
    </row>
    <row r="96" spans="1:5" ht="16.5" thickBot="1" x14ac:dyDescent="0.3">
      <c r="A96" s="58">
        <v>1000</v>
      </c>
      <c r="B96" s="67" t="s">
        <v>223</v>
      </c>
      <c r="C96" s="60">
        <f>C97+C98+C99+C100+C102</f>
        <v>613945402</v>
      </c>
      <c r="D96" s="60">
        <f t="shared" ref="D96:E96" si="6">D97+D98+D99+D100+D102</f>
        <v>5447018.7400000002</v>
      </c>
      <c r="E96" s="60">
        <f t="shared" si="6"/>
        <v>619392420.74000001</v>
      </c>
    </row>
    <row r="97" spans="1:5" ht="16.5" thickBot="1" x14ac:dyDescent="0.3">
      <c r="A97" s="61">
        <v>1001</v>
      </c>
      <c r="B97" s="64" t="s">
        <v>224</v>
      </c>
      <c r="C97" s="63">
        <f>SUMIF(Пр.10!$C10:$C1243,1001,Пр.10!G10:G1243)</f>
        <v>5976848</v>
      </c>
      <c r="D97" s="63">
        <f>SUMIF(Пр.10!$C10:$C1243,1001,Пр.10!H10:H1243)</f>
        <v>-41266</v>
      </c>
      <c r="E97" s="63">
        <f>SUMIF(Пр.10!$C10:$C1243,1001,Пр.10!I10:I1243)</f>
        <v>5935582</v>
      </c>
    </row>
    <row r="98" spans="1:5" ht="16.5" thickBot="1" x14ac:dyDescent="0.3">
      <c r="A98" s="61">
        <v>1002</v>
      </c>
      <c r="B98" s="64" t="s">
        <v>225</v>
      </c>
      <c r="C98" s="63">
        <f>SUMIF(Пр.10!$C10:$C1243,1002,Пр.10!G10:G1243)</f>
        <v>89229652</v>
      </c>
      <c r="D98" s="63">
        <f>SUMIF(Пр.10!$C10:$C1243,1002,Пр.10!H10:H1243)</f>
        <v>-666095</v>
      </c>
      <c r="E98" s="63">
        <f>SUMIF(Пр.10!$C10:$C1243,1002,Пр.10!I10:I1243)</f>
        <v>88563557</v>
      </c>
    </row>
    <row r="99" spans="1:5" ht="16.5" thickBot="1" x14ac:dyDescent="0.3">
      <c r="A99" s="61">
        <v>1003</v>
      </c>
      <c r="B99" s="64" t="s">
        <v>226</v>
      </c>
      <c r="C99" s="63">
        <f>SUMIF(Пр.10!$C10:$C1243,1003,Пр.10!G10:G1243)</f>
        <v>221459914</v>
      </c>
      <c r="D99" s="63">
        <f>SUMIF(Пр.10!$C10:$C1243,1003,Пр.10!H10:H1243)</f>
        <v>-2833470</v>
      </c>
      <c r="E99" s="63">
        <f>SUMIF(Пр.10!$C10:$C1243,1003,Пр.10!I10:I1243)</f>
        <v>218626444</v>
      </c>
    </row>
    <row r="100" spans="1:5" ht="16.5" thickBot="1" x14ac:dyDescent="0.3">
      <c r="A100" s="61">
        <v>1004</v>
      </c>
      <c r="B100" s="62" t="s">
        <v>227</v>
      </c>
      <c r="C100" s="63">
        <f>SUMIF(Пр.10!$C10:$C1243,1004,Пр.10!G10:G1243)</f>
        <v>279585275</v>
      </c>
      <c r="D100" s="63">
        <f>SUMIF(Пр.10!$C10:$C1243,1004,Пр.10!H10:H1243)</f>
        <v>9383576.9700000007</v>
      </c>
      <c r="E100" s="63">
        <f>SUMIF(Пр.10!$C10:$C1243,1004,Пр.10!I10:I1243)</f>
        <v>288968851.96999997</v>
      </c>
    </row>
    <row r="101" spans="1:5" ht="32.25" hidden="1" thickBot="1" x14ac:dyDescent="0.3">
      <c r="A101" s="61">
        <v>1005</v>
      </c>
      <c r="B101" s="64" t="s">
        <v>228</v>
      </c>
      <c r="C101" s="63">
        <f>SUMIF(Пр.10!C10:C1243,1005,Пр.10!G10:G1243)</f>
        <v>0</v>
      </c>
      <c r="D101" s="63">
        <f>SUMIF(Пр.10!D10:D1243,1005,Пр.10!H10:H1243)</f>
        <v>0</v>
      </c>
      <c r="E101" s="63">
        <f>SUMIF(Пр.10!E10:E1243,1005,Пр.10!I10:I1243)</f>
        <v>0</v>
      </c>
    </row>
    <row r="102" spans="1:5" ht="16.5" thickBot="1" x14ac:dyDescent="0.3">
      <c r="A102" s="61">
        <v>1006</v>
      </c>
      <c r="B102" s="64" t="s">
        <v>229</v>
      </c>
      <c r="C102" s="63">
        <f>SUMIF(Пр.10!$C10:$C1243,1006,Пр.10!G10:G1243)</f>
        <v>17693713</v>
      </c>
      <c r="D102" s="63">
        <f>SUMIF(Пр.10!$C10:$C1243,1006,Пр.10!H10:H1243)</f>
        <v>-395727.23</v>
      </c>
      <c r="E102" s="63">
        <f>SUMIF(Пр.10!$C10:$C1243,1006,Пр.10!I10:I1243)</f>
        <v>17297985.769999996</v>
      </c>
    </row>
    <row r="103" spans="1:5" ht="16.5" thickBot="1" x14ac:dyDescent="0.3">
      <c r="A103" s="58">
        <v>1100</v>
      </c>
      <c r="B103" s="67" t="s">
        <v>230</v>
      </c>
      <c r="C103" s="60">
        <f>SUM(C104:C108)</f>
        <v>57124536.460000001</v>
      </c>
      <c r="D103" s="60">
        <f t="shared" ref="D103:E103" si="7">SUM(D104:D108)</f>
        <v>970914</v>
      </c>
      <c r="E103" s="60">
        <f t="shared" si="7"/>
        <v>58095450.460000001</v>
      </c>
    </row>
    <row r="104" spans="1:5" ht="16.5" hidden="1" thickBot="1" x14ac:dyDescent="0.3">
      <c r="A104" s="61">
        <v>1101</v>
      </c>
      <c r="B104" s="64" t="s">
        <v>231</v>
      </c>
      <c r="C104" s="63">
        <f>SUMIF(Пр.10!C10:C1243,1101,Пр.10!G10:G1243)</f>
        <v>0</v>
      </c>
      <c r="D104" s="63">
        <f>SUMIF(Пр.10!D10:D1243,1101,Пр.10!H10:H1243)</f>
        <v>0</v>
      </c>
      <c r="E104" s="63">
        <f>SUMIF(Пр.10!E10:E1243,1101,Пр.10!I10:I1243)</f>
        <v>0</v>
      </c>
    </row>
    <row r="105" spans="1:5" ht="16.5" thickBot="1" x14ac:dyDescent="0.3">
      <c r="A105" s="61">
        <v>1102</v>
      </c>
      <c r="B105" s="70" t="s">
        <v>232</v>
      </c>
      <c r="C105" s="63">
        <f>SUMIF(Пр.10!$C10:$C1243,1102,Пр.10!G10:G1243)</f>
        <v>57124536.460000001</v>
      </c>
      <c r="D105" s="63">
        <f>SUMIF(Пр.10!$C10:$C1243,1102,Пр.10!H10:H1243)</f>
        <v>970914</v>
      </c>
      <c r="E105" s="63">
        <f>SUMIF(Пр.10!$C10:$C1243,1102,Пр.10!I10:I1243)</f>
        <v>58095450.460000001</v>
      </c>
    </row>
    <row r="106" spans="1:5" ht="16.5" hidden="1" thickBot="1" x14ac:dyDescent="0.3">
      <c r="A106" s="61">
        <v>1103</v>
      </c>
      <c r="B106" s="64" t="s">
        <v>233</v>
      </c>
      <c r="C106" s="63">
        <f>SUMIF(Пр.10!C10:C1243,1103,Пр.10!G10:G1243)</f>
        <v>0</v>
      </c>
      <c r="D106" s="63">
        <f>SUMIF(Пр.10!D10:D1243,1103,Пр.10!H10:H1243)</f>
        <v>0</v>
      </c>
      <c r="E106" s="63">
        <f>SUMIF(Пр.10!E10:E1243,1103,Пр.10!I10:I1243)</f>
        <v>0</v>
      </c>
    </row>
    <row r="107" spans="1:5" ht="32.25" hidden="1" thickBot="1" x14ac:dyDescent="0.3">
      <c r="A107" s="61">
        <v>1104</v>
      </c>
      <c r="B107" s="64" t="s">
        <v>234</v>
      </c>
      <c r="C107" s="63">
        <f>SUMIF(Пр.10!C10:C1243,1104,Пр.10!G10:G1243)</f>
        <v>0</v>
      </c>
      <c r="D107" s="63">
        <f>SUMIF(Пр.10!D10:D1243,1104,Пр.10!H10:H1243)</f>
        <v>0</v>
      </c>
      <c r="E107" s="63">
        <f>SUMIF(Пр.10!E10:E1243,1104,Пр.10!I10:I1243)</f>
        <v>0</v>
      </c>
    </row>
    <row r="108" spans="1:5" ht="16.5" hidden="1" thickBot="1" x14ac:dyDescent="0.3">
      <c r="A108" s="61">
        <v>1105</v>
      </c>
      <c r="B108" s="64" t="s">
        <v>235</v>
      </c>
      <c r="C108" s="63">
        <f>SUMIF(Пр.10!C10:C1243,1105,Пр.10!G10:G1243)</f>
        <v>0</v>
      </c>
      <c r="D108" s="63">
        <f>SUMIF(Пр.10!D10:D1243,1105,Пр.10!H10:H1243)</f>
        <v>0</v>
      </c>
      <c r="E108" s="63">
        <f>SUMIF(Пр.10!E10:E1243,1105,Пр.10!I10:I1243)</f>
        <v>0</v>
      </c>
    </row>
    <row r="109" spans="1:5" ht="16.5" thickBot="1" x14ac:dyDescent="0.3">
      <c r="A109" s="58">
        <v>1200</v>
      </c>
      <c r="B109" s="67" t="s">
        <v>236</v>
      </c>
      <c r="C109" s="60">
        <f>SUM(C110:C113)</f>
        <v>6350662</v>
      </c>
      <c r="D109" s="60">
        <f t="shared" ref="D109:E109" si="8">SUM(D110:D113)</f>
        <v>278881</v>
      </c>
      <c r="E109" s="60">
        <f t="shared" si="8"/>
        <v>6629543</v>
      </c>
    </row>
    <row r="110" spans="1:5" ht="16.5" hidden="1" thickBot="1" x14ac:dyDescent="0.3">
      <c r="A110" s="61">
        <v>1201</v>
      </c>
      <c r="B110" s="64" t="s">
        <v>237</v>
      </c>
      <c r="C110" s="63">
        <f>SUMIF(Пр.10!C10:C1243,1201,Пр.10!G10:G1243)</f>
        <v>0</v>
      </c>
      <c r="D110" s="63">
        <f>SUMIF(Пр.10!D10:D1243,1201,Пр.10!H10:H1243)</f>
        <v>0</v>
      </c>
      <c r="E110" s="63">
        <f>SUMIF(Пр.10!E10:E1243,1201,Пр.10!I10:I1243)</f>
        <v>0</v>
      </c>
    </row>
    <row r="111" spans="1:5" ht="16.5" thickBot="1" x14ac:dyDescent="0.3">
      <c r="A111" s="61">
        <v>1202</v>
      </c>
      <c r="B111" s="64" t="s">
        <v>238</v>
      </c>
      <c r="C111" s="63">
        <f>SUMIF(Пр.10!$C10:$C1243,1202,Пр.10!G10:G1243)</f>
        <v>6350662</v>
      </c>
      <c r="D111" s="63">
        <f>SUMIF(Пр.10!$C10:$C1243,1202,Пр.10!H10:H1243)</f>
        <v>278881</v>
      </c>
      <c r="E111" s="63">
        <f>SUMIF(Пр.10!$C10:$C1243,1202,Пр.10!I10:I1243)</f>
        <v>6629543</v>
      </c>
    </row>
    <row r="112" spans="1:5" ht="32.25" hidden="1" thickBot="1" x14ac:dyDescent="0.3">
      <c r="A112" s="61">
        <v>1203</v>
      </c>
      <c r="B112" s="64" t="s">
        <v>239</v>
      </c>
      <c r="C112" s="63">
        <f>SUMIF(Пр.10!C10:C1243,1203,Пр.10!G10:G1243)</f>
        <v>0</v>
      </c>
      <c r="D112" s="63">
        <f>SUMIF(Пр.10!D10:D1243,1203,Пр.10!H10:H1243)</f>
        <v>0</v>
      </c>
      <c r="E112" s="63">
        <f>SUMIF(Пр.10!E10:E1243,1203,Пр.10!I10:I1243)</f>
        <v>0</v>
      </c>
    </row>
    <row r="113" spans="1:5" ht="16.5" hidden="1" thickBot="1" x14ac:dyDescent="0.3">
      <c r="A113" s="61">
        <v>1204</v>
      </c>
      <c r="B113" s="64" t="s">
        <v>240</v>
      </c>
      <c r="C113" s="63">
        <f>SUMIF(Пр.10!C10:C1243,1204,Пр.10!G10:G1243)</f>
        <v>0</v>
      </c>
      <c r="D113" s="63">
        <f>SUMIF(Пр.10!D10:D1243,1204,Пр.10!H10:H1243)</f>
        <v>0</v>
      </c>
      <c r="E113" s="63">
        <f>SUMIF(Пр.10!E10:E1243,1204,Пр.10!I10:I1243)</f>
        <v>0</v>
      </c>
    </row>
    <row r="114" spans="1:5" ht="32.25" hidden="1" thickBot="1" x14ac:dyDescent="0.3">
      <c r="A114" s="58">
        <v>1300</v>
      </c>
      <c r="B114" s="67" t="s">
        <v>241</v>
      </c>
      <c r="C114" s="60">
        <f>SUM(C115:C116)</f>
        <v>0</v>
      </c>
      <c r="D114" s="60">
        <f t="shared" ref="D114:E114" si="9">SUM(D115:D116)</f>
        <v>0</v>
      </c>
      <c r="E114" s="60">
        <f t="shared" si="9"/>
        <v>0</v>
      </c>
    </row>
    <row r="115" spans="1:5" ht="32.25" hidden="1" thickBot="1" x14ac:dyDescent="0.3">
      <c r="A115" s="61">
        <v>1301</v>
      </c>
      <c r="B115" s="87" t="s">
        <v>1563</v>
      </c>
      <c r="C115" s="63">
        <f>SUMIF(Пр.10!$C10:$C1243,1301,Пр.10!G10:G1243)</f>
        <v>0</v>
      </c>
      <c r="D115" s="63">
        <f>SUMIF(Пр.10!$C10:$C1243,1301,Пр.10!H10:H1243)</f>
        <v>0</v>
      </c>
      <c r="E115" s="63">
        <f>SUMIF(Пр.10!$C10:$C1243,1301,Пр.10!I10:I1243)</f>
        <v>0</v>
      </c>
    </row>
    <row r="116" spans="1:5" ht="32.25" hidden="1" thickBot="1" x14ac:dyDescent="0.3">
      <c r="A116" s="61">
        <v>1302</v>
      </c>
      <c r="B116" s="87" t="s">
        <v>1564</v>
      </c>
      <c r="C116" s="63">
        <f>SUMIF(Пр.10!C10:C1243,1302,Пр.10!G10:G1243)</f>
        <v>0</v>
      </c>
      <c r="D116" s="63">
        <f>SUMIF(Пр.10!D10:D1243,1302,Пр.10!H10:H1243)</f>
        <v>0</v>
      </c>
      <c r="E116" s="63">
        <f>SUMIF(Пр.10!E10:E1243,1302,Пр.10!I10:I1243)</f>
        <v>0</v>
      </c>
    </row>
    <row r="117" spans="1:5" ht="63.75" thickBot="1" x14ac:dyDescent="0.3">
      <c r="A117" s="58">
        <v>1400</v>
      </c>
      <c r="B117" s="67" t="s">
        <v>242</v>
      </c>
      <c r="C117" s="60">
        <f>SUM(C118:C120)</f>
        <v>300000</v>
      </c>
      <c r="D117" s="60">
        <f t="shared" ref="D117:E117" si="10">SUM(D118:D120)</f>
        <v>0</v>
      </c>
      <c r="E117" s="60">
        <f t="shared" si="10"/>
        <v>300000</v>
      </c>
    </row>
    <row r="118" spans="1:5" ht="48" thickBot="1" x14ac:dyDescent="0.3">
      <c r="A118" s="61">
        <v>1401</v>
      </c>
      <c r="B118" s="64" t="s">
        <v>243</v>
      </c>
      <c r="C118" s="63">
        <f>SUMIF(Пр.10!$C10:$C1243,1401,Пр.10!G10:G1243)</f>
        <v>300000</v>
      </c>
      <c r="D118" s="63">
        <f>SUMIF(Пр.10!$C10:$C1243,1401,Пр.10!H10:H1243)</f>
        <v>0</v>
      </c>
      <c r="E118" s="63">
        <f>SUMIF(Пр.10!$C10:$C1243,1401,Пр.10!I10:I1243)</f>
        <v>300000</v>
      </c>
    </row>
    <row r="119" spans="1:5" ht="16.5" hidden="1" thickBot="1" x14ac:dyDescent="0.3">
      <c r="A119" s="61">
        <v>1402</v>
      </c>
      <c r="B119" s="64" t="s">
        <v>244</v>
      </c>
      <c r="C119" s="63">
        <f>SUMIF(Пр.10!C10:C1243,1402,Пр.10!G10:G1243)</f>
        <v>0</v>
      </c>
      <c r="D119" s="63">
        <f>SUMIF(Пр.10!D10:D1243,1402,Пр.10!H10:H1243)</f>
        <v>0</v>
      </c>
      <c r="E119" s="63">
        <f>SUMIF(Пр.10!E10:E1243,1402,Пр.10!I10:I1243)</f>
        <v>0</v>
      </c>
    </row>
    <row r="120" spans="1:5" ht="16.5" hidden="1" thickBot="1" x14ac:dyDescent="0.3">
      <c r="A120" s="61">
        <v>1403</v>
      </c>
      <c r="B120" s="87" t="s">
        <v>1565</v>
      </c>
      <c r="C120" s="63">
        <f>SUMIF(Пр.10!C10:C1243,1403,Пр.10!G10:G1243)</f>
        <v>0</v>
      </c>
      <c r="D120" s="63">
        <f>SUMIF(Пр.10!D10:D1243,1403,Пр.10!H10:H1243)</f>
        <v>0</v>
      </c>
      <c r="E120" s="63">
        <f>SUMIF(Пр.10!E10:E1243,1403,Пр.10!I10:I1243)</f>
        <v>0</v>
      </c>
    </row>
    <row r="121" spans="1:5" ht="16.5" thickBot="1" x14ac:dyDescent="0.3">
      <c r="A121" s="843" t="s">
        <v>129</v>
      </c>
      <c r="B121" s="843"/>
      <c r="C121" s="60">
        <f>C9+C23+C33+C46+C59+C65+C71+C81+C96+C103+C109+C114+C117</f>
        <v>2799288799.9300003</v>
      </c>
      <c r="D121" s="60">
        <f t="shared" ref="D121" si="11">D9+D23+D33+D46+D59+D65+D71+D81+D96+D103+D109+D114+D117</f>
        <v>16958495.399999999</v>
      </c>
      <c r="E121" s="60">
        <f>E9+E23+E33+E46+E59+E65+E71+E81+E96+E103+E109+E114+E117</f>
        <v>2816247295.3299999</v>
      </c>
    </row>
    <row r="122" spans="1:5" ht="16.5" thickBot="1" x14ac:dyDescent="0.3">
      <c r="A122" s="843" t="s">
        <v>245</v>
      </c>
      <c r="B122" s="843"/>
      <c r="C122" s="60">
        <f>Пр1!J149-Пр_3!C121</f>
        <v>-30799999.930000305</v>
      </c>
      <c r="D122" s="60">
        <f>Пр1!K149-Пр_3!D121</f>
        <v>-4387156.3999999985</v>
      </c>
      <c r="E122" s="60">
        <f>Пр1!L149-Пр_3!E121</f>
        <v>-35187156.329999924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3" zoomScale="115" zoomScaleSheetLayoutView="115" workbookViewId="0">
      <selection activeCell="F59" sqref="F59"/>
    </sheetView>
  </sheetViews>
  <sheetFormatPr defaultColWidth="9.140625" defaultRowHeight="12.75" x14ac:dyDescent="0.2"/>
  <cols>
    <col min="1" max="1" width="10.7109375" style="40" customWidth="1"/>
    <col min="2" max="2" width="50.7109375" style="40" customWidth="1"/>
    <col min="3" max="3" width="15" style="40" customWidth="1"/>
    <col min="4" max="4" width="16.7109375" style="40" customWidth="1"/>
    <col min="5" max="5" width="14.7109375" style="40" customWidth="1"/>
    <col min="6" max="6" width="15.28515625" style="40" customWidth="1"/>
    <col min="7" max="7" width="14.85546875" style="40" customWidth="1"/>
    <col min="8" max="8" width="17" style="40" customWidth="1"/>
    <col min="9" max="16384" width="9.140625" style="40"/>
  </cols>
  <sheetData>
    <row r="1" spans="1:8" ht="15.75" x14ac:dyDescent="0.25">
      <c r="A1" s="829" t="s">
        <v>0</v>
      </c>
      <c r="B1" s="829"/>
      <c r="C1" s="829"/>
      <c r="D1" s="829"/>
      <c r="E1" s="829"/>
      <c r="F1" s="829"/>
      <c r="G1" s="829"/>
      <c r="H1" s="829"/>
    </row>
    <row r="2" spans="1:8" ht="15.75" x14ac:dyDescent="0.25">
      <c r="A2" s="829" t="s">
        <v>1</v>
      </c>
      <c r="B2" s="829"/>
      <c r="C2" s="829"/>
      <c r="D2" s="829"/>
      <c r="E2" s="829"/>
      <c r="F2" s="829"/>
      <c r="G2" s="829"/>
      <c r="H2" s="829"/>
    </row>
    <row r="3" spans="1:8" ht="15.75" x14ac:dyDescent="0.25">
      <c r="A3" s="829" t="s">
        <v>2</v>
      </c>
      <c r="B3" s="829"/>
      <c r="C3" s="829"/>
      <c r="D3" s="829"/>
      <c r="E3" s="829"/>
      <c r="F3" s="829"/>
      <c r="G3" s="829"/>
      <c r="H3" s="829"/>
    </row>
    <row r="4" spans="1:8" ht="15.75" x14ac:dyDescent="0.25">
      <c r="A4" s="829" t="s">
        <v>1754</v>
      </c>
      <c r="B4" s="829"/>
      <c r="C4" s="829"/>
      <c r="D4" s="829"/>
      <c r="E4" s="829"/>
      <c r="F4" s="829"/>
      <c r="G4" s="829"/>
      <c r="H4" s="829"/>
    </row>
    <row r="5" spans="1:8" ht="1.5" customHeight="1" x14ac:dyDescent="0.2">
      <c r="A5" s="844" t="s">
        <v>1617</v>
      </c>
      <c r="B5" s="844"/>
      <c r="C5" s="844"/>
      <c r="D5" s="844"/>
      <c r="E5" s="844"/>
      <c r="F5" s="844"/>
      <c r="G5" s="844"/>
      <c r="H5" s="844"/>
    </row>
    <row r="6" spans="1:8" ht="71.25" customHeight="1" x14ac:dyDescent="0.2">
      <c r="A6" s="844"/>
      <c r="B6" s="844"/>
      <c r="C6" s="844"/>
      <c r="D6" s="844"/>
      <c r="E6" s="844"/>
      <c r="F6" s="844"/>
      <c r="G6" s="844"/>
      <c r="H6" s="844"/>
    </row>
    <row r="7" spans="1:8" ht="16.5" thickBot="1" x14ac:dyDescent="0.3">
      <c r="A7" s="54"/>
      <c r="B7" s="50"/>
      <c r="C7" s="845"/>
      <c r="D7" s="845"/>
      <c r="E7" s="845"/>
      <c r="F7" s="845"/>
      <c r="G7" s="845"/>
      <c r="H7" s="845"/>
    </row>
    <row r="8" spans="1:8" ht="32.25" thickBot="1" x14ac:dyDescent="0.25">
      <c r="A8" s="55" t="s">
        <v>138</v>
      </c>
      <c r="B8" s="56" t="s">
        <v>139</v>
      </c>
      <c r="C8" s="56" t="s">
        <v>1187</v>
      </c>
      <c r="D8" s="56" t="s">
        <v>1570</v>
      </c>
      <c r="E8" s="56" t="s">
        <v>1538</v>
      </c>
      <c r="F8" s="56" t="s">
        <v>1383</v>
      </c>
      <c r="G8" s="56" t="s">
        <v>1618</v>
      </c>
      <c r="H8" s="56" t="s">
        <v>1615</v>
      </c>
    </row>
    <row r="9" spans="1:8" ht="21" customHeight="1" thickBot="1" x14ac:dyDescent="0.25">
      <c r="A9" s="58">
        <v>100</v>
      </c>
      <c r="B9" s="681" t="s">
        <v>141</v>
      </c>
      <c r="C9" s="78">
        <f>SUM(C10:C22)</f>
        <v>80371385</v>
      </c>
      <c r="D9" s="78">
        <f t="shared" ref="D9:E9" ca="1" si="0">SUM(D10:D22)</f>
        <v>0</v>
      </c>
      <c r="E9" s="78">
        <f t="shared" ca="1" si="0"/>
        <v>80371385</v>
      </c>
      <c r="F9" s="78">
        <f t="shared" ref="F9" ca="1" si="1">SUM(F10:F22)</f>
        <v>35933839</v>
      </c>
      <c r="G9" s="78">
        <f t="shared" ref="G9" ca="1" si="2">SUM(G10:G22)</f>
        <v>0</v>
      </c>
      <c r="H9" s="78">
        <f t="shared" ref="H9" ca="1" si="3">SUM(H10:H22)</f>
        <v>35933839</v>
      </c>
    </row>
    <row r="10" spans="1:8" ht="32.25" hidden="1" thickBot="1" x14ac:dyDescent="0.3">
      <c r="A10" s="61">
        <v>101</v>
      </c>
      <c r="B10" s="62" t="s">
        <v>142</v>
      </c>
      <c r="C10" s="63">
        <f>SUMIF(Пр11!C$10:C$655,101,Пр11!G$10:G$655)</f>
        <v>0</v>
      </c>
      <c r="D10" s="63">
        <f>SUMIF(Пр11!D$10:D$655,101,Пр11!H$10:H$655)</f>
        <v>0</v>
      </c>
      <c r="E10" s="63">
        <f>SUMIF(Пр11!C$10:C$655,101,Пр11!I$10:I$655)</f>
        <v>0</v>
      </c>
      <c r="F10" s="63">
        <f>SUMIF(Пр11!D$10:D$655,101,Пр11!J$10:J$655)</f>
        <v>0</v>
      </c>
      <c r="G10" s="63">
        <f>SUMIF(Пр11!E$10:E$655,101,Пр11!K$10:K$655)</f>
        <v>0</v>
      </c>
      <c r="H10" s="63">
        <f>SUMIF(Пр11!F$10:F$655,101,Пр11!L$10:L$655)</f>
        <v>0</v>
      </c>
    </row>
    <row r="11" spans="1:8" ht="48" thickBot="1" x14ac:dyDescent="0.3">
      <c r="A11" s="61">
        <v>102</v>
      </c>
      <c r="B11" s="64" t="s">
        <v>143</v>
      </c>
      <c r="C11" s="63">
        <f>SUMIF(Пр11!C$10:C659,102,Пр11!G$10:G659)</f>
        <v>1647072</v>
      </c>
      <c r="D11" s="63">
        <f ca="1">SUMIF(Пр11!C$10:D659,102,Пр11!H$10:H659)</f>
        <v>0</v>
      </c>
      <c r="E11" s="63">
        <f ca="1">SUMIF(Пр11!C$10:E659,102,Пр11!I$10:I659)</f>
        <v>1647072</v>
      </c>
      <c r="F11" s="63">
        <f>SUMIF(Пр11!$C$10:$C659,$A11,Пр11!J$10:J659)</f>
        <v>1647072</v>
      </c>
      <c r="G11" s="63">
        <f>SUMIF(Пр11!$C$10:$C659,$A11,Пр11!K$10:K659)</f>
        <v>0</v>
      </c>
      <c r="H11" s="63">
        <f>SUMIF(Пр11!$C$10:$C659,$A11,Пр11!L$10:L659)</f>
        <v>1647072</v>
      </c>
    </row>
    <row r="12" spans="1:8" ht="63.75" hidden="1" thickBot="1" x14ac:dyDescent="0.3">
      <c r="A12" s="61">
        <v>103</v>
      </c>
      <c r="B12" s="64" t="s">
        <v>144</v>
      </c>
      <c r="C12" s="63">
        <f>SUMIF(Пр11!C$10:C660,103,Пр11!G$10:G660)</f>
        <v>0</v>
      </c>
      <c r="D12" s="63">
        <f ca="1">SUMIF(Пр11!C$10:D660,103,Пр11!H$10:H660)</f>
        <v>0</v>
      </c>
      <c r="E12" s="63">
        <f ca="1">SUMIF(Пр11!C$10:E660,103,Пр11!I$10:I660)</f>
        <v>0</v>
      </c>
      <c r="F12" s="63">
        <f ca="1">SUMIF(Пр11!D$10:F660,103,Пр11!J$10:J660)</f>
        <v>0</v>
      </c>
      <c r="G12" s="63">
        <f ca="1">SUMIF(Пр11!E$10:G660,103,Пр11!K$10:K660)</f>
        <v>0</v>
      </c>
      <c r="H12" s="63">
        <f ca="1">SUMIF(Пр11!F$10:H660,103,Пр11!L$10:L660)</f>
        <v>0</v>
      </c>
    </row>
    <row r="13" spans="1:8" ht="63.75" thickBot="1" x14ac:dyDescent="0.3">
      <c r="A13" s="61">
        <v>104</v>
      </c>
      <c r="B13" s="64" t="s">
        <v>145</v>
      </c>
      <c r="C13" s="63">
        <f>SUMIF(Пр11!C$10:C661,104,Пр11!G$10:G661)</f>
        <v>27304988</v>
      </c>
      <c r="D13" s="63">
        <f ca="1">SUMIF(Пр11!C$10:D661,104,Пр11!H$10:H661)</f>
        <v>0</v>
      </c>
      <c r="E13" s="63">
        <f>SUMIF(Пр11!$C$10:$C661,$A13,Пр11!I$10:I661)</f>
        <v>27304988</v>
      </c>
      <c r="F13" s="63">
        <f>SUMIF(Пр11!$C$10:$C661,$A13,Пр11!J$10:J661)</f>
        <v>22304988</v>
      </c>
      <c r="G13" s="63">
        <f>SUMIF(Пр11!$C$10:$C661,$A13,Пр11!K$10:K661)</f>
        <v>0</v>
      </c>
      <c r="H13" s="63">
        <f>SUMIF(Пр11!$C$10:$C661,$A13,Пр11!L$10:L661)</f>
        <v>22304988</v>
      </c>
    </row>
    <row r="14" spans="1:8" ht="16.5" thickBot="1" x14ac:dyDescent="0.3">
      <c r="A14" s="61">
        <v>105</v>
      </c>
      <c r="B14" s="64" t="s">
        <v>146</v>
      </c>
      <c r="C14" s="63">
        <f>SUMIF(Пр11!C$10:C662,105,Пр11!G$10:G662)</f>
        <v>3059</v>
      </c>
      <c r="D14" s="63">
        <f ca="1">SUMIF(Пр11!C$10:D662,105,Пр11!H$10:H662)</f>
        <v>0</v>
      </c>
      <c r="E14" s="63">
        <f>SUMIF(Пр11!$C$10:$C662,$A14,Пр11!I$10:I662)</f>
        <v>3059</v>
      </c>
      <c r="F14" s="63">
        <f>SUMIF(Пр11!$C$10:$C662,$A14,Пр11!J$10:J662)</f>
        <v>2726</v>
      </c>
      <c r="G14" s="63">
        <f>SUMIF(Пр11!$C$10:$C662,$A14,Пр11!K$10:K662)</f>
        <v>0</v>
      </c>
      <c r="H14" s="63">
        <f>SUMIF(Пр11!$C$10:$C662,$A14,Пр11!L$10:L662)</f>
        <v>2726</v>
      </c>
    </row>
    <row r="15" spans="1:8" ht="48" thickBot="1" x14ac:dyDescent="0.3">
      <c r="A15" s="61">
        <v>106</v>
      </c>
      <c r="B15" s="64" t="s">
        <v>147</v>
      </c>
      <c r="C15" s="63">
        <f>SUMIF(Пр11!C$10:C663,106,Пр11!G$10:G663)</f>
        <v>10544528</v>
      </c>
      <c r="D15" s="63">
        <f ca="1">SUMIF(Пр11!C$10:D663,106,Пр11!H$10:H663)</f>
        <v>0</v>
      </c>
      <c r="E15" s="63">
        <f>SUMIF(Пр11!$C$10:$C663,$A15,Пр11!I$10:I663)</f>
        <v>10544528</v>
      </c>
      <c r="F15" s="63">
        <f>SUMIF(Пр11!$C$10:$C663,$A15,Пр11!J$10:J663)</f>
        <v>1644528</v>
      </c>
      <c r="G15" s="63">
        <f>SUMIF(Пр11!$C$10:$C663,$A15,Пр11!K$10:K663)</f>
        <v>0</v>
      </c>
      <c r="H15" s="63">
        <f>SUMIF(Пр11!$C$10:$C663,$A15,Пр11!L$10:L663)</f>
        <v>1644528</v>
      </c>
    </row>
    <row r="16" spans="1:8" ht="32.25" hidden="1" thickBot="1" x14ac:dyDescent="0.3">
      <c r="A16" s="61">
        <v>107</v>
      </c>
      <c r="B16" s="64" t="s">
        <v>148</v>
      </c>
      <c r="C16" s="63">
        <f>SUMIF(Пр11!C$10:C664,107,Пр11!G$10:G664)</f>
        <v>0</v>
      </c>
      <c r="D16" s="63">
        <f ca="1">SUMIF(Пр11!C$10:D664,107,Пр11!H$10:H664)</f>
        <v>0</v>
      </c>
      <c r="E16" s="63">
        <f>SUMIF(Пр11!$C$10:$C664,$A16,Пр11!I$10:I664)</f>
        <v>0</v>
      </c>
      <c r="F16" s="63">
        <f>SUMIF(Пр11!$C$10:$C664,$A16,Пр11!J$10:J664)</f>
        <v>0</v>
      </c>
      <c r="G16" s="63">
        <f>SUMIF(Пр11!$C$10:$C664,$A16,Пр11!K$10:K664)</f>
        <v>0</v>
      </c>
      <c r="H16" s="63">
        <f>SUMIF(Пр11!$C$10:$C664,$A16,Пр11!L$10:L664)</f>
        <v>0</v>
      </c>
    </row>
    <row r="17" spans="1:8" ht="32.25" hidden="1" thickBot="1" x14ac:dyDescent="0.3">
      <c r="A17" s="61">
        <v>108</v>
      </c>
      <c r="B17" s="64" t="s">
        <v>149</v>
      </c>
      <c r="C17" s="63">
        <f>SUMIF(Пр11!C$10:C665,108,Пр11!G$10:G665)</f>
        <v>0</v>
      </c>
      <c r="D17" s="63">
        <f ca="1">SUMIF(Пр11!C$10:D665,108,Пр11!H$10:H665)</f>
        <v>0</v>
      </c>
      <c r="E17" s="63">
        <f>SUMIF(Пр11!$C$10:$C665,$A17,Пр11!I$10:I665)</f>
        <v>0</v>
      </c>
      <c r="F17" s="63">
        <f>SUMIF(Пр11!$C$10:$C665,$A17,Пр11!J$10:J665)</f>
        <v>0</v>
      </c>
      <c r="G17" s="63">
        <f>SUMIF(Пр11!$C$10:$C665,$A17,Пр11!K$10:K665)</f>
        <v>0</v>
      </c>
      <c r="H17" s="63">
        <f>SUMIF(Пр11!$C$10:$C665,$A17,Пр11!L$10:L665)</f>
        <v>0</v>
      </c>
    </row>
    <row r="18" spans="1:8" ht="16.5" hidden="1" thickBot="1" x14ac:dyDescent="0.3">
      <c r="A18" s="61">
        <v>109</v>
      </c>
      <c r="B18" s="64" t="s">
        <v>150</v>
      </c>
      <c r="C18" s="63">
        <f>SUMIF(Пр11!C$10:C666,109,Пр11!G$10:G666)</f>
        <v>0</v>
      </c>
      <c r="D18" s="63">
        <f ca="1">SUMIF(Пр11!C$10:D666,109,Пр11!H$10:H666)</f>
        <v>0</v>
      </c>
      <c r="E18" s="63">
        <f>SUMIF(Пр11!$C$10:$C666,$A18,Пр11!I$10:I666)</f>
        <v>0</v>
      </c>
      <c r="F18" s="63">
        <f>SUMIF(Пр11!$C$10:$C666,$A18,Пр11!J$10:J666)</f>
        <v>0</v>
      </c>
      <c r="G18" s="63">
        <f>SUMIF(Пр11!$C$10:$C666,$A18,Пр11!K$10:K666)</f>
        <v>0</v>
      </c>
      <c r="H18" s="63">
        <f>SUMIF(Пр11!$C$10:$C666,$A18,Пр11!L$10:L666)</f>
        <v>0</v>
      </c>
    </row>
    <row r="19" spans="1:8" ht="16.5" hidden="1" thickBot="1" x14ac:dyDescent="0.3">
      <c r="A19" s="61">
        <v>110</v>
      </c>
      <c r="B19" s="64" t="s">
        <v>151</v>
      </c>
      <c r="C19" s="63">
        <f>SUMIF(Пр11!C$10:C667,110,Пр11!G$10:G667)</f>
        <v>0</v>
      </c>
      <c r="D19" s="63">
        <f ca="1">SUMIF(Пр11!C$10:D667,110,Пр11!H$10:H667)</f>
        <v>0</v>
      </c>
      <c r="E19" s="63">
        <f>SUMIF(Пр11!$C$10:$C667,$A19,Пр11!I$10:I667)</f>
        <v>0</v>
      </c>
      <c r="F19" s="63">
        <f>SUMIF(Пр11!$C$10:$C667,$A19,Пр11!J$10:J667)</f>
        <v>0</v>
      </c>
      <c r="G19" s="63">
        <f>SUMIF(Пр11!$C$10:$C667,$A19,Пр11!K$10:K667)</f>
        <v>0</v>
      </c>
      <c r="H19" s="63">
        <f>SUMIF(Пр11!$C$10:$C667,$A19,Пр11!L$10:L667)</f>
        <v>0</v>
      </c>
    </row>
    <row r="20" spans="1:8" ht="16.5" thickBot="1" x14ac:dyDescent="0.3">
      <c r="A20" s="61">
        <v>111</v>
      </c>
      <c r="B20" s="64" t="s">
        <v>152</v>
      </c>
      <c r="C20" s="63">
        <f>SUMIF(Пр11!C$10:C668,111,Пр11!G$10:G668)</f>
        <v>3000000</v>
      </c>
      <c r="D20" s="63">
        <f ca="1">SUMIF(Пр11!C$10:D668,111,Пр11!H$10:H668)</f>
        <v>0</v>
      </c>
      <c r="E20" s="63">
        <f>SUMIF(Пр11!$C$10:$C668,$A20,Пр11!I$10:I668)</f>
        <v>3000000</v>
      </c>
      <c r="F20" s="63">
        <f>SUMIF(Пр11!$C$10:$C668,$A20,Пр11!J$10:J668)</f>
        <v>3000000</v>
      </c>
      <c r="G20" s="63">
        <f>SUMIF(Пр11!$C$10:$C668,$A20,Пр11!K$10:K668)</f>
        <v>0</v>
      </c>
      <c r="H20" s="63">
        <f>SUMIF(Пр11!$C$10:$C668,$A20,Пр11!L$10:L668)</f>
        <v>3000000</v>
      </c>
    </row>
    <row r="21" spans="1:8" ht="32.25" hidden="1" thickBot="1" x14ac:dyDescent="0.3">
      <c r="A21" s="61">
        <v>112</v>
      </c>
      <c r="B21" s="64" t="s">
        <v>153</v>
      </c>
      <c r="C21" s="63">
        <f>SUMIF(Пр11!C$10:C669,112,Пр11!G$10:G669)</f>
        <v>0</v>
      </c>
      <c r="D21" s="63">
        <f ca="1">SUMIF(Пр11!C$10:D669,112,Пр11!H$10:H669)</f>
        <v>0</v>
      </c>
      <c r="E21" s="63">
        <f ca="1">SUMIF(Пр11!C$10:E669,112,Пр11!I$10:I669)</f>
        <v>0</v>
      </c>
      <c r="F21" s="63">
        <f>SUMIF(Пр11!$C$10:$C669,$A21,Пр11!J$10:J669)</f>
        <v>0</v>
      </c>
      <c r="G21" s="63">
        <f>SUMIF(Пр11!$C$10:$C669,$A21,Пр11!K$10:K669)</f>
        <v>0</v>
      </c>
      <c r="H21" s="63">
        <f>SUMIF(Пр11!$C$10:$C669,$A21,Пр11!L$10:L669)</f>
        <v>0</v>
      </c>
    </row>
    <row r="22" spans="1:8" ht="16.5" thickBot="1" x14ac:dyDescent="0.3">
      <c r="A22" s="61">
        <v>113</v>
      </c>
      <c r="B22" s="64" t="s">
        <v>154</v>
      </c>
      <c r="C22" s="63">
        <f>SUMIF(Пр11!C$10:C670,113,Пр11!G$10:G670)</f>
        <v>37871738</v>
      </c>
      <c r="D22" s="63">
        <f ca="1">SUMIF(Пр11!C$10:D670,113,Пр11!H$10:H670)</f>
        <v>0</v>
      </c>
      <c r="E22" s="63">
        <f ca="1">SUMIF(Пр11!C$10:E670,113,Пр11!I$10:I670)</f>
        <v>37871738</v>
      </c>
      <c r="F22" s="63">
        <f>SUMIF(Пр11!$C$10:$C670,$A22,Пр11!J$10:J670)</f>
        <v>7334525</v>
      </c>
      <c r="G22" s="63">
        <f>SUMIF(Пр11!$C$10:$C670,$A22,Пр11!K$10:K670)</f>
        <v>0</v>
      </c>
      <c r="H22" s="63">
        <f>SUMIF(Пр11!$C$10:$C670,$A22,Пр11!L$10:L670)</f>
        <v>7334525</v>
      </c>
    </row>
    <row r="23" spans="1:8" ht="24.75" hidden="1" customHeight="1" thickBot="1" x14ac:dyDescent="0.25">
      <c r="A23" s="58">
        <v>200</v>
      </c>
      <c r="B23" s="680" t="s">
        <v>155</v>
      </c>
      <c r="C23" s="78">
        <f ca="1">SUM(C24:C32)</f>
        <v>0</v>
      </c>
      <c r="D23" s="78">
        <f t="shared" ref="D23:E23" ca="1" si="4">SUM(D24:D32)</f>
        <v>0</v>
      </c>
      <c r="E23" s="78">
        <f t="shared" ca="1" si="4"/>
        <v>0</v>
      </c>
      <c r="F23" s="78">
        <f t="shared" ref="F23" ca="1" si="5">SUM(F24:F32)</f>
        <v>0</v>
      </c>
      <c r="G23" s="78">
        <f t="shared" ref="G23" ca="1" si="6">SUM(G24:G32)</f>
        <v>0</v>
      </c>
      <c r="H23" s="78">
        <f t="shared" ref="H23" ca="1" si="7">SUM(H24:H32)</f>
        <v>0</v>
      </c>
    </row>
    <row r="24" spans="1:8" ht="16.5" hidden="1" thickBot="1" x14ac:dyDescent="0.3">
      <c r="A24" s="61">
        <v>201</v>
      </c>
      <c r="B24" s="64" t="s">
        <v>156</v>
      </c>
      <c r="C24" s="63">
        <f>SUMIF(Пр11!$C10:$C655,201,Пр11!G10:G655)</f>
        <v>0</v>
      </c>
      <c r="D24" s="63">
        <f>SUMIF(Пр11!$C10:$C655,201,Пр11!H10:H655)</f>
        <v>0</v>
      </c>
      <c r="E24" s="63">
        <f>SUMIF(Пр11!$C10:$C655,201,Пр11!I10:I655)</f>
        <v>0</v>
      </c>
      <c r="F24" s="63">
        <f>SUMIF(Пр11!$C10:$C655,201,Пр11!J10:J655)</f>
        <v>0</v>
      </c>
      <c r="G24" s="63">
        <f>SUMIF(Пр11!$C10:$C655,201,Пр11!K10:K655)</f>
        <v>0</v>
      </c>
      <c r="H24" s="63">
        <f>SUMIF(Пр11!$C10:$C655,201,Пр11!L10:L655)</f>
        <v>0</v>
      </c>
    </row>
    <row r="25" spans="1:8" ht="32.25" hidden="1" thickBot="1" x14ac:dyDescent="0.3">
      <c r="A25" s="61">
        <v>202</v>
      </c>
      <c r="B25" s="64" t="s">
        <v>157</v>
      </c>
      <c r="C25" s="63">
        <f>SUMIF(Пр11!$C10:$C655,202,Пр11!G10:G655)</f>
        <v>0</v>
      </c>
      <c r="D25" s="63">
        <f>SUMIF(Пр11!$C10:$C655,202,Пр11!H10:H655)</f>
        <v>0</v>
      </c>
      <c r="E25" s="63">
        <f>SUMIF(Пр11!$C10:$C655,202,Пр11!I10:I655)</f>
        <v>0</v>
      </c>
      <c r="F25" s="63">
        <f>SUMIF(Пр11!$C10:$C655,202,Пр11!J10:J655)</f>
        <v>0</v>
      </c>
      <c r="G25" s="63">
        <f>SUMIF(Пр11!$C10:$C655,202,Пр11!K10:K655)</f>
        <v>0</v>
      </c>
      <c r="H25" s="63">
        <f>SUMIF(Пр11!$C10:$C655,202,Пр11!L10:L655)</f>
        <v>0</v>
      </c>
    </row>
    <row r="26" spans="1:8" ht="16.5" hidden="1" thickBot="1" x14ac:dyDescent="0.3">
      <c r="A26" s="61">
        <v>203</v>
      </c>
      <c r="B26" s="64" t="s">
        <v>158</v>
      </c>
      <c r="C26" s="63">
        <f ca="1">SUMIF(Пр11!$C10:$C659,203,Пр11!G10:G655)</f>
        <v>0</v>
      </c>
      <c r="D26" s="63">
        <f ca="1">SUMIF(Пр11!$C10:$C659,203,Пр11!H10:H655)</f>
        <v>0</v>
      </c>
      <c r="E26" s="63">
        <f ca="1">SUMIF(Пр11!$C10:$C659,203,Пр11!I10:I655)</f>
        <v>0</v>
      </c>
      <c r="F26" s="63">
        <f ca="1">SUMIF(Пр11!$C10:$C659,203,Пр11!J10:J655)</f>
        <v>0</v>
      </c>
      <c r="G26" s="63">
        <f ca="1">SUMIF(Пр11!$C10:$C659,203,Пр11!K10:K655)</f>
        <v>0</v>
      </c>
      <c r="H26" s="63">
        <f ca="1">SUMIF(Пр11!$C10:$C659,203,Пр11!L10:L655)</f>
        <v>0</v>
      </c>
    </row>
    <row r="27" spans="1:8" ht="16.5" hidden="1" thickBot="1" x14ac:dyDescent="0.3">
      <c r="A27" s="61">
        <v>204</v>
      </c>
      <c r="B27" s="64" t="s">
        <v>159</v>
      </c>
      <c r="C27" s="63">
        <f ca="1">SUMIF(Пр11!$C14:$C660,204,Пр11!G14:G655)</f>
        <v>0</v>
      </c>
      <c r="D27" s="63">
        <f ca="1">SUMIF(Пр11!$C14:$C660,204,Пр11!H14:H655)</f>
        <v>0</v>
      </c>
      <c r="E27" s="63">
        <f ca="1">SUMIF(Пр11!$C14:$C660,204,Пр11!I14:I655)</f>
        <v>0</v>
      </c>
      <c r="F27" s="63">
        <f ca="1">SUMIF(Пр11!$C14:$C660,204,Пр11!J14:J655)</f>
        <v>0</v>
      </c>
      <c r="G27" s="63">
        <f ca="1">SUMIF(Пр11!$C14:$C660,204,Пр11!K14:K655)</f>
        <v>0</v>
      </c>
      <c r="H27" s="63">
        <f ca="1">SUMIF(Пр11!$C14:$C660,204,Пр11!L14:L655)</f>
        <v>0</v>
      </c>
    </row>
    <row r="28" spans="1:8" ht="48" hidden="1" thickBot="1" x14ac:dyDescent="0.3">
      <c r="A28" s="61">
        <v>205</v>
      </c>
      <c r="B28" s="64" t="s">
        <v>160</v>
      </c>
      <c r="C28" s="63">
        <f ca="1">SUMIF(Пр11!$C15:$C661,205,Пр11!G15:G655)</f>
        <v>0</v>
      </c>
      <c r="D28" s="63">
        <f ca="1">SUMIF(Пр11!$C15:$C661,205,Пр11!H15:H655)</f>
        <v>0</v>
      </c>
      <c r="E28" s="63">
        <f ca="1">SUMIF(Пр11!$C15:$C661,205,Пр11!I15:I655)</f>
        <v>0</v>
      </c>
      <c r="F28" s="63">
        <f ca="1">SUMIF(Пр11!$C15:$C661,205,Пр11!J15:J655)</f>
        <v>0</v>
      </c>
      <c r="G28" s="63">
        <f ca="1">SUMIF(Пр11!$C15:$C661,205,Пр11!K15:K655)</f>
        <v>0</v>
      </c>
      <c r="H28" s="63">
        <f ca="1">SUMIF(Пр11!$C15:$C661,205,Пр11!L15:L655)</f>
        <v>0</v>
      </c>
    </row>
    <row r="29" spans="1:8" ht="16.5" hidden="1" thickBot="1" x14ac:dyDescent="0.3">
      <c r="A29" s="61">
        <v>206</v>
      </c>
      <c r="B29" s="64" t="s">
        <v>161</v>
      </c>
      <c r="C29" s="63">
        <f ca="1">SUMIF(Пр11!$C15:$C662,206,Пр11!G15:G655)</f>
        <v>0</v>
      </c>
      <c r="D29" s="63">
        <f ca="1">SUMIF(Пр11!$C15:$C662,206,Пр11!H15:H655)</f>
        <v>0</v>
      </c>
      <c r="E29" s="63">
        <f ca="1">SUMIF(Пр11!$C15:$C662,206,Пр11!I15:I655)</f>
        <v>0</v>
      </c>
      <c r="F29" s="63">
        <f ca="1">SUMIF(Пр11!$C15:$C662,206,Пр11!J15:J655)</f>
        <v>0</v>
      </c>
      <c r="G29" s="63">
        <f ca="1">SUMIF(Пр11!$C15:$C662,206,Пр11!K15:K655)</f>
        <v>0</v>
      </c>
      <c r="H29" s="63">
        <f ca="1">SUMIF(Пр11!$C15:$C662,206,Пр11!L15:L655)</f>
        <v>0</v>
      </c>
    </row>
    <row r="30" spans="1:8" ht="32.25" hidden="1" thickBot="1" x14ac:dyDescent="0.3">
      <c r="A30" s="61">
        <v>207</v>
      </c>
      <c r="B30" s="64" t="s">
        <v>162</v>
      </c>
      <c r="C30" s="63">
        <f ca="1">SUMIF(Пр11!$C16:$C663,207,Пр11!G16:G655)</f>
        <v>0</v>
      </c>
      <c r="D30" s="63">
        <f ca="1">SUMIF(Пр11!$C16:$C663,207,Пр11!H16:H655)</f>
        <v>0</v>
      </c>
      <c r="E30" s="63">
        <f ca="1">SUMIF(Пр11!$C16:$C663,207,Пр11!I16:I655)</f>
        <v>0</v>
      </c>
      <c r="F30" s="63">
        <f ca="1">SUMIF(Пр11!$C16:$C663,207,Пр11!J16:J655)</f>
        <v>0</v>
      </c>
      <c r="G30" s="63">
        <f ca="1">SUMIF(Пр11!$C16:$C663,207,Пр11!K16:K655)</f>
        <v>0</v>
      </c>
      <c r="H30" s="63">
        <f ca="1">SUMIF(Пр11!$C16:$C663,207,Пр11!L16:L655)</f>
        <v>0</v>
      </c>
    </row>
    <row r="31" spans="1:8" ht="32.25" hidden="1" thickBot="1" x14ac:dyDescent="0.3">
      <c r="A31" s="61">
        <v>208</v>
      </c>
      <c r="B31" s="64" t="s">
        <v>163</v>
      </c>
      <c r="C31" s="63">
        <f ca="1">SUMIF(Пр11!$C17:$C664,208,Пр11!G17:G655)</f>
        <v>0</v>
      </c>
      <c r="D31" s="63">
        <f ca="1">SUMIF(Пр11!$C17:$C664,208,Пр11!H17:H655)</f>
        <v>0</v>
      </c>
      <c r="E31" s="63">
        <f ca="1">SUMIF(Пр11!$C17:$C664,208,Пр11!I17:I655)</f>
        <v>0</v>
      </c>
      <c r="F31" s="63">
        <f ca="1">SUMIF(Пр11!$C17:$C664,208,Пр11!J17:J655)</f>
        <v>0</v>
      </c>
      <c r="G31" s="63">
        <f ca="1">SUMIF(Пр11!$C17:$C664,208,Пр11!K17:K655)</f>
        <v>0</v>
      </c>
      <c r="H31" s="63">
        <f ca="1">SUMIF(Пр11!$C17:$C664,208,Пр11!L17:L655)</f>
        <v>0</v>
      </c>
    </row>
    <row r="32" spans="1:8" ht="32.25" hidden="1" thickBot="1" x14ac:dyDescent="0.3">
      <c r="A32" s="61">
        <v>209</v>
      </c>
      <c r="B32" s="64" t="s">
        <v>164</v>
      </c>
      <c r="C32" s="63">
        <f ca="1">SUMIF(Пр11!$C18:$C665,209,Пр11!G18:G655)</f>
        <v>0</v>
      </c>
      <c r="D32" s="63">
        <f ca="1">SUMIF(Пр11!$C18:$C665,209,Пр11!H18:H655)</f>
        <v>0</v>
      </c>
      <c r="E32" s="63">
        <f ca="1">SUMIF(Пр11!$C18:$C665,209,Пр11!I18:I655)</f>
        <v>0</v>
      </c>
      <c r="F32" s="63">
        <f ca="1">SUMIF(Пр11!$C18:$C665,209,Пр11!J18:J655)</f>
        <v>0</v>
      </c>
      <c r="G32" s="63">
        <f ca="1">SUMIF(Пр11!$C18:$C665,209,Пр11!K18:K655)</f>
        <v>0</v>
      </c>
      <c r="H32" s="63">
        <f ca="1">SUMIF(Пр11!$C18:$C665,209,Пр11!L18:L655)</f>
        <v>0</v>
      </c>
    </row>
    <row r="33" spans="1:8" ht="36" hidden="1" customHeight="1" thickBot="1" x14ac:dyDescent="0.25">
      <c r="A33" s="58">
        <v>300</v>
      </c>
      <c r="B33" s="680" t="s">
        <v>165</v>
      </c>
      <c r="C33" s="78">
        <f ca="1">SUM(C34:C45)</f>
        <v>2700000</v>
      </c>
      <c r="D33" s="78">
        <f t="shared" ref="D33:E33" ca="1" si="8">SUM(D34:D45)</f>
        <v>0</v>
      </c>
      <c r="E33" s="78">
        <f t="shared" ca="1" si="8"/>
        <v>2700000</v>
      </c>
      <c r="F33" s="78">
        <f t="shared" ref="F33:H33" ca="1" si="9">SUM(F34:F45)</f>
        <v>2700000</v>
      </c>
      <c r="G33" s="78">
        <f t="shared" ca="1" si="9"/>
        <v>0</v>
      </c>
      <c r="H33" s="78">
        <f t="shared" ca="1" si="9"/>
        <v>2700000</v>
      </c>
    </row>
    <row r="34" spans="1:8" ht="16.5" hidden="1" thickBot="1" x14ac:dyDescent="0.3">
      <c r="A34" s="61">
        <v>303</v>
      </c>
      <c r="B34" s="64" t="s">
        <v>166</v>
      </c>
      <c r="C34" s="63">
        <f>SUMIF(Пр11!$C10:$C655,303,Пр11!G10:G655)</f>
        <v>0</v>
      </c>
      <c r="D34" s="63">
        <f>SUMIF(Пр11!$C10:$C655,303,Пр11!H10:H655)</f>
        <v>0</v>
      </c>
      <c r="E34" s="63">
        <f>SUMIF(Пр11!$C10:$C655,303,Пр11!I10:I655)</f>
        <v>0</v>
      </c>
      <c r="F34" s="63">
        <f>SUMIF(Пр11!$C10:$C655,303,Пр11!J10:J655)</f>
        <v>0</v>
      </c>
      <c r="G34" s="63">
        <f>SUMIF(Пр11!$C10:$C655,303,Пр11!K10:K655)</f>
        <v>0</v>
      </c>
      <c r="H34" s="63">
        <f>SUMIF(Пр11!$C10:$C655,303,Пр11!L10:L655)</f>
        <v>0</v>
      </c>
    </row>
    <row r="35" spans="1:8" ht="16.5" hidden="1" thickBot="1" x14ac:dyDescent="0.3">
      <c r="A35" s="61">
        <v>304</v>
      </c>
      <c r="B35" s="64" t="s">
        <v>167</v>
      </c>
      <c r="C35" s="63">
        <f>SUMIF(Пр11!$C11:$C655,304,Пр11!G11:G655)</f>
        <v>0</v>
      </c>
      <c r="D35" s="63">
        <f>SUMIF(Пр11!$C11:$C655,304,Пр11!H11:H655)</f>
        <v>0</v>
      </c>
      <c r="E35" s="63">
        <f>SUMIF(Пр11!$C11:$C655,304,Пр11!I11:I655)</f>
        <v>0</v>
      </c>
      <c r="F35" s="63">
        <f>SUMIF(Пр11!$C11:$C655,304,Пр11!J11:J655)</f>
        <v>0</v>
      </c>
      <c r="G35" s="63">
        <f>SUMIF(Пр11!$C11:$C655,304,Пр11!K11:K655)</f>
        <v>0</v>
      </c>
      <c r="H35" s="63">
        <f>SUMIF(Пр11!$C11:$C655,304,Пр11!L11:L655)</f>
        <v>0</v>
      </c>
    </row>
    <row r="36" spans="1:8" ht="16.5" hidden="1" thickBot="1" x14ac:dyDescent="0.3">
      <c r="A36" s="61">
        <v>305</v>
      </c>
      <c r="B36" s="64" t="s">
        <v>168</v>
      </c>
      <c r="C36" s="63">
        <f ca="1">SUMIF(Пр11!$C12:$C659,305,Пр11!G12:G655)</f>
        <v>0</v>
      </c>
      <c r="D36" s="63">
        <f ca="1">SUMIF(Пр11!$C12:$C659,305,Пр11!H12:H655)</f>
        <v>0</v>
      </c>
      <c r="E36" s="63">
        <f ca="1">SUMIF(Пр11!$C12:$C659,305,Пр11!I12:I655)</f>
        <v>0</v>
      </c>
      <c r="F36" s="63">
        <f ca="1">SUMIF(Пр11!$C12:$C659,305,Пр11!J12:J655)</f>
        <v>0</v>
      </c>
      <c r="G36" s="63">
        <f ca="1">SUMIF(Пр11!$C12:$C659,305,Пр11!K12:K655)</f>
        <v>0</v>
      </c>
      <c r="H36" s="63">
        <f ca="1">SUMIF(Пр11!$C12:$C659,305,Пр11!L12:L655)</f>
        <v>0</v>
      </c>
    </row>
    <row r="37" spans="1:8" ht="16.5" hidden="1" thickBot="1" x14ac:dyDescent="0.3">
      <c r="A37" s="61">
        <v>306</v>
      </c>
      <c r="B37" s="64" t="s">
        <v>169</v>
      </c>
      <c r="C37" s="63">
        <f ca="1">SUMIF(Пр11!$C14:$C660,306,Пр11!G14:G655)</f>
        <v>0</v>
      </c>
      <c r="D37" s="63">
        <f ca="1">SUMIF(Пр11!$C14:$C660,306,Пр11!H14:H655)</f>
        <v>0</v>
      </c>
      <c r="E37" s="63">
        <f ca="1">SUMIF(Пр11!$C14:$C660,306,Пр11!I14:I655)</f>
        <v>0</v>
      </c>
      <c r="F37" s="63">
        <f ca="1">SUMIF(Пр11!$C14:$C660,306,Пр11!J14:J655)</f>
        <v>0</v>
      </c>
      <c r="G37" s="63">
        <f ca="1">SUMIF(Пр11!$C14:$C660,306,Пр11!K14:K655)</f>
        <v>0</v>
      </c>
      <c r="H37" s="63">
        <f ca="1">SUMIF(Пр11!$C14:$C660,306,Пр11!L14:L655)</f>
        <v>0</v>
      </c>
    </row>
    <row r="38" spans="1:8" ht="16.5" hidden="1" thickBot="1" x14ac:dyDescent="0.3">
      <c r="A38" s="61">
        <v>307</v>
      </c>
      <c r="B38" s="64" t="s">
        <v>170</v>
      </c>
      <c r="C38" s="63">
        <f ca="1">SUMIF(Пр11!$C15:$C661,307,Пр11!G15:G655)</f>
        <v>0</v>
      </c>
      <c r="D38" s="63">
        <f ca="1">SUMIF(Пр11!$C15:$C661,307,Пр11!H15:H655)</f>
        <v>0</v>
      </c>
      <c r="E38" s="63">
        <f ca="1">SUMIF(Пр11!$C15:$C661,307,Пр11!I15:I655)</f>
        <v>0</v>
      </c>
      <c r="F38" s="63">
        <f ca="1">SUMIF(Пр11!$C15:$C661,307,Пр11!J15:J655)</f>
        <v>0</v>
      </c>
      <c r="G38" s="63">
        <f ca="1">SUMIF(Пр11!$C15:$C661,307,Пр11!K15:K655)</f>
        <v>0</v>
      </c>
      <c r="H38" s="63">
        <f ca="1">SUMIF(Пр11!$C15:$C661,307,Пр11!L15:L655)</f>
        <v>0</v>
      </c>
    </row>
    <row r="39" spans="1:8" ht="32.25" hidden="1" thickBot="1" x14ac:dyDescent="0.3">
      <c r="A39" s="61">
        <v>308</v>
      </c>
      <c r="B39" s="64" t="s">
        <v>171</v>
      </c>
      <c r="C39" s="63">
        <f ca="1">SUMIF(Пр11!$C15:$C662,308,Пр11!G15:G655)</f>
        <v>0</v>
      </c>
      <c r="D39" s="63">
        <f ca="1">SUMIF(Пр11!$C15:$C662,308,Пр11!H15:H655)</f>
        <v>0</v>
      </c>
      <c r="E39" s="63">
        <f ca="1">SUMIF(Пр11!$C15:$C662,308,Пр11!I15:I655)</f>
        <v>0</v>
      </c>
      <c r="F39" s="63">
        <f ca="1">SUMIF(Пр11!$C15:$C662,308,Пр11!J15:J655)</f>
        <v>0</v>
      </c>
      <c r="G39" s="63">
        <f ca="1">SUMIF(Пр11!$C15:$C662,308,Пр11!K15:K655)</f>
        <v>0</v>
      </c>
      <c r="H39" s="63">
        <f ca="1">SUMIF(Пр11!$C15:$C662,308,Пр11!L15:L655)</f>
        <v>0</v>
      </c>
    </row>
    <row r="40" spans="1:8" ht="23.25" hidden="1" customHeight="1" thickBot="1" x14ac:dyDescent="0.3">
      <c r="A40" s="61">
        <v>309</v>
      </c>
      <c r="B40" s="87" t="s">
        <v>1559</v>
      </c>
      <c r="C40" s="63">
        <f ca="1">SUMIF(Пр11!$C16:$C663,309,Пр11!G16:G655)</f>
        <v>0</v>
      </c>
      <c r="D40" s="63">
        <f ca="1">SUMIF(Пр11!$C16:$C663,309,Пр11!H16:H655)</f>
        <v>0</v>
      </c>
      <c r="E40" s="63">
        <f ca="1">SUMIF(Пр11!$C16:$C663,309,Пр11!I16:I655)</f>
        <v>0</v>
      </c>
      <c r="F40" s="63">
        <f ca="1">SUMIF(Пр11!$C16:$C663,309,Пр11!J16:J655)</f>
        <v>0</v>
      </c>
      <c r="G40" s="63">
        <f ca="1">SUMIF(Пр11!$C16:$C663,309,Пр11!K16:K655)</f>
        <v>0</v>
      </c>
      <c r="H40" s="63">
        <f ca="1">SUMIF(Пр11!$C16:$C663,309,Пр11!L16:L655)</f>
        <v>0</v>
      </c>
    </row>
    <row r="41" spans="1:8" ht="51" hidden="1" customHeight="1" thickBot="1" x14ac:dyDescent="0.3">
      <c r="A41" s="61">
        <v>310</v>
      </c>
      <c r="B41" s="87" t="s">
        <v>1560</v>
      </c>
      <c r="C41" s="63">
        <f ca="1">SUMIF(Пр11!$C17:$C664,310,Пр11!G17:G655)</f>
        <v>2500000</v>
      </c>
      <c r="D41" s="63">
        <f ca="1">SUMIF(Пр11!$C17:$C664,310,Пр11!H17:H655)</f>
        <v>0</v>
      </c>
      <c r="E41" s="63">
        <f ca="1">SUMIF(Пр11!$C17:$C664,310,Пр11!I17:I655)</f>
        <v>2500000</v>
      </c>
      <c r="F41" s="63">
        <f ca="1">SUMIF(Пр11!$C17:$C664,310,Пр11!J17:J655)</f>
        <v>2500000</v>
      </c>
      <c r="G41" s="63">
        <f ca="1">SUMIF(Пр11!$C17:$C664,310,Пр11!K17:K655)</f>
        <v>0</v>
      </c>
      <c r="H41" s="63">
        <f ca="1">SUMIF(Пр11!$C17:$C664,310,Пр11!L17:L655)</f>
        <v>2500000</v>
      </c>
    </row>
    <row r="42" spans="1:8" ht="16.5" hidden="1" thickBot="1" x14ac:dyDescent="0.3">
      <c r="A42" s="61">
        <v>311</v>
      </c>
      <c r="B42" s="64" t="s">
        <v>172</v>
      </c>
      <c r="C42" s="63">
        <f ca="1">SUMIF(Пр11!$C18:$C665,311,Пр11!G18:G655)</f>
        <v>0</v>
      </c>
      <c r="D42" s="63">
        <f ca="1">SUMIF(Пр11!$C18:$C665,311,Пр11!H18:H655)</f>
        <v>0</v>
      </c>
      <c r="E42" s="63">
        <f ca="1">SUMIF(Пр11!$C18:$C665,311,Пр11!I18:I655)</f>
        <v>0</v>
      </c>
      <c r="F42" s="63">
        <f ca="1">SUMIF(Пр11!$C18:$C665,311,Пр11!J18:J655)</f>
        <v>0</v>
      </c>
      <c r="G42" s="63">
        <f ca="1">SUMIF(Пр11!$C18:$C665,311,Пр11!K18:K655)</f>
        <v>0</v>
      </c>
      <c r="H42" s="63">
        <f ca="1">SUMIF(Пр11!$C18:$C665,311,Пр11!L18:L655)</f>
        <v>0</v>
      </c>
    </row>
    <row r="43" spans="1:8" ht="48" hidden="1" thickBot="1" x14ac:dyDescent="0.3">
      <c r="A43" s="61">
        <v>312</v>
      </c>
      <c r="B43" s="64" t="s">
        <v>173</v>
      </c>
      <c r="C43" s="63">
        <f ca="1">SUMIF(Пр11!$C27:$C666,312,Пр11!G27:G655)</f>
        <v>0</v>
      </c>
      <c r="D43" s="63">
        <f ca="1">SUMIF(Пр11!$C27:$C666,312,Пр11!H27:H655)</f>
        <v>0</v>
      </c>
      <c r="E43" s="63">
        <f ca="1">SUMIF(Пр11!$C27:$C666,312,Пр11!I27:I655)</f>
        <v>0</v>
      </c>
      <c r="F43" s="63">
        <f ca="1">SUMIF(Пр11!$C27:$C666,312,Пр11!J27:J655)</f>
        <v>0</v>
      </c>
      <c r="G43" s="63">
        <f ca="1">SUMIF(Пр11!$C27:$C666,312,Пр11!K27:K655)</f>
        <v>0</v>
      </c>
      <c r="H43" s="63">
        <f ca="1">SUMIF(Пр11!$C27:$C666,312,Пр11!L27:L655)</f>
        <v>0</v>
      </c>
    </row>
    <row r="44" spans="1:8" ht="48" hidden="1" thickBot="1" x14ac:dyDescent="0.3">
      <c r="A44" s="61">
        <v>313</v>
      </c>
      <c r="B44" s="64" t="s">
        <v>174</v>
      </c>
      <c r="C44" s="63">
        <f ca="1">SUMIF(Пр11!$C27:$C667,313,Пр11!G27:G655)</f>
        <v>0</v>
      </c>
      <c r="D44" s="63">
        <f ca="1">SUMIF(Пр11!$C27:$C667,313,Пр11!H27:H655)</f>
        <v>0</v>
      </c>
      <c r="E44" s="63">
        <f ca="1">SUMIF(Пр11!$C27:$C667,313,Пр11!I27:I655)</f>
        <v>0</v>
      </c>
      <c r="F44" s="63">
        <f ca="1">SUMIF(Пр11!$C27:$C667,313,Пр11!J27:J655)</f>
        <v>0</v>
      </c>
      <c r="G44" s="63">
        <f ca="1">SUMIF(Пр11!$C27:$C667,313,Пр11!K27:K655)</f>
        <v>0</v>
      </c>
      <c r="H44" s="63">
        <f ca="1">SUMIF(Пр11!$C27:$C667,313,Пр11!L27:L655)</f>
        <v>0</v>
      </c>
    </row>
    <row r="45" spans="1:8" ht="32.25" hidden="1" customHeight="1" thickBot="1" x14ac:dyDescent="0.3">
      <c r="A45" s="61">
        <v>314</v>
      </c>
      <c r="B45" s="64" t="s">
        <v>175</v>
      </c>
      <c r="C45" s="63">
        <f ca="1">SUMIF(Пр11!$C27:$C668,314,Пр11!G27:G655)</f>
        <v>200000</v>
      </c>
      <c r="D45" s="63">
        <f ca="1">SUMIF(Пр11!$C27:$C668,314,Пр11!H27:H655)</f>
        <v>0</v>
      </c>
      <c r="E45" s="63">
        <f ca="1">SUMIF(Пр11!$C27:$C668,314,Пр11!I27:I655)</f>
        <v>200000</v>
      </c>
      <c r="F45" s="63">
        <f ca="1">SUMIF(Пр11!$C27:$C668,314,Пр11!J27:J655)</f>
        <v>200000</v>
      </c>
      <c r="G45" s="63">
        <f ca="1">SUMIF(Пр11!$C27:$C668,314,Пр11!K27:K655)</f>
        <v>0</v>
      </c>
      <c r="H45" s="63">
        <f ca="1">SUMIF(Пр11!$C27:$C668,314,Пр11!L27:L655)</f>
        <v>200000</v>
      </c>
    </row>
    <row r="46" spans="1:8" ht="16.5" thickBot="1" x14ac:dyDescent="0.25">
      <c r="A46" s="58">
        <v>400</v>
      </c>
      <c r="B46" s="680" t="s">
        <v>176</v>
      </c>
      <c r="C46" s="78">
        <f ca="1">SUM(C47:C58)</f>
        <v>273552458</v>
      </c>
      <c r="D46" s="78">
        <f t="shared" ref="D46:E46" ca="1" si="10">SUM(D47:D58)</f>
        <v>-101790000</v>
      </c>
      <c r="E46" s="78">
        <f t="shared" ca="1" si="10"/>
        <v>171762458</v>
      </c>
      <c r="F46" s="78">
        <f t="shared" ref="F46" ca="1" si="11">SUM(F47:F58)</f>
        <v>155666428</v>
      </c>
      <c r="G46" s="78">
        <f t="shared" ref="G46" ca="1" si="12">SUM(G47:G58)</f>
        <v>0</v>
      </c>
      <c r="H46" s="78">
        <f t="shared" ref="H46" ca="1" si="13">SUM(H47:H58)</f>
        <v>155666428</v>
      </c>
    </row>
    <row r="47" spans="1:8" ht="15.75" hidden="1" customHeight="1" thickBot="1" x14ac:dyDescent="0.3">
      <c r="A47" s="61">
        <v>401</v>
      </c>
      <c r="B47" s="66" t="s">
        <v>177</v>
      </c>
      <c r="C47" s="63">
        <f>SUMIF(Пр11!$C10:$C655,401,Пр11!G10:G655)</f>
        <v>0</v>
      </c>
      <c r="D47" s="63">
        <f>SUMIF(Пр11!$C10:$C655,401,Пр11!H10:H655)</f>
        <v>0</v>
      </c>
      <c r="E47" s="63">
        <f>SUMIF(Пр11!$C10:$C655,401,Пр11!I10:I655)</f>
        <v>0</v>
      </c>
      <c r="F47" s="63">
        <f>SUMIF(Пр11!$C10:$C655,401,Пр11!J10:J655)</f>
        <v>0</v>
      </c>
      <c r="G47" s="63">
        <f>SUMIF(Пр11!$C10:$C655,401,Пр11!K10:K655)</f>
        <v>0</v>
      </c>
      <c r="H47" s="63">
        <f>SUMIF(Пр11!$C10:$C655,401,Пр11!L10:L655)</f>
        <v>0</v>
      </c>
    </row>
    <row r="48" spans="1:8" ht="16.5" hidden="1" thickBot="1" x14ac:dyDescent="0.3">
      <c r="A48" s="61">
        <v>402</v>
      </c>
      <c r="B48" s="62" t="s">
        <v>178</v>
      </c>
      <c r="C48" s="63">
        <f>SUMIF(Пр11!$C11:$C655,402,Пр11!G11:G655)</f>
        <v>0</v>
      </c>
      <c r="D48" s="63">
        <f>SUMIF(Пр11!$C11:$C655,402,Пр11!H11:H655)</f>
        <v>0</v>
      </c>
      <c r="E48" s="63">
        <f>SUMIF(Пр11!$C11:$C655,402,Пр11!I11:I655)</f>
        <v>0</v>
      </c>
      <c r="F48" s="63">
        <f>SUMIF(Пр11!$C11:$C655,402,Пр11!J11:J655)</f>
        <v>0</v>
      </c>
      <c r="G48" s="63">
        <f>SUMIF(Пр11!$C11:$C655,402,Пр11!K11:K655)</f>
        <v>0</v>
      </c>
      <c r="H48" s="63">
        <f>SUMIF(Пр11!$C11:$C655,402,Пр11!L11:L655)</f>
        <v>0</v>
      </c>
    </row>
    <row r="49" spans="1:8" ht="32.25" hidden="1" thickBot="1" x14ac:dyDescent="0.3">
      <c r="A49" s="61">
        <v>403</v>
      </c>
      <c r="B49" s="64" t="s">
        <v>179</v>
      </c>
      <c r="C49" s="63">
        <f ca="1">SUMIF(Пр11!$C12:$C659,403,Пр11!G12:G655)</f>
        <v>0</v>
      </c>
      <c r="D49" s="63">
        <f ca="1">SUMIF(Пр11!$C12:$C659,403,Пр11!H12:H655)</f>
        <v>0</v>
      </c>
      <c r="E49" s="63">
        <f ca="1">SUMIF(Пр11!$C12:$C659,403,Пр11!I12:I655)</f>
        <v>0</v>
      </c>
      <c r="F49" s="63">
        <f ca="1">SUMIF(Пр11!$C12:$C659,403,Пр11!J12:J655)</f>
        <v>0</v>
      </c>
      <c r="G49" s="63">
        <f ca="1">SUMIF(Пр11!$C12:$C659,403,Пр11!K12:K655)</f>
        <v>0</v>
      </c>
      <c r="H49" s="63">
        <f ca="1">SUMIF(Пр11!$C12:$C659,403,Пр11!L12:L655)</f>
        <v>0</v>
      </c>
    </row>
    <row r="50" spans="1:8" ht="16.5" hidden="1" thickBot="1" x14ac:dyDescent="0.3">
      <c r="A50" s="61">
        <v>404</v>
      </c>
      <c r="B50" s="64" t="s">
        <v>180</v>
      </c>
      <c r="C50" s="63">
        <f ca="1">SUMIF(Пр11!$C14:$C660,404,Пр11!G14:G655)</f>
        <v>0</v>
      </c>
      <c r="D50" s="63">
        <f ca="1">SUMIF(Пр11!$C14:$C660,404,Пр11!H14:H655)</f>
        <v>0</v>
      </c>
      <c r="E50" s="63">
        <f ca="1">SUMIF(Пр11!$C14:$C660,404,Пр11!I14:I655)</f>
        <v>0</v>
      </c>
      <c r="F50" s="63">
        <f ca="1">SUMIF(Пр11!$C14:$C660,404,Пр11!J14:J655)</f>
        <v>0</v>
      </c>
      <c r="G50" s="63">
        <f ca="1">SUMIF(Пр11!$C14:$C660,404,Пр11!K14:K655)</f>
        <v>0</v>
      </c>
      <c r="H50" s="63">
        <f ca="1">SUMIF(Пр11!$C14:$C660,404,Пр11!L14:L655)</f>
        <v>0</v>
      </c>
    </row>
    <row r="51" spans="1:8" ht="16.5" thickBot="1" x14ac:dyDescent="0.3">
      <c r="A51" s="61">
        <v>405</v>
      </c>
      <c r="B51" s="64" t="s">
        <v>181</v>
      </c>
      <c r="C51" s="63">
        <f ca="1">SUMIF(Пр11!$C15:$C661,405,Пр11!G15:G655)</f>
        <v>762090</v>
      </c>
      <c r="D51" s="63">
        <f ca="1">SUMIF(Пр11!$C15:$C661,405,Пр11!H15:H655)</f>
        <v>0</v>
      </c>
      <c r="E51" s="63">
        <f ca="1">SUMIF(Пр11!$C15:$C661,405,Пр11!I15:I655)</f>
        <v>762090</v>
      </c>
      <c r="F51" s="63">
        <f ca="1">SUMIF(Пр11!$C15:$C661,405,Пр11!J15:J655)</f>
        <v>762090</v>
      </c>
      <c r="G51" s="63">
        <f ca="1">SUMIF(Пр11!$C15:$C661,405,Пр11!K15:K655)</f>
        <v>0</v>
      </c>
      <c r="H51" s="63">
        <f ca="1">SUMIF(Пр11!$C15:$C661,405,Пр11!L15:L655)</f>
        <v>762090</v>
      </c>
    </row>
    <row r="52" spans="1:8" ht="16.5" hidden="1" thickBot="1" x14ac:dyDescent="0.3">
      <c r="A52" s="61">
        <v>406</v>
      </c>
      <c r="B52" s="64" t="s">
        <v>182</v>
      </c>
      <c r="C52" s="63">
        <f ca="1">SUMIF(Пр11!$C15:$C662,406,Пр11!G15:G655)</f>
        <v>0</v>
      </c>
      <c r="D52" s="63">
        <f ca="1">SUMIF(Пр11!$C15:$C662,406,Пр11!H15:H655)</f>
        <v>0</v>
      </c>
      <c r="E52" s="63">
        <f ca="1">SUMIF(Пр11!$C15:$C662,406,Пр11!I15:I655)</f>
        <v>0</v>
      </c>
      <c r="F52" s="63">
        <f ca="1">SUMIF(Пр11!$C15:$C662,406,Пр11!J15:J655)</f>
        <v>0</v>
      </c>
      <c r="G52" s="63">
        <f ca="1">SUMIF(Пр11!$C15:$C662,406,Пр11!K15:K655)</f>
        <v>0</v>
      </c>
      <c r="H52" s="63">
        <f ca="1">SUMIF(Пр11!$C15:$C662,406,Пр11!L15:L655)</f>
        <v>0</v>
      </c>
    </row>
    <row r="53" spans="1:8" ht="16.5" hidden="1" thickBot="1" x14ac:dyDescent="0.3">
      <c r="A53" s="61">
        <v>407</v>
      </c>
      <c r="B53" s="64" t="s">
        <v>183</v>
      </c>
      <c r="C53" s="63">
        <f ca="1">SUMIF(Пр11!$C16:$C663,407,Пр11!G16:G655)</f>
        <v>0</v>
      </c>
      <c r="D53" s="63">
        <f ca="1">SUMIF(Пр11!$C16:$C663,407,Пр11!H16:H655)</f>
        <v>0</v>
      </c>
      <c r="E53" s="63">
        <f ca="1">SUMIF(Пр11!$C16:$C663,407,Пр11!I16:I655)</f>
        <v>0</v>
      </c>
      <c r="F53" s="63">
        <f ca="1">SUMIF(Пр11!$C16:$C663,407,Пр11!J16:J655)</f>
        <v>0</v>
      </c>
      <c r="G53" s="63">
        <f ca="1">SUMIF(Пр11!$C16:$C663,407,Пр11!K16:K655)</f>
        <v>0</v>
      </c>
      <c r="H53" s="63">
        <f ca="1">SUMIF(Пр11!$C16:$C663,407,Пр11!L16:L655)</f>
        <v>0</v>
      </c>
    </row>
    <row r="54" spans="1:8" ht="16.5" thickBot="1" x14ac:dyDescent="0.3">
      <c r="A54" s="61">
        <v>408</v>
      </c>
      <c r="B54" s="64" t="s">
        <v>184</v>
      </c>
      <c r="C54" s="63">
        <f ca="1">SUMIF(Пр11!$C17:$C664,408,Пр11!G17:G655)</f>
        <v>11830000</v>
      </c>
      <c r="D54" s="63">
        <f ca="1">SUMIF(Пр11!$C17:$C664,408,Пр11!H17:H655)</f>
        <v>0</v>
      </c>
      <c r="E54" s="63">
        <f ca="1">SUMIF(Пр11!$C17:$C664,408,Пр11!I17:I655)</f>
        <v>11830000</v>
      </c>
      <c r="F54" s="63">
        <f ca="1">SUMIF(Пр11!$C17:$C664,408,Пр11!J17:J655)</f>
        <v>0</v>
      </c>
      <c r="G54" s="63">
        <f ca="1">SUMIF(Пр11!$C17:$C664,408,Пр11!K17:K655)</f>
        <v>0</v>
      </c>
      <c r="H54" s="63">
        <f ca="1">SUMIF(Пр11!$C17:$C664,408,Пр11!L17:L655)</f>
        <v>0</v>
      </c>
    </row>
    <row r="55" spans="1:8" ht="16.5" thickBot="1" x14ac:dyDescent="0.3">
      <c r="A55" s="61">
        <v>409</v>
      </c>
      <c r="B55" s="64" t="s">
        <v>185</v>
      </c>
      <c r="C55" s="63">
        <f ca="1">SUMIF(Пр11!$C18:$C665,409,Пр11!G18:G655)</f>
        <v>260440368</v>
      </c>
      <c r="D55" s="63">
        <f ca="1">SUMIF(Пр11!$C18:$C665,409,Пр11!H18:H655)</f>
        <v>-101790000</v>
      </c>
      <c r="E55" s="63">
        <f>Пр11!I102</f>
        <v>158650368</v>
      </c>
      <c r="F55" s="63">
        <f ca="1">SUMIF(Пр11!$C18:$C665,409,Пр11!J18:J655)</f>
        <v>154504338</v>
      </c>
      <c r="G55" s="63">
        <f ca="1">SUMIF(Пр11!$C18:$C665,409,Пр11!K18:K655)</f>
        <v>0</v>
      </c>
      <c r="H55" s="63">
        <f>Пр11!L102</f>
        <v>154504338</v>
      </c>
    </row>
    <row r="56" spans="1:8" ht="16.5" hidden="1" thickBot="1" x14ac:dyDescent="0.3">
      <c r="A56" s="61">
        <v>410</v>
      </c>
      <c r="B56" s="64" t="s">
        <v>186</v>
      </c>
      <c r="C56" s="63">
        <f ca="1">SUMIF(Пр11!$C27:$C666,410,Пр11!G27:G655)</f>
        <v>0</v>
      </c>
      <c r="D56" s="63">
        <f ca="1">SUMIF(Пр11!$C27:$C666,410,Пр11!H27:H655)</f>
        <v>0</v>
      </c>
      <c r="E56" s="63">
        <f ca="1">SUMIF(Пр11!$C27:$C666,410,Пр11!I27:I655)</f>
        <v>0</v>
      </c>
      <c r="F56" s="63">
        <f ca="1">SUMIF(Пр11!$C27:$C666,410,Пр11!J27:J655)</f>
        <v>0</v>
      </c>
      <c r="G56" s="63">
        <f ca="1">SUMIF(Пр11!$C27:$C666,410,Пр11!K27:K655)</f>
        <v>0</v>
      </c>
      <c r="H56" s="63">
        <f ca="1">SUMIF(Пр11!$C27:$C666,410,Пр11!L27:L655)</f>
        <v>0</v>
      </c>
    </row>
    <row r="57" spans="1:8" ht="32.25" hidden="1" thickBot="1" x14ac:dyDescent="0.3">
      <c r="A57" s="61">
        <v>411</v>
      </c>
      <c r="B57" s="64" t="s">
        <v>187</v>
      </c>
      <c r="C57" s="63">
        <f ca="1">SUMIF(Пр11!$C27:$C667,411,Пр11!G27:G655)</f>
        <v>0</v>
      </c>
      <c r="D57" s="63">
        <f ca="1">SUMIF(Пр11!$C27:$C667,411,Пр11!H27:H655)</f>
        <v>0</v>
      </c>
      <c r="E57" s="63">
        <f ca="1">SUMIF(Пр11!$C27:$C667,411,Пр11!I27:I655)</f>
        <v>0</v>
      </c>
      <c r="F57" s="63">
        <f ca="1">SUMIF(Пр11!$C27:$C667,411,Пр11!J27:J655)</f>
        <v>0</v>
      </c>
      <c r="G57" s="63">
        <f ca="1">SUMIF(Пр11!$C27:$C667,411,Пр11!K27:K655)</f>
        <v>0</v>
      </c>
      <c r="H57" s="63">
        <f ca="1">SUMIF(Пр11!$C27:$C667,411,Пр11!L27:L655)</f>
        <v>0</v>
      </c>
    </row>
    <row r="58" spans="1:8" ht="32.25" thickBot="1" x14ac:dyDescent="0.3">
      <c r="A58" s="61">
        <v>412</v>
      </c>
      <c r="B58" s="64" t="s">
        <v>188</v>
      </c>
      <c r="C58" s="63">
        <f ca="1">SUMIF(Пр11!$C10:$C668,412,Пр11!G10:G655)</f>
        <v>520000</v>
      </c>
      <c r="D58" s="63">
        <f ca="1">SUMIF(Пр11!$C10:$C668,412,Пр11!H10:H655)</f>
        <v>0</v>
      </c>
      <c r="E58" s="63">
        <f ca="1">SUMIF(Пр11!$C21:$C668,A58,Пр11!I21:I659)</f>
        <v>520000</v>
      </c>
      <c r="F58" s="63">
        <f ca="1">SUMIF(Пр11!$C10:$C668,412,Пр11!J10:J655)</f>
        <v>400000</v>
      </c>
      <c r="G58" s="63">
        <f ca="1">SUMIF(Пр11!$C10:$C668,412,Пр11!K10:K655)</f>
        <v>0</v>
      </c>
      <c r="H58" s="63">
        <f ca="1">SUMIF(Пр11!$C10:$C668,412,Пр11!L10:L655)</f>
        <v>400000</v>
      </c>
    </row>
    <row r="59" spans="1:8" ht="32.25" thickBot="1" x14ac:dyDescent="0.25">
      <c r="A59" s="58">
        <v>500</v>
      </c>
      <c r="B59" s="680" t="s">
        <v>189</v>
      </c>
      <c r="C59" s="78">
        <f ca="1">SUM(C60:C64)</f>
        <v>59648078</v>
      </c>
      <c r="D59" s="78">
        <f t="shared" ref="D59:E59" ca="1" si="14">SUM(D60:D64)</f>
        <v>-8318000</v>
      </c>
      <c r="E59" s="78">
        <f t="shared" ca="1" si="14"/>
        <v>51330078</v>
      </c>
      <c r="F59" s="78">
        <f t="shared" ref="F59:H59" ca="1" si="15">SUM(F60:F64)</f>
        <v>28560078</v>
      </c>
      <c r="G59" s="78">
        <f t="shared" ca="1" si="15"/>
        <v>0</v>
      </c>
      <c r="H59" s="78">
        <f t="shared" ca="1" si="15"/>
        <v>28560078</v>
      </c>
    </row>
    <row r="60" spans="1:8" ht="16.5" thickBot="1" x14ac:dyDescent="0.3">
      <c r="A60" s="61">
        <v>501</v>
      </c>
      <c r="B60" s="64" t="s">
        <v>190</v>
      </c>
      <c r="C60" s="63">
        <f>SUMIF(Пр11!$C10:$C655,501,Пр11!G10:G655)</f>
        <v>930000</v>
      </c>
      <c r="D60" s="63">
        <f>SUMIF(Пр11!$C10:$C655,501,Пр11!H10:H655)</f>
        <v>0</v>
      </c>
      <c r="E60" s="63">
        <f>SUMIF(Пр11!$C10:$C655,501,Пр11!I10:I655)</f>
        <v>930000</v>
      </c>
      <c r="F60" s="63">
        <f>SUMIF(Пр11!$C10:$C655,501,Пр11!J10:J655)</f>
        <v>930000</v>
      </c>
      <c r="G60" s="63">
        <f>SUMIF(Пр11!$C10:$C655,501,Пр11!K10:K655)</f>
        <v>0</v>
      </c>
      <c r="H60" s="63">
        <f>SUMIF(Пр11!$C10:$C655,501,Пр11!L10:L655)</f>
        <v>930000</v>
      </c>
    </row>
    <row r="61" spans="1:8" ht="16.5" thickBot="1" x14ac:dyDescent="0.3">
      <c r="A61" s="61">
        <v>502</v>
      </c>
      <c r="B61" s="64" t="s">
        <v>191</v>
      </c>
      <c r="C61" s="63">
        <f>SUMIF(Пр11!$C11:$C655,502,Пр11!G11:G655)</f>
        <v>27363000</v>
      </c>
      <c r="D61" s="63">
        <f>SUMIF(Пр11!$C11:$C655,502,Пр11!H11:H655)</f>
        <v>-2500000</v>
      </c>
      <c r="E61" s="63">
        <f>Пр11!I162</f>
        <v>24863000</v>
      </c>
      <c r="F61" s="63">
        <f>SUMIF(Пр11!$C11:$C655,502,Пр11!J11:J655)</f>
        <v>2700000</v>
      </c>
      <c r="G61" s="63">
        <f>SUMIF(Пр11!$C11:$C655,502,Пр11!K11:K655)</f>
        <v>0</v>
      </c>
      <c r="H61" s="63">
        <f>Пр11!L162</f>
        <v>2700000</v>
      </c>
    </row>
    <row r="62" spans="1:8" ht="16.5" thickBot="1" x14ac:dyDescent="0.3">
      <c r="A62" s="61">
        <v>503</v>
      </c>
      <c r="B62" s="62" t="s">
        <v>192</v>
      </c>
      <c r="C62" s="63">
        <f ca="1">SUMIF(Пр11!$C12:$C659,503,Пр11!G12:G655)</f>
        <v>31355078</v>
      </c>
      <c r="D62" s="63">
        <f ca="1">SUMIF(Пр11!$C12:$C659,503,Пр11!H12:H655)</f>
        <v>-5818000</v>
      </c>
      <c r="E62" s="63">
        <f ca="1">SUMIF(Пр11!$C12:$C659,503,Пр11!I12:I655)</f>
        <v>25537078</v>
      </c>
      <c r="F62" s="63">
        <f ca="1">SUMIF(Пр11!$C12:$C659,503,Пр11!J12:J655)</f>
        <v>24930078</v>
      </c>
      <c r="G62" s="63">
        <f ca="1">SUMIF(Пр11!$C12:$C659,503,Пр11!K12:K655)</f>
        <v>0</v>
      </c>
      <c r="H62" s="63">
        <f ca="1">SUMIF(Пр11!$C12:$C659,503,Пр11!L12:L655)</f>
        <v>24930078</v>
      </c>
    </row>
    <row r="63" spans="1:8" ht="32.25" hidden="1" thickBot="1" x14ac:dyDescent="0.3">
      <c r="A63" s="61">
        <v>504</v>
      </c>
      <c r="B63" s="64" t="s">
        <v>193</v>
      </c>
      <c r="C63" s="63">
        <f ca="1">SUMIF(Пр11!$C14:$C660,504,Пр11!G14:G655)</f>
        <v>0</v>
      </c>
      <c r="D63" s="63">
        <f ca="1">SUMIF(Пр11!$C14:$C660,504,Пр11!H14:H655)</f>
        <v>0</v>
      </c>
      <c r="E63" s="63">
        <f ca="1">SUMIF(Пр11!$C14:$C660,504,Пр11!I14:I655)</f>
        <v>0</v>
      </c>
      <c r="F63" s="63">
        <f ca="1">SUMIF(Пр11!$C14:$C660,504,Пр11!J14:J655)</f>
        <v>0</v>
      </c>
      <c r="G63" s="63">
        <f ca="1">SUMIF(Пр11!$C14:$C660,504,Пр11!K14:K655)</f>
        <v>0</v>
      </c>
      <c r="H63" s="63">
        <f ca="1">SUMIF(Пр11!$C14:$C660,504,Пр11!L14:L655)</f>
        <v>0</v>
      </c>
    </row>
    <row r="64" spans="1:8" ht="32.25" hidden="1" thickBot="1" x14ac:dyDescent="0.3">
      <c r="A64" s="61">
        <v>505</v>
      </c>
      <c r="B64" s="64" t="s">
        <v>194</v>
      </c>
      <c r="C64" s="63">
        <f ca="1">SUMIF(Пр11!$C15:$C661,505,Пр11!G15:G655)</f>
        <v>0</v>
      </c>
      <c r="D64" s="63">
        <f ca="1">SUMIF(Пр11!$C15:$C661,505,Пр11!H15:H655)</f>
        <v>0</v>
      </c>
      <c r="E64" s="63">
        <f ca="1">SUMIF(Пр11!$C15:$C661,505,Пр11!I15:I655)</f>
        <v>0</v>
      </c>
      <c r="F64" s="63">
        <f ca="1">SUMIF(Пр11!$C15:$C661,505,Пр11!J15:J655)</f>
        <v>0</v>
      </c>
      <c r="G64" s="63">
        <f ca="1">SUMIF(Пр11!$C15:$C661,505,Пр11!K15:K655)</f>
        <v>0</v>
      </c>
      <c r="H64" s="63">
        <f ca="1">SUMIF(Пр11!$C15:$C661,505,Пр11!L15:L655)</f>
        <v>0</v>
      </c>
    </row>
    <row r="65" spans="1:8" ht="16.5" thickBot="1" x14ac:dyDescent="0.25">
      <c r="A65" s="58">
        <v>600</v>
      </c>
      <c r="B65" s="682" t="s">
        <v>195</v>
      </c>
      <c r="C65" s="78">
        <f>SUM(C66:C70)</f>
        <v>2936113</v>
      </c>
      <c r="D65" s="78">
        <f t="shared" ref="D65:E65" si="16">SUM(D66:D70)</f>
        <v>0</v>
      </c>
      <c r="E65" s="78">
        <f t="shared" si="16"/>
        <v>2936113</v>
      </c>
      <c r="F65" s="78">
        <f t="shared" ref="F65" si="17">SUM(F66:F70)</f>
        <v>6359412</v>
      </c>
      <c r="G65" s="78">
        <f t="shared" ref="G65" si="18">SUM(G66:G70)</f>
        <v>0</v>
      </c>
      <c r="H65" s="78">
        <f t="shared" ref="H65" si="19">SUM(H66:H70)</f>
        <v>6359412</v>
      </c>
    </row>
    <row r="66" spans="1:8" ht="16.5" hidden="1" thickBot="1" x14ac:dyDescent="0.3">
      <c r="A66" s="61">
        <v>601</v>
      </c>
      <c r="B66" s="62" t="s">
        <v>196</v>
      </c>
      <c r="C66" s="63">
        <f>SUMIF(Пр11!$C10:$C655,601,Пр11!G10:G655)</f>
        <v>0</v>
      </c>
      <c r="D66" s="63">
        <f>SUMIF(Пр11!$C10:$C655,601,Пр11!H10:H655)</f>
        <v>0</v>
      </c>
      <c r="E66" s="63">
        <f>SUMIF(Пр11!$C10:$C655,601,Пр11!I10:I655)</f>
        <v>0</v>
      </c>
      <c r="F66" s="63">
        <f>SUMIF(Пр11!$C10:$C655,601,Пр11!J10:J655)</f>
        <v>0</v>
      </c>
      <c r="G66" s="63">
        <f>SUMIF(Пр11!$C10:$C655,601,Пр11!K10:K655)</f>
        <v>0</v>
      </c>
      <c r="H66" s="63">
        <f>SUMIF(Пр11!$C10:$C655,601,Пр11!L10:L655)</f>
        <v>0</v>
      </c>
    </row>
    <row r="67" spans="1:8" ht="16.5" hidden="1" thickBot="1" x14ac:dyDescent="0.3">
      <c r="A67" s="61">
        <v>602</v>
      </c>
      <c r="B67" s="64" t="s">
        <v>197</v>
      </c>
      <c r="C67" s="63">
        <f>SUMIF(Пр11!$C11:$C655,602,Пр11!G11:G655)</f>
        <v>0</v>
      </c>
      <c r="D67" s="63">
        <f>SUMIF(Пр11!$C11:$C655,602,Пр11!H11:H655)</f>
        <v>0</v>
      </c>
      <c r="E67" s="63">
        <f>SUMIF(Пр11!$C11:$C655,602,Пр11!I11:I655)</f>
        <v>0</v>
      </c>
      <c r="F67" s="63">
        <f>SUMIF(Пр11!$C11:$C655,602,Пр11!J11:J655)</f>
        <v>0</v>
      </c>
      <c r="G67" s="63">
        <f>SUMIF(Пр11!$C11:$C655,602,Пр11!K11:K655)</f>
        <v>0</v>
      </c>
      <c r="H67" s="63">
        <f>SUMIF(Пр11!$C11:$C655,602,Пр11!L11:L655)</f>
        <v>0</v>
      </c>
    </row>
    <row r="68" spans="1:8" ht="32.25" hidden="1" thickBot="1" x14ac:dyDescent="0.3">
      <c r="A68" s="61">
        <v>603</v>
      </c>
      <c r="B68" s="64" t="s">
        <v>198</v>
      </c>
      <c r="C68" s="63">
        <f>SUMIF(Пр11!$C12:$C659,603,Пр11!G12:G659)</f>
        <v>0</v>
      </c>
      <c r="D68" s="63">
        <f>SUMIF(Пр11!$C12:$C659,603,Пр11!H12:H659)</f>
        <v>0</v>
      </c>
      <c r="E68" s="63">
        <f>SUMIF(Пр11!$C12:$C659,603,Пр11!I12:I659)</f>
        <v>0</v>
      </c>
      <c r="F68" s="63">
        <f>SUMIF(Пр11!$C12:$C659,603,Пр11!J12:J659)</f>
        <v>0</v>
      </c>
      <c r="G68" s="63">
        <f>SUMIF(Пр11!$C12:$C659,603,Пр11!K12:K659)</f>
        <v>0</v>
      </c>
      <c r="H68" s="63">
        <f>SUMIF(Пр11!$C12:$C659,603,Пр11!L12:L659)</f>
        <v>0</v>
      </c>
    </row>
    <row r="69" spans="1:8" ht="32.25" hidden="1" thickBot="1" x14ac:dyDescent="0.3">
      <c r="A69" s="61">
        <v>604</v>
      </c>
      <c r="B69" s="64" t="s">
        <v>199</v>
      </c>
      <c r="C69" s="63">
        <f>SUMIF(Пр11!$C14:$C660,604,Пр11!G14:G660)</f>
        <v>0</v>
      </c>
      <c r="D69" s="63">
        <f>SUMIF(Пр11!$C14:$C660,604,Пр11!H14:H660)</f>
        <v>0</v>
      </c>
      <c r="E69" s="63">
        <f>SUMIF(Пр11!$C14:$C660,604,Пр11!I14:I660)</f>
        <v>0</v>
      </c>
      <c r="F69" s="63">
        <f>SUMIF(Пр11!$C14:$C660,604,Пр11!J14:J660)</f>
        <v>0</v>
      </c>
      <c r="G69" s="63">
        <f>SUMIF(Пр11!$C14:$C660,604,Пр11!K14:K660)</f>
        <v>0</v>
      </c>
      <c r="H69" s="63">
        <f>SUMIF(Пр11!$C14:$C660,604,Пр11!L14:L660)</f>
        <v>0</v>
      </c>
    </row>
    <row r="70" spans="1:8" ht="32.25" thickBot="1" x14ac:dyDescent="0.3">
      <c r="A70" s="61">
        <v>605</v>
      </c>
      <c r="B70" s="64" t="s">
        <v>200</v>
      </c>
      <c r="C70" s="63">
        <f>SUMIF(Пр11!$C15:$C661,605,Пр11!G15:G661)</f>
        <v>2936113</v>
      </c>
      <c r="D70" s="63">
        <f>SUMIF(Пр11!$C15:$C661,605,Пр11!H15:H661)</f>
        <v>0</v>
      </c>
      <c r="E70" s="63">
        <f>SUMIF(Пр11!$C15:$C661,605,Пр11!I15:I661)</f>
        <v>2936113</v>
      </c>
      <c r="F70" s="63">
        <f>SUMIF(Пр11!$C15:$C661,605,Пр11!J15:J661)</f>
        <v>6359412</v>
      </c>
      <c r="G70" s="63">
        <f>SUMIF(Пр11!$C15:$C661,605,Пр11!K15:K661)</f>
        <v>0</v>
      </c>
      <c r="H70" s="63">
        <f>SUMIF(Пр11!$C15:$C661,605,Пр11!L15:L661)</f>
        <v>6359412</v>
      </c>
    </row>
    <row r="71" spans="1:8" ht="16.5" thickBot="1" x14ac:dyDescent="0.25">
      <c r="A71" s="58">
        <v>700</v>
      </c>
      <c r="B71" s="682" t="s">
        <v>201</v>
      </c>
      <c r="C71" s="78">
        <f>SUM(C72:C80)</f>
        <v>1024416901</v>
      </c>
      <c r="D71" s="78">
        <f t="shared" ref="D71:E71" si="20">SUM(D72:D80)</f>
        <v>0</v>
      </c>
      <c r="E71" s="78">
        <f t="shared" si="20"/>
        <v>1024416901</v>
      </c>
      <c r="F71" s="78">
        <f t="shared" ref="F71:H71" si="21">SUM(F72:F80)</f>
        <v>937104489</v>
      </c>
      <c r="G71" s="78">
        <f t="shared" si="21"/>
        <v>0</v>
      </c>
      <c r="H71" s="78">
        <f t="shared" si="21"/>
        <v>937104489</v>
      </c>
    </row>
    <row r="72" spans="1:8" ht="16.5" thickBot="1" x14ac:dyDescent="0.3">
      <c r="A72" s="61">
        <v>701</v>
      </c>
      <c r="B72" s="64" t="s">
        <v>202</v>
      </c>
      <c r="C72" s="63">
        <f>SUMIF(Пр11!$C10:$C695,701,Пр11!G10:G695)</f>
        <v>398328457</v>
      </c>
      <c r="D72" s="63">
        <f>SUMIF(Пр11!$C10:$C695,701,Пр11!H10:H695)</f>
        <v>0</v>
      </c>
      <c r="E72" s="63">
        <f>SUMIF(Пр11!$C10:$C695,701,Пр11!I10:I695)</f>
        <v>398328457</v>
      </c>
      <c r="F72" s="63">
        <f>SUMIF(Пр11!$C10:$C695,701,Пр11!J10:J695)</f>
        <v>349920457</v>
      </c>
      <c r="G72" s="63">
        <f>SUMIF(Пр11!$C10:$C695,701,Пр11!K10:K695)</f>
        <v>0</v>
      </c>
      <c r="H72" s="63">
        <f>SUMIF(Пр11!$C10:$C695,701,Пр11!L10:L695)</f>
        <v>349920457</v>
      </c>
    </row>
    <row r="73" spans="1:8" ht="16.5" thickBot="1" x14ac:dyDescent="0.3">
      <c r="A73" s="61">
        <v>702</v>
      </c>
      <c r="B73" s="64" t="s">
        <v>203</v>
      </c>
      <c r="C73" s="63">
        <f>SUMIF(Пр11!$C10:$C696,702,Пр11!G10:G696)</f>
        <v>501696553</v>
      </c>
      <c r="D73" s="63">
        <f>SUMIF(Пр11!$C10:$C696,702,Пр11!H10:H696)</f>
        <v>0</v>
      </c>
      <c r="E73" s="63">
        <f>SUMIF(Пр11!$C10:$C696,702,Пр11!I10:I696)</f>
        <v>501696553</v>
      </c>
      <c r="F73" s="63">
        <f>SUMIF(Пр11!$C10:$C696,702,Пр11!J10:J696)</f>
        <v>476872900</v>
      </c>
      <c r="G73" s="63">
        <f>SUMIF(Пр11!$C10:$C696,702,Пр11!K10:K696)</f>
        <v>0</v>
      </c>
      <c r="H73" s="63">
        <f>SUMIF(Пр11!$C10:$C696,702,Пр11!L10:L696)</f>
        <v>476872900</v>
      </c>
    </row>
    <row r="74" spans="1:8" ht="16.5" thickBot="1" x14ac:dyDescent="0.3">
      <c r="A74" s="61">
        <v>703</v>
      </c>
      <c r="B74" s="64" t="s">
        <v>1028</v>
      </c>
      <c r="C74" s="63">
        <f>SUMIF(Пр11!$C233:$C697,703,Пр11!G233:G697)</f>
        <v>70238081</v>
      </c>
      <c r="D74" s="63">
        <f>SUMIF(Пр11!$C233:$C697,703,Пр11!H233:H697)</f>
        <v>0</v>
      </c>
      <c r="E74" s="63">
        <f>SUMIF(Пр11!$C233:$C697,703,Пр11!I233:I697)</f>
        <v>70238081</v>
      </c>
      <c r="F74" s="63">
        <f>SUMIF(Пр11!$C233:$C697,703,Пр11!J233:J697)</f>
        <v>65935693</v>
      </c>
      <c r="G74" s="63">
        <f>SUMIF(Пр11!$C233:$C697,703,Пр11!K233:K697)</f>
        <v>0</v>
      </c>
      <c r="H74" s="63">
        <f>SUMIF(Пр11!$C233:$C697,703,Пр11!L233:L697)</f>
        <v>65935693</v>
      </c>
    </row>
    <row r="75" spans="1:8" ht="16.5" hidden="1" thickBot="1" x14ac:dyDescent="0.3">
      <c r="A75" s="61">
        <v>704</v>
      </c>
      <c r="B75" s="64" t="s">
        <v>204</v>
      </c>
      <c r="C75" s="63">
        <f>SUMIF(Пр11!$C233:$C698,304,Пр11!G233:G698)</f>
        <v>0</v>
      </c>
      <c r="D75" s="63">
        <f>SUMIF(Пр11!$C233:$C698,304,Пр11!H233:H698)</f>
        <v>0</v>
      </c>
      <c r="E75" s="63">
        <f>SUMIF(Пр11!$C233:$C698,304,Пр11!I233:I698)</f>
        <v>0</v>
      </c>
      <c r="F75" s="63">
        <f>SUMIF(Пр11!$C233:$C698,304,Пр11!J233:J698)</f>
        <v>0</v>
      </c>
      <c r="G75" s="63">
        <f>SUMIF(Пр11!$C233:$C698,304,Пр11!K233:K698)</f>
        <v>0</v>
      </c>
      <c r="H75" s="63">
        <f>SUMIF(Пр11!$C233:$C698,304,Пр11!L233:L698)</f>
        <v>0</v>
      </c>
    </row>
    <row r="76" spans="1:8" ht="32.25" thickBot="1" x14ac:dyDescent="0.3">
      <c r="A76" s="61">
        <v>705</v>
      </c>
      <c r="B76" s="64" t="s">
        <v>205</v>
      </c>
      <c r="C76" s="63">
        <f>SUMIF(Пр11!$C233:$C699,705,Пр11!G233:G699)</f>
        <v>1000000</v>
      </c>
      <c r="D76" s="63">
        <f>SUMIF(Пр11!$C233:$C699,705,Пр11!H233:H699)</f>
        <v>0</v>
      </c>
      <c r="E76" s="63">
        <f>SUMIF(Пр11!$C233:$C699,705,Пр11!I233:I699)</f>
        <v>1000000</v>
      </c>
      <c r="F76" s="63">
        <f>SUMIF(Пр11!$C233:$C699,705,Пр11!J233:J699)</f>
        <v>500000</v>
      </c>
      <c r="G76" s="63">
        <f>SUMIF(Пр11!$C233:$C699,705,Пр11!K233:K699)</f>
        <v>0</v>
      </c>
      <c r="H76" s="63">
        <f>SUMIF(Пр11!$C233:$C699,705,Пр11!L233:L699)</f>
        <v>500000</v>
      </c>
    </row>
    <row r="77" spans="1:8" ht="16.5" hidden="1" thickBot="1" x14ac:dyDescent="0.3">
      <c r="A77" s="68">
        <v>706</v>
      </c>
      <c r="B77" s="69" t="s">
        <v>1561</v>
      </c>
      <c r="C77" s="63">
        <f>SUMIF(Пр11!$C15:$C662,706,Пр11!F15:F662)</f>
        <v>0</v>
      </c>
      <c r="D77" s="63">
        <f>SUMIF(Пр11!$C15:$C662,706,Пр11!G15:G662)</f>
        <v>0</v>
      </c>
      <c r="E77" s="63">
        <f>SUMIF(Пр11!$C15:$C662,706,Пр11!H15:H662)</f>
        <v>0</v>
      </c>
      <c r="F77" s="63">
        <f>SUMIF(Пр11!$C15:$C662,706,Пр11!I15:I662)</f>
        <v>0</v>
      </c>
      <c r="G77" s="63">
        <f>SUMIF(Пр11!$C15:$C662,706,Пр11!J15:J662)</f>
        <v>0</v>
      </c>
      <c r="H77" s="63">
        <f>SUMIF(Пр11!$C15:$C662,706,Пр11!K15:K662)</f>
        <v>0</v>
      </c>
    </row>
    <row r="78" spans="1:8" ht="16.5" thickBot="1" x14ac:dyDescent="0.3">
      <c r="A78" s="61">
        <v>707</v>
      </c>
      <c r="B78" s="64" t="s">
        <v>1030</v>
      </c>
      <c r="C78" s="63">
        <f>SUMIF(Пр11!$C10:$C701,707,Пр11!G10:G701)</f>
        <v>14296198</v>
      </c>
      <c r="D78" s="63">
        <f>SUMIF(Пр11!$C10:$C701,707,Пр11!H10:H701)</f>
        <v>0</v>
      </c>
      <c r="E78" s="63">
        <f>SUMIF(Пр11!$C10:$C701,707,Пр11!I10:I701)</f>
        <v>14296198</v>
      </c>
      <c r="F78" s="63">
        <f>SUMIF(Пр11!$C10:$C701,707,Пр11!J10:J701)</f>
        <v>11941126</v>
      </c>
      <c r="G78" s="63">
        <f>SUMIF(Пр11!$C10:$C701,707,Пр11!K10:K701)</f>
        <v>0</v>
      </c>
      <c r="H78" s="63">
        <f>SUMIF(Пр11!$C10:$C701,707,Пр11!L10:L701)</f>
        <v>11941126</v>
      </c>
    </row>
    <row r="79" spans="1:8" ht="32.25" hidden="1" thickBot="1" x14ac:dyDescent="0.3">
      <c r="A79" s="61">
        <v>708</v>
      </c>
      <c r="B79" s="64" t="s">
        <v>206</v>
      </c>
      <c r="C79" s="63">
        <f>SUMIF(Пр11!$C17:$C664,7081,Пр11!F17:F664)</f>
        <v>0</v>
      </c>
      <c r="D79" s="63">
        <f>SUMIF(Пр11!$C17:$C664,7081,Пр11!G17:G664)</f>
        <v>0</v>
      </c>
      <c r="E79" s="63">
        <f>SUMIF(Пр11!$C17:$C664,7081,Пр11!H17:H664)</f>
        <v>0</v>
      </c>
      <c r="F79" s="63">
        <f>SUMIF(Пр11!$C17:$C664,7081,Пр11!I17:I664)</f>
        <v>0</v>
      </c>
      <c r="G79" s="63">
        <f>SUMIF(Пр11!$C17:$C664,7081,Пр11!J17:J664)</f>
        <v>0</v>
      </c>
      <c r="H79" s="63">
        <f>SUMIF(Пр11!$C17:$C664,7081,Пр11!K17:K664)</f>
        <v>0</v>
      </c>
    </row>
    <row r="80" spans="1:8" ht="16.5" thickBot="1" x14ac:dyDescent="0.3">
      <c r="A80" s="61">
        <v>709</v>
      </c>
      <c r="B80" s="64" t="s">
        <v>207</v>
      </c>
      <c r="C80" s="63">
        <f>SUMIF(Пр11!$C10:$C703,709,Пр11!G10:G703)</f>
        <v>38857612</v>
      </c>
      <c r="D80" s="63">
        <f>SUMIF(Пр11!$C10:$C703,709,Пр11!H10:H703)</f>
        <v>0</v>
      </c>
      <c r="E80" s="63">
        <f>SUMIF(Пр11!$C10:$C703,709,Пр11!I10:I703)</f>
        <v>38857612</v>
      </c>
      <c r="F80" s="63">
        <f>SUMIF(Пр11!$C10:$C703,709,Пр11!J10:J703)</f>
        <v>31934313</v>
      </c>
      <c r="G80" s="63">
        <f>SUMIF(Пр11!$C10:$C703,709,Пр11!K10:K703)</f>
        <v>0</v>
      </c>
      <c r="H80" s="63">
        <f>SUMIF(Пр11!$C10:$C703,709,Пр11!L10:L703)</f>
        <v>31934313</v>
      </c>
    </row>
    <row r="81" spans="1:8" ht="16.5" thickBot="1" x14ac:dyDescent="0.25">
      <c r="A81" s="58">
        <v>800</v>
      </c>
      <c r="B81" s="682" t="s">
        <v>208</v>
      </c>
      <c r="C81" s="78">
        <f>SUM(C82:C85)</f>
        <v>112708782</v>
      </c>
      <c r="D81" s="78">
        <f t="shared" ref="D81:E81" si="22">SUM(D82:D85)</f>
        <v>0</v>
      </c>
      <c r="E81" s="78">
        <f t="shared" si="22"/>
        <v>112708782</v>
      </c>
      <c r="F81" s="78">
        <f t="shared" ref="F81:H81" si="23">SUM(F82:F85)</f>
        <v>86641242</v>
      </c>
      <c r="G81" s="78">
        <f t="shared" si="23"/>
        <v>0</v>
      </c>
      <c r="H81" s="78">
        <f t="shared" si="23"/>
        <v>86641242</v>
      </c>
    </row>
    <row r="82" spans="1:8" ht="16.5" thickBot="1" x14ac:dyDescent="0.3">
      <c r="A82" s="61">
        <v>801</v>
      </c>
      <c r="B82" s="64" t="s">
        <v>209</v>
      </c>
      <c r="C82" s="63">
        <f>SUMIF(Пр11!$C10:$C655,801,Пр11!G10:G655)</f>
        <v>100408782</v>
      </c>
      <c r="D82" s="63">
        <f>SUMIF(Пр11!$C10:$C655,801,Пр11!H10:H655)</f>
        <v>0</v>
      </c>
      <c r="E82" s="63">
        <f>SUMIF(Пр11!$C10:$C655,801,Пр11!I10:I655)</f>
        <v>100408782</v>
      </c>
      <c r="F82" s="63">
        <f>SUMIF(Пр11!$C10:$C655,801,Пр11!J10:J655)</f>
        <v>86641242</v>
      </c>
      <c r="G82" s="63">
        <f>SUMIF(Пр11!$C10:$C655,801,Пр11!K10:K655)</f>
        <v>0</v>
      </c>
      <c r="H82" s="63">
        <f>SUMIF(Пр11!$C10:$C655,801,Пр11!L10:L655)</f>
        <v>86641242</v>
      </c>
    </row>
    <row r="83" spans="1:8" ht="16.5" hidden="1" thickBot="1" x14ac:dyDescent="0.3">
      <c r="A83" s="61">
        <v>802</v>
      </c>
      <c r="B83" s="64" t="s">
        <v>210</v>
      </c>
      <c r="C83" s="63">
        <f>SUMIF(Пр11!$C11:$C655,802,Пр11!G11:G655)</f>
        <v>0</v>
      </c>
      <c r="D83" s="63">
        <f>SUMIF(Пр11!$C11:$C655,802,Пр11!H11:H655)</f>
        <v>0</v>
      </c>
      <c r="E83" s="63">
        <f>SUMIF(Пр11!$C11:$C655,802,Пр11!I11:I655)</f>
        <v>0</v>
      </c>
      <c r="F83" s="63">
        <f>SUMIF(Пр11!$C11:$C655,802,Пр11!J11:J655)</f>
        <v>0</v>
      </c>
      <c r="G83" s="63">
        <f>SUMIF(Пр11!$C11:$C655,802,Пр11!K11:K655)</f>
        <v>0</v>
      </c>
      <c r="H83" s="63">
        <f>SUMIF(Пр11!$C11:$C655,802,Пр11!L11:L655)</f>
        <v>0</v>
      </c>
    </row>
    <row r="84" spans="1:8" ht="32.25" hidden="1" thickBot="1" x14ac:dyDescent="0.3">
      <c r="A84" s="61">
        <v>803</v>
      </c>
      <c r="B84" s="64" t="s">
        <v>211</v>
      </c>
      <c r="C84" s="63">
        <f>SUMIF(Пр11!$C12:$C659,803,Пр11!G12:G659)</f>
        <v>0</v>
      </c>
      <c r="D84" s="63">
        <f>SUMIF(Пр11!$C12:$C659,803,Пр11!H12:H659)</f>
        <v>0</v>
      </c>
      <c r="E84" s="63">
        <f>SUMIF(Пр11!$C12:$C659,803,Пр11!I12:I659)</f>
        <v>0</v>
      </c>
      <c r="F84" s="63">
        <f>SUMIF(Пр11!$C12:$C659,803,Пр11!J12:J659)</f>
        <v>0</v>
      </c>
      <c r="G84" s="63">
        <f>SUMIF(Пр11!$C12:$C659,803,Пр11!K12:K659)</f>
        <v>0</v>
      </c>
      <c r="H84" s="63">
        <f>SUMIF(Пр11!$C12:$C659,803,Пр11!L12:L659)</f>
        <v>0</v>
      </c>
    </row>
    <row r="85" spans="1:8" ht="32.25" thickBot="1" x14ac:dyDescent="0.3">
      <c r="A85" s="61">
        <v>804</v>
      </c>
      <c r="B85" s="64" t="s">
        <v>212</v>
      </c>
      <c r="C85" s="63">
        <f>SUMIF(Пр11!$C14:$C660,804,Пр11!G14:G660)</f>
        <v>12300000</v>
      </c>
      <c r="D85" s="63">
        <f>SUMIF(Пр11!$C14:$C660,804,Пр11!H14:H660)</f>
        <v>0</v>
      </c>
      <c r="E85" s="63">
        <f>SUMIF(Пр11!$C14:$C660,804,Пр11!I14:I660)</f>
        <v>12300000</v>
      </c>
      <c r="F85" s="63">
        <f>SUMIF(Пр11!$C14:$C660,804,Пр11!J14:J660)</f>
        <v>0</v>
      </c>
      <c r="G85" s="63">
        <f>SUMIF(Пр11!$C14:$C660,804,Пр11!K14:K660)</f>
        <v>0</v>
      </c>
      <c r="H85" s="63">
        <f>SUMIF(Пр11!$C14:$C660,804,Пр11!L14:L660)</f>
        <v>0</v>
      </c>
    </row>
    <row r="86" spans="1:8" ht="16.5" hidden="1" thickBot="1" x14ac:dyDescent="0.25">
      <c r="A86" s="58">
        <v>900</v>
      </c>
      <c r="B86" s="682" t="s">
        <v>213</v>
      </c>
      <c r="C86" s="78">
        <f>SUM(C87:C95)</f>
        <v>0</v>
      </c>
      <c r="D86" s="78">
        <f t="shared" ref="D86:E86" si="24">SUM(D87:D95)</f>
        <v>0</v>
      </c>
      <c r="E86" s="78">
        <f t="shared" si="24"/>
        <v>0</v>
      </c>
      <c r="F86" s="78">
        <f t="shared" ref="F86:H86" si="25">SUM(F87:F95)</f>
        <v>0</v>
      </c>
      <c r="G86" s="78">
        <f t="shared" si="25"/>
        <v>0</v>
      </c>
      <c r="H86" s="78">
        <f t="shared" si="25"/>
        <v>0</v>
      </c>
    </row>
    <row r="87" spans="1:8" ht="16.5" hidden="1" thickBot="1" x14ac:dyDescent="0.3">
      <c r="A87" s="61">
        <v>901</v>
      </c>
      <c r="B87" s="64" t="s">
        <v>214</v>
      </c>
      <c r="C87" s="63">
        <f>SUMIF(Пр11!$C10:$C655,901,Пр11!G10:G655)</f>
        <v>0</v>
      </c>
      <c r="D87" s="63">
        <f>SUMIF(Пр11!$C10:$C655,901,Пр11!H10:H655)</f>
        <v>0</v>
      </c>
      <c r="E87" s="63">
        <f>SUMIF(Пр11!$C10:$C655,901,Пр11!I10:I655)</f>
        <v>0</v>
      </c>
      <c r="F87" s="63">
        <f>SUMIF(Пр11!$C10:$C655,901,Пр11!J10:J655)</f>
        <v>0</v>
      </c>
      <c r="G87" s="63">
        <f>SUMIF(Пр11!$C10:$C655,901,Пр11!K10:K655)</f>
        <v>0</v>
      </c>
      <c r="H87" s="63">
        <f>SUMIF(Пр11!$C10:$C655,901,Пр11!L10:L655)</f>
        <v>0</v>
      </c>
    </row>
    <row r="88" spans="1:8" ht="16.5" hidden="1" thickBot="1" x14ac:dyDescent="0.3">
      <c r="A88" s="61">
        <v>902</v>
      </c>
      <c r="B88" s="64" t="s">
        <v>215</v>
      </c>
      <c r="C88" s="63">
        <f>SUMIF(Пр11!$C11:$C655,902,Пр11!G11:G655)</f>
        <v>0</v>
      </c>
      <c r="D88" s="63">
        <f>SUMIF(Пр11!$C11:$C655,902,Пр11!H11:H655)</f>
        <v>0</v>
      </c>
      <c r="E88" s="63">
        <f>SUMIF(Пр11!$C11:$C655,902,Пр11!I11:I655)</f>
        <v>0</v>
      </c>
      <c r="F88" s="63">
        <f>SUMIF(Пр11!$C11:$C655,902,Пр11!J11:J655)</f>
        <v>0</v>
      </c>
      <c r="G88" s="63">
        <f>SUMIF(Пр11!$C11:$C655,902,Пр11!K11:K655)</f>
        <v>0</v>
      </c>
      <c r="H88" s="63">
        <f>SUMIF(Пр11!$C11:$C655,902,Пр11!L11:L655)</f>
        <v>0</v>
      </c>
    </row>
    <row r="89" spans="1:8" ht="32.25" hidden="1" thickBot="1" x14ac:dyDescent="0.3">
      <c r="A89" s="61">
        <v>903</v>
      </c>
      <c r="B89" s="64" t="s">
        <v>216</v>
      </c>
      <c r="C89" s="63">
        <f>SUMIF(Пр11!$C12:$C659,903,Пр11!G12:G659)</f>
        <v>0</v>
      </c>
      <c r="D89" s="63">
        <f>SUMIF(Пр11!$C12:$C659,903,Пр11!H12:H659)</f>
        <v>0</v>
      </c>
      <c r="E89" s="63">
        <f>SUMIF(Пр11!$C12:$C659,903,Пр11!I12:I659)</f>
        <v>0</v>
      </c>
      <c r="F89" s="63">
        <f>SUMIF(Пр11!$C12:$C659,903,Пр11!J12:J659)</f>
        <v>0</v>
      </c>
      <c r="G89" s="63">
        <f>SUMIF(Пр11!$C12:$C659,903,Пр11!K12:K659)</f>
        <v>0</v>
      </c>
      <c r="H89" s="63">
        <f>SUMIF(Пр11!$C12:$C659,903,Пр11!L12:L659)</f>
        <v>0</v>
      </c>
    </row>
    <row r="90" spans="1:8" ht="16.5" hidden="1" thickBot="1" x14ac:dyDescent="0.3">
      <c r="A90" s="61">
        <v>904</v>
      </c>
      <c r="B90" s="64" t="s">
        <v>217</v>
      </c>
      <c r="C90" s="63">
        <f>SUMIF(Пр11!$C14:$C660,904,Пр11!G14:G660)</f>
        <v>0</v>
      </c>
      <c r="D90" s="63">
        <f>SUMIF(Пр11!$C14:$C660,904,Пр11!H14:H660)</f>
        <v>0</v>
      </c>
      <c r="E90" s="63">
        <f>SUMIF(Пр11!$C14:$C660,904,Пр11!I14:I660)</f>
        <v>0</v>
      </c>
      <c r="F90" s="63">
        <f>SUMIF(Пр11!$C14:$C660,904,Пр11!J14:J660)</f>
        <v>0</v>
      </c>
      <c r="G90" s="63">
        <f>SUMIF(Пр11!$C14:$C660,904,Пр11!K14:K660)</f>
        <v>0</v>
      </c>
      <c r="H90" s="63">
        <f>SUMIF(Пр11!$C14:$C660,904,Пр11!L14:L660)</f>
        <v>0</v>
      </c>
    </row>
    <row r="91" spans="1:8" ht="16.5" hidden="1" thickBot="1" x14ac:dyDescent="0.3">
      <c r="A91" s="61">
        <v>905</v>
      </c>
      <c r="B91" s="70" t="s">
        <v>218</v>
      </c>
      <c r="C91" s="63">
        <f>SUMIF(Пр11!$C15:$C661,905,Пр11!G15:G661)</f>
        <v>0</v>
      </c>
      <c r="D91" s="63">
        <f>SUMIF(Пр11!$C15:$C661,905,Пр11!H15:H661)</f>
        <v>0</v>
      </c>
      <c r="E91" s="63">
        <f>SUMIF(Пр11!$C15:$C661,905,Пр11!I15:I661)</f>
        <v>0</v>
      </c>
      <c r="F91" s="63">
        <f>SUMIF(Пр11!$C15:$C661,905,Пр11!J15:J661)</f>
        <v>0</v>
      </c>
      <c r="G91" s="63">
        <f>SUMIF(Пр11!$C15:$C661,905,Пр11!K15:K661)</f>
        <v>0</v>
      </c>
      <c r="H91" s="63">
        <f>SUMIF(Пр11!$C15:$C661,905,Пр11!L15:L661)</f>
        <v>0</v>
      </c>
    </row>
    <row r="92" spans="1:8" ht="32.25" hidden="1" thickBot="1" x14ac:dyDescent="0.3">
      <c r="A92" s="61">
        <v>906</v>
      </c>
      <c r="B92" s="70" t="s">
        <v>219</v>
      </c>
      <c r="C92" s="63">
        <f>SUMIF(Пр11!$C15:$C662,906,Пр11!F15:F662)</f>
        <v>0</v>
      </c>
      <c r="D92" s="63">
        <f>SUMIF(Пр11!$C15:$C662,906,Пр11!G15:G662)</f>
        <v>0</v>
      </c>
      <c r="E92" s="63">
        <f>SUMIF(Пр11!$C15:$C662,906,Пр11!H15:H662)</f>
        <v>0</v>
      </c>
      <c r="F92" s="63">
        <f>SUMIF(Пр11!$C15:$C662,906,Пр11!I15:I662)</f>
        <v>0</v>
      </c>
      <c r="G92" s="63">
        <f>SUMIF(Пр11!$C15:$C662,906,Пр11!J15:J662)</f>
        <v>0</v>
      </c>
      <c r="H92" s="63">
        <f>SUMIF(Пр11!$C15:$C662,906,Пр11!K15:K662)</f>
        <v>0</v>
      </c>
    </row>
    <row r="93" spans="1:8" ht="16.5" hidden="1" thickBot="1" x14ac:dyDescent="0.3">
      <c r="A93" s="61">
        <v>907</v>
      </c>
      <c r="B93" s="64" t="s">
        <v>220</v>
      </c>
      <c r="C93" s="63">
        <f>SUMIF(Пр11!$C16:$C663,907,Пр11!F16:F663)</f>
        <v>0</v>
      </c>
      <c r="D93" s="63">
        <f>SUMIF(Пр11!$C16:$C663,907,Пр11!G16:G663)</f>
        <v>0</v>
      </c>
      <c r="E93" s="63">
        <f>SUMIF(Пр11!$C16:$C663,907,Пр11!H16:H663)</f>
        <v>0</v>
      </c>
      <c r="F93" s="63">
        <f>SUMIF(Пр11!$C16:$C663,907,Пр11!I16:I663)</f>
        <v>0</v>
      </c>
      <c r="G93" s="63">
        <f>SUMIF(Пр11!$C16:$C663,907,Пр11!J16:J663)</f>
        <v>0</v>
      </c>
      <c r="H93" s="63">
        <f>SUMIF(Пр11!$C16:$C663,907,Пр11!K16:K663)</f>
        <v>0</v>
      </c>
    </row>
    <row r="94" spans="1:8" ht="32.25" hidden="1" thickBot="1" x14ac:dyDescent="0.3">
      <c r="A94" s="61">
        <v>908</v>
      </c>
      <c r="B94" s="62" t="s">
        <v>221</v>
      </c>
      <c r="C94" s="63">
        <f>SUMIF(Пр11!$C17:$C664,908,Пр11!F17:F664)</f>
        <v>0</v>
      </c>
      <c r="D94" s="63">
        <f>SUMIF(Пр11!$C17:$C664,908,Пр11!G17:G664)</f>
        <v>0</v>
      </c>
      <c r="E94" s="63">
        <f>SUMIF(Пр11!$C17:$C664,908,Пр11!H17:H664)</f>
        <v>0</v>
      </c>
      <c r="F94" s="63">
        <f>SUMIF(Пр11!$C17:$C664,908,Пр11!I17:I664)</f>
        <v>0</v>
      </c>
      <c r="G94" s="63">
        <f>SUMIF(Пр11!$C17:$C664,908,Пр11!J17:J664)</f>
        <v>0</v>
      </c>
      <c r="H94" s="63">
        <f>SUMIF(Пр11!$C17:$C664,908,Пр11!K17:K664)</f>
        <v>0</v>
      </c>
    </row>
    <row r="95" spans="1:8" ht="16.5" hidden="1" thickBot="1" x14ac:dyDescent="0.3">
      <c r="A95" s="61">
        <v>909</v>
      </c>
      <c r="B95" s="64" t="s">
        <v>222</v>
      </c>
      <c r="C95" s="63">
        <f>SUMIF(Пр11!$C18:$C665,909,Пр11!F18:F665)</f>
        <v>0</v>
      </c>
      <c r="D95" s="63">
        <f>SUMIF(Пр11!$C18:$C665,909,Пр11!G18:G665)</f>
        <v>0</v>
      </c>
      <c r="E95" s="63">
        <f>SUMIF(Пр11!$C18:$C665,909,Пр11!H18:H665)</f>
        <v>0</v>
      </c>
      <c r="F95" s="63">
        <f>SUMIF(Пр11!$C18:$C665,909,Пр11!I18:I665)</f>
        <v>0</v>
      </c>
      <c r="G95" s="63">
        <f>SUMIF(Пр11!$C18:$C665,909,Пр11!J18:J665)</f>
        <v>0</v>
      </c>
      <c r="H95" s="63">
        <f>SUMIF(Пр11!$C18:$C665,909,Пр11!K18:K665)</f>
        <v>0</v>
      </c>
    </row>
    <row r="96" spans="1:8" ht="16.5" thickBot="1" x14ac:dyDescent="0.25">
      <c r="A96" s="58">
        <v>1000</v>
      </c>
      <c r="B96" s="682" t="s">
        <v>223</v>
      </c>
      <c r="C96" s="78">
        <f>SUM(C97:C102)</f>
        <v>651042443</v>
      </c>
      <c r="D96" s="78">
        <f t="shared" ref="D96:E96" si="26">SUM(D97:D102)</f>
        <v>0</v>
      </c>
      <c r="E96" s="78">
        <f t="shared" si="26"/>
        <v>651042443</v>
      </c>
      <c r="F96" s="78">
        <f t="shared" ref="F96:H96" si="27">SUM(F97:F102)</f>
        <v>674448801</v>
      </c>
      <c r="G96" s="78">
        <f t="shared" si="27"/>
        <v>0</v>
      </c>
      <c r="H96" s="78">
        <f t="shared" si="27"/>
        <v>674448801</v>
      </c>
    </row>
    <row r="97" spans="1:8" ht="16.5" thickBot="1" x14ac:dyDescent="0.3">
      <c r="A97" s="61">
        <v>1001</v>
      </c>
      <c r="B97" s="64" t="s">
        <v>224</v>
      </c>
      <c r="C97" s="63">
        <f>SUMIF(Пр11!$C10:$C655,1001,Пр11!G10:G655)</f>
        <v>6451000</v>
      </c>
      <c r="D97" s="63">
        <f>SUMIF(Пр11!$C10:$C655,1001,Пр11!H10:H655)</f>
        <v>0</v>
      </c>
      <c r="E97" s="63">
        <f>SUMIF(Пр11!$C10:$C655,1001,Пр11!I10:I655)</f>
        <v>6451000</v>
      </c>
      <c r="F97" s="63">
        <f>SUMIF(Пр11!$C10:$C655,1001,Пр11!J10:J655)</f>
        <v>6451000</v>
      </c>
      <c r="G97" s="63">
        <f>SUMIF(Пр11!$C10:$C655,1001,Пр11!K10:K655)</f>
        <v>0</v>
      </c>
      <c r="H97" s="63">
        <f>SUMIF(Пр11!$C10:$C655,1001,Пр11!L10:L655)</f>
        <v>6451000</v>
      </c>
    </row>
    <row r="98" spans="1:8" ht="16.5" thickBot="1" x14ac:dyDescent="0.3">
      <c r="A98" s="61">
        <v>1002</v>
      </c>
      <c r="B98" s="64" t="s">
        <v>225</v>
      </c>
      <c r="C98" s="63">
        <f>SUMIF(Пр11!$C11:$C655,1002,Пр11!G11:G655)</f>
        <v>84274175</v>
      </c>
      <c r="D98" s="63">
        <f>SUMIF(Пр11!$C11:$C655,1002,Пр11!H11:H655)</f>
        <v>0</v>
      </c>
      <c r="E98" s="63">
        <f>SUMIF(Пр11!$C11:$C655,1002,Пр11!I11:I655)</f>
        <v>84274175</v>
      </c>
      <c r="F98" s="63">
        <f>SUMIF(Пр11!$C11:$C655,1002,Пр11!J11:J655)</f>
        <v>84274175</v>
      </c>
      <c r="G98" s="63">
        <f>SUMIF(Пр11!$C11:$C655,1002,Пр11!K11:K655)</f>
        <v>0</v>
      </c>
      <c r="H98" s="63">
        <f>SUMIF(Пр11!$C11:$C655,1002,Пр11!L11:L655)</f>
        <v>84274175</v>
      </c>
    </row>
    <row r="99" spans="1:8" ht="16.5" thickBot="1" x14ac:dyDescent="0.3">
      <c r="A99" s="61">
        <v>1003</v>
      </c>
      <c r="B99" s="64" t="s">
        <v>226</v>
      </c>
      <c r="C99" s="63">
        <f>SUMIF(Пр11!$C12:$C659,1003,Пр11!G12:G659)</f>
        <v>228193446</v>
      </c>
      <c r="D99" s="63">
        <f>SUMIF(Пр11!$C12:$C659,1003,Пр11!H12:H659)</f>
        <v>0</v>
      </c>
      <c r="E99" s="63">
        <f>SUMIF(Пр11!$C12:$C659,1003,Пр11!I12:I659)</f>
        <v>228193446</v>
      </c>
      <c r="F99" s="63">
        <f>SUMIF(Пр11!$C12:$C659,1003,Пр11!J12:J659)</f>
        <v>228543533</v>
      </c>
      <c r="G99" s="63">
        <f>SUMIF(Пр11!$C12:$C659,1003,Пр11!K12:K659)</f>
        <v>0</v>
      </c>
      <c r="H99" s="63">
        <f>SUMIF(Пр11!$C12:$C659,1003,Пр11!L12:L659)</f>
        <v>228543533</v>
      </c>
    </row>
    <row r="100" spans="1:8" ht="16.5" thickBot="1" x14ac:dyDescent="0.3">
      <c r="A100" s="61">
        <v>1004</v>
      </c>
      <c r="B100" s="62" t="s">
        <v>227</v>
      </c>
      <c r="C100" s="63">
        <f>SUMIF(Пр11!$C14:$C660,1004,Пр11!G14:G660)</f>
        <v>316158302</v>
      </c>
      <c r="D100" s="63">
        <f>SUMIF(Пр11!$C14:$C660,1004,Пр11!H14:H660)</f>
        <v>0</v>
      </c>
      <c r="E100" s="63">
        <f>SUMIF(Пр11!$C14:$C660,1004,Пр11!I14:I660)</f>
        <v>316158302</v>
      </c>
      <c r="F100" s="63">
        <f>SUMIF(Пр11!$C14:$C660,1004,Пр11!J14:J660)</f>
        <v>339484573</v>
      </c>
      <c r="G100" s="63">
        <f>SUMIF(Пр11!$C14:$C660,1004,Пр11!K14:K660)</f>
        <v>0</v>
      </c>
      <c r="H100" s="63">
        <f>SUMIF(Пр11!$C14:$C660,1004,Пр11!L14:L660)</f>
        <v>339484573</v>
      </c>
    </row>
    <row r="101" spans="1:8" ht="32.25" hidden="1" thickBot="1" x14ac:dyDescent="0.3">
      <c r="A101" s="61">
        <v>1005</v>
      </c>
      <c r="B101" s="64" t="s">
        <v>228</v>
      </c>
      <c r="C101" s="63">
        <f>SUMIF(Пр11!$C15:$C661,1005,Пр11!G15:G661)</f>
        <v>0</v>
      </c>
      <c r="D101" s="63">
        <f>SUMIF(Пр11!$C15:$C661,1005,Пр11!H15:H661)</f>
        <v>0</v>
      </c>
      <c r="E101" s="63">
        <f>SUMIF(Пр11!$C15:$C661,1005,Пр11!I15:I661)</f>
        <v>0</v>
      </c>
      <c r="F101" s="63">
        <f>SUMIF(Пр11!$C15:$C661,1005,Пр11!J15:J661)</f>
        <v>0</v>
      </c>
      <c r="G101" s="63">
        <f>SUMIF(Пр11!$C15:$C661,1005,Пр11!K15:K661)</f>
        <v>0</v>
      </c>
      <c r="H101" s="63">
        <f>SUMIF(Пр11!$C15:$C661,1005,Пр11!L15:L661)</f>
        <v>0</v>
      </c>
    </row>
    <row r="102" spans="1:8" ht="16.5" thickBot="1" x14ac:dyDescent="0.3">
      <c r="A102" s="61">
        <v>1006</v>
      </c>
      <c r="B102" s="64" t="s">
        <v>229</v>
      </c>
      <c r="C102" s="63">
        <f>SUMIF(Пр11!$C16:$C662,1006,Пр11!G16:G662)</f>
        <v>15965520</v>
      </c>
      <c r="D102" s="63">
        <f>SUMIF(Пр11!$C16:$C662,1006,Пр11!H16:H662)</f>
        <v>0</v>
      </c>
      <c r="E102" s="63">
        <f>SUMIF(Пр11!$C16:$C662,1006,Пр11!I16:I662)</f>
        <v>15965520</v>
      </c>
      <c r="F102" s="63">
        <f>SUMIF(Пр11!$C16:$C662,1006,Пр11!J16:J662)</f>
        <v>15695520</v>
      </c>
      <c r="G102" s="63">
        <f>SUMIF(Пр11!$C16:$C662,1006,Пр11!K16:K662)</f>
        <v>0</v>
      </c>
      <c r="H102" s="63">
        <f>SUMIF(Пр11!$C16:$C662,1006,Пр11!L16:L662)</f>
        <v>15695520</v>
      </c>
    </row>
    <row r="103" spans="1:8" ht="16.5" thickBot="1" x14ac:dyDescent="0.25">
      <c r="A103" s="58">
        <v>1100</v>
      </c>
      <c r="B103" s="682" t="s">
        <v>230</v>
      </c>
      <c r="C103" s="78">
        <f>SUM(C104:C108)</f>
        <v>41138908</v>
      </c>
      <c r="D103" s="78">
        <f t="shared" ref="D103:E103" si="28">SUM(D104:D108)</f>
        <v>0</v>
      </c>
      <c r="E103" s="78">
        <f t="shared" si="28"/>
        <v>41138908</v>
      </c>
      <c r="F103" s="78">
        <f t="shared" ref="F103" si="29">SUM(F104:F108)</f>
        <v>292613735</v>
      </c>
      <c r="G103" s="78">
        <f t="shared" ref="G103" si="30">SUM(G104:G108)</f>
        <v>0</v>
      </c>
      <c r="H103" s="78">
        <f t="shared" ref="H103" si="31">SUM(H104:H108)</f>
        <v>292613735</v>
      </c>
    </row>
    <row r="104" spans="1:8" ht="16.5" hidden="1" thickBot="1" x14ac:dyDescent="0.3">
      <c r="A104" s="61">
        <v>1101</v>
      </c>
      <c r="B104" s="64" t="s">
        <v>231</v>
      </c>
      <c r="C104" s="63">
        <f>SUMIF(Пр11!$C10:$C655,1101,Пр11!G10:G655)</f>
        <v>0</v>
      </c>
      <c r="D104" s="63">
        <f>SUMIF(Пр11!$C10:$C655,1101,Пр11!H10:H655)</f>
        <v>0</v>
      </c>
      <c r="E104" s="63">
        <f>SUMIF(Пр11!$C10:$C655,1101,Пр11!I10:I655)</f>
        <v>0</v>
      </c>
      <c r="F104" s="63">
        <f>SUMIF(Пр11!$C10:$C655,1101,Пр11!J10:J655)</f>
        <v>0</v>
      </c>
      <c r="G104" s="63">
        <f>SUMIF(Пр11!$C10:$C655,1101,Пр11!K10:K655)</f>
        <v>0</v>
      </c>
      <c r="H104" s="63">
        <f>SUMIF(Пр11!$C10:$C655,1101,Пр11!L10:L655)</f>
        <v>0</v>
      </c>
    </row>
    <row r="105" spans="1:8" ht="16.5" thickBot="1" x14ac:dyDescent="0.3">
      <c r="A105" s="61">
        <v>1102</v>
      </c>
      <c r="B105" s="70" t="s">
        <v>232</v>
      </c>
      <c r="C105" s="63">
        <f>SUMIF(Пр11!$C11:$C655,1102,Пр11!G11:G655)</f>
        <v>41138908</v>
      </c>
      <c r="D105" s="63">
        <f>SUMIF(Пр11!$C11:$C655,1102,Пр11!H11:H655)</f>
        <v>0</v>
      </c>
      <c r="E105" s="63">
        <f>SUMIF(Пр11!$C11:$C655,1102,Пр11!I11:I655)</f>
        <v>41138908</v>
      </c>
      <c r="F105" s="63">
        <f>SUMIF(Пр11!$C11:$C655,1102,Пр11!J11:J655)</f>
        <v>292613735</v>
      </c>
      <c r="G105" s="63">
        <f>SUMIF(Пр11!$C11:$C655,1102,Пр11!K11:K655)</f>
        <v>0</v>
      </c>
      <c r="H105" s="63">
        <f>SUMIF(Пр11!$C11:$C655,1102,Пр11!L11:L655)</f>
        <v>292613735</v>
      </c>
    </row>
    <row r="106" spans="1:8" ht="16.5" hidden="1" thickBot="1" x14ac:dyDescent="0.3">
      <c r="A106" s="61">
        <v>1103</v>
      </c>
      <c r="B106" s="64" t="s">
        <v>233</v>
      </c>
      <c r="C106" s="63">
        <f>SUMIF(Пр11!$C12:$C659,1103,Пр11!G12:G659)</f>
        <v>0</v>
      </c>
      <c r="D106" s="63">
        <f>SUMIF(Пр11!$C12:$C659,1103,Пр11!H12:H659)</f>
        <v>0</v>
      </c>
      <c r="E106" s="63">
        <f>SUMIF(Пр11!$C12:$C659,1103,Пр11!I12:I659)</f>
        <v>0</v>
      </c>
      <c r="F106" s="63">
        <f>SUMIF(Пр11!$C12:$C659,1103,Пр11!J12:J659)</f>
        <v>0</v>
      </c>
      <c r="G106" s="63">
        <f>SUMIF(Пр11!$C12:$C659,1103,Пр11!K12:K659)</f>
        <v>0</v>
      </c>
      <c r="H106" s="63">
        <f>SUMIF(Пр11!$C12:$C659,1103,Пр11!L12:L659)</f>
        <v>0</v>
      </c>
    </row>
    <row r="107" spans="1:8" ht="32.25" hidden="1" thickBot="1" x14ac:dyDescent="0.3">
      <c r="A107" s="61">
        <v>1104</v>
      </c>
      <c r="B107" s="64" t="s">
        <v>234</v>
      </c>
      <c r="C107" s="63">
        <f>SUMIF(Пр11!$C14:$C660,1104,Пр11!G14:G660)</f>
        <v>0</v>
      </c>
      <c r="D107" s="63">
        <f>SUMIF(Пр11!$C14:$C660,1104,Пр11!H14:H660)</f>
        <v>0</v>
      </c>
      <c r="E107" s="63">
        <f>SUMIF(Пр11!$C14:$C660,1104,Пр11!I14:I660)</f>
        <v>0</v>
      </c>
      <c r="F107" s="63">
        <f>SUMIF(Пр11!$C14:$C660,1104,Пр11!J14:J660)</f>
        <v>0</v>
      </c>
      <c r="G107" s="63">
        <f>SUMIF(Пр11!$C14:$C660,1104,Пр11!K14:K660)</f>
        <v>0</v>
      </c>
      <c r="H107" s="63">
        <f>SUMIF(Пр11!$C14:$C660,1104,Пр11!L14:L660)</f>
        <v>0</v>
      </c>
    </row>
    <row r="108" spans="1:8" ht="32.25" hidden="1" thickBot="1" x14ac:dyDescent="0.3">
      <c r="A108" s="61">
        <v>1105</v>
      </c>
      <c r="B108" s="64" t="s">
        <v>235</v>
      </c>
      <c r="C108" s="63">
        <f>SUMIF(Пр11!$C15:$C661,1105,Пр11!G15:G661)</f>
        <v>0</v>
      </c>
      <c r="D108" s="63">
        <f>SUMIF(Пр11!$C15:$C661,1105,Пр11!H15:H661)</f>
        <v>0</v>
      </c>
      <c r="E108" s="63">
        <f>SUMIF(Пр11!$C15:$C661,1105,Пр11!I15:I661)</f>
        <v>0</v>
      </c>
      <c r="F108" s="63">
        <f>SUMIF(Пр11!$C15:$C661,1105,Пр11!J15:J661)</f>
        <v>0</v>
      </c>
      <c r="G108" s="63">
        <f>SUMIF(Пр11!$C15:$C661,1105,Пр11!K15:K661)</f>
        <v>0</v>
      </c>
      <c r="H108" s="63">
        <f>SUMIF(Пр11!$C15:$C661,1105,Пр11!L15:L661)</f>
        <v>0</v>
      </c>
    </row>
    <row r="109" spans="1:8" ht="22.9" customHeight="1" thickBot="1" x14ac:dyDescent="0.25">
      <c r="A109" s="58">
        <v>1200</v>
      </c>
      <c r="B109" s="682" t="s">
        <v>236</v>
      </c>
      <c r="C109" s="78">
        <f>SUM(C110:C113)</f>
        <v>2500000</v>
      </c>
      <c r="D109" s="78">
        <f t="shared" ref="D109:E109" si="32">SUM(D110:D113)</f>
        <v>0</v>
      </c>
      <c r="E109" s="78">
        <f t="shared" si="32"/>
        <v>2500000</v>
      </c>
      <c r="F109" s="78">
        <f t="shared" ref="F109:H109" si="33">SUM(F110:F113)</f>
        <v>0</v>
      </c>
      <c r="G109" s="78">
        <f t="shared" si="33"/>
        <v>0</v>
      </c>
      <c r="H109" s="78">
        <f t="shared" si="33"/>
        <v>0</v>
      </c>
    </row>
    <row r="110" spans="1:8" ht="16.5" hidden="1" thickBot="1" x14ac:dyDescent="0.3">
      <c r="A110" s="61">
        <v>1201</v>
      </c>
      <c r="B110" s="64" t="s">
        <v>237</v>
      </c>
      <c r="C110" s="63">
        <f>SUMIF(Пр11!$C10:$C655,1201,Пр11!G10:G655)</f>
        <v>0</v>
      </c>
      <c r="D110" s="63">
        <f>SUMIF(Пр11!$C10:$C655,1201,Пр11!H10:H655)</f>
        <v>0</v>
      </c>
      <c r="E110" s="63">
        <f>SUMIF(Пр11!$C10:$C655,1201,Пр11!I10:I655)</f>
        <v>0</v>
      </c>
      <c r="F110" s="63">
        <f>SUMIF(Пр11!$C10:$C655,1201,Пр11!J10:J655)</f>
        <v>0</v>
      </c>
      <c r="G110" s="63">
        <f>SUMIF(Пр11!$C10:$C655,1201,Пр11!K10:K655)</f>
        <v>0</v>
      </c>
      <c r="H110" s="63">
        <f>SUMIF(Пр11!$C10:$C655,1201,Пр11!L10:L655)</f>
        <v>0</v>
      </c>
    </row>
    <row r="111" spans="1:8" ht="16.5" thickBot="1" x14ac:dyDescent="0.3">
      <c r="A111" s="61">
        <v>1202</v>
      </c>
      <c r="B111" s="64" t="s">
        <v>238</v>
      </c>
      <c r="C111" s="63">
        <f>SUMIF(Пр11!$C11:$C655,1202,Пр11!G11:G655)</f>
        <v>2500000</v>
      </c>
      <c r="D111" s="63">
        <f>SUMIF(Пр11!$C11:$C655,1202,Пр11!H11:H655)</f>
        <v>0</v>
      </c>
      <c r="E111" s="63">
        <f>SUMIF(Пр11!$C11:$C655,1202,Пр11!I11:I655)</f>
        <v>2500000</v>
      </c>
      <c r="F111" s="63">
        <f>SUMIF(Пр11!$C11:$C655,1202,Пр11!J11:J655)</f>
        <v>0</v>
      </c>
      <c r="G111" s="63">
        <f>SUMIF(Пр11!$C11:$C655,1202,Пр11!K11:K655)</f>
        <v>0</v>
      </c>
      <c r="H111" s="63">
        <f>SUMIF(Пр11!$C11:$C655,1202,Пр11!L11:L655)</f>
        <v>0</v>
      </c>
    </row>
    <row r="112" spans="1:8" ht="32.25" hidden="1" thickBot="1" x14ac:dyDescent="0.3">
      <c r="A112" s="61">
        <v>1203</v>
      </c>
      <c r="B112" s="64" t="s">
        <v>239</v>
      </c>
      <c r="C112" s="63">
        <f>SUMIF(Пр11!$C12:$C659,1203,Пр11!G12:G659)</f>
        <v>0</v>
      </c>
      <c r="D112" s="63">
        <f>SUMIF(Пр11!$C12:$C659,1203,Пр11!H12:H659)</f>
        <v>0</v>
      </c>
      <c r="E112" s="63">
        <f>SUMIF(Пр11!$C12:$C659,1203,Пр11!I12:I659)</f>
        <v>0</v>
      </c>
      <c r="F112" s="63">
        <f>SUMIF(Пр11!$C12:$C659,1203,Пр11!J12:J659)</f>
        <v>0</v>
      </c>
      <c r="G112" s="63">
        <f>SUMIF(Пр11!$C12:$C659,1203,Пр11!K12:K659)</f>
        <v>0</v>
      </c>
      <c r="H112" s="63">
        <f>SUMIF(Пр11!$C12:$C659,1203,Пр11!L12:L659)</f>
        <v>0</v>
      </c>
    </row>
    <row r="113" spans="1:8" ht="32.25" hidden="1" thickBot="1" x14ac:dyDescent="0.3">
      <c r="A113" s="61">
        <v>1204</v>
      </c>
      <c r="B113" s="64" t="s">
        <v>240</v>
      </c>
      <c r="C113" s="63">
        <f>SUMIF(Пр11!$C14:$C660,1204,Пр11!G14:G660)</f>
        <v>0</v>
      </c>
      <c r="D113" s="63">
        <f>SUMIF(Пр11!$C14:$C660,1204,Пр11!H14:H660)</f>
        <v>0</v>
      </c>
      <c r="E113" s="63">
        <f>SUMIF(Пр11!$C14:$C660,1204,Пр11!I14:I660)</f>
        <v>0</v>
      </c>
      <c r="F113" s="63">
        <f>SUMIF(Пр11!$C14:$C660,1204,Пр11!J14:J660)</f>
        <v>0</v>
      </c>
      <c r="G113" s="63">
        <f>SUMIF(Пр11!$C14:$C660,1204,Пр11!K14:K660)</f>
        <v>0</v>
      </c>
      <c r="H113" s="63">
        <f>SUMIF(Пр11!$C14:$C660,1204,Пр11!L14:L660)</f>
        <v>0</v>
      </c>
    </row>
    <row r="114" spans="1:8" ht="32.25" thickBot="1" x14ac:dyDescent="0.25">
      <c r="A114" s="58">
        <v>1300</v>
      </c>
      <c r="B114" s="682" t="s">
        <v>241</v>
      </c>
      <c r="C114" s="78">
        <f>SUM(C115:C116)</f>
        <v>100000</v>
      </c>
      <c r="D114" s="78">
        <f t="shared" ref="D114:E114" si="34">SUM(D115:D116)</f>
        <v>0</v>
      </c>
      <c r="E114" s="78">
        <f t="shared" si="34"/>
        <v>100000</v>
      </c>
      <c r="F114" s="78">
        <f t="shared" ref="F114:H114" si="35">SUM(F115:F116)</f>
        <v>0</v>
      </c>
      <c r="G114" s="78">
        <f t="shared" si="35"/>
        <v>0</v>
      </c>
      <c r="H114" s="78">
        <f t="shared" si="35"/>
        <v>0</v>
      </c>
    </row>
    <row r="115" spans="1:8" ht="32.25" thickBot="1" x14ac:dyDescent="0.3">
      <c r="A115" s="61">
        <v>1301</v>
      </c>
      <c r="B115" s="87" t="s">
        <v>1563</v>
      </c>
      <c r="C115" s="63">
        <f>SUMIF(Пр11!$C10:$C655,1301,Пр11!G10:G655)</f>
        <v>100000</v>
      </c>
      <c r="D115" s="63">
        <f>SUMIF(Пр11!$C10:$C655,1301,Пр11!H10:H655)</f>
        <v>0</v>
      </c>
      <c r="E115" s="63">
        <f>SUMIF(Пр11!$C10:$C655,1301,Пр11!I10:I655)</f>
        <v>100000</v>
      </c>
      <c r="F115" s="63">
        <f>SUMIF(Пр11!$C10:$C655,1301,Пр11!J10:J655)</f>
        <v>0</v>
      </c>
      <c r="G115" s="63">
        <f>SUMIF(Пр11!$C10:$C655,1301,Пр11!K10:K655)</f>
        <v>0</v>
      </c>
      <c r="H115" s="63">
        <f>SUMIF(Пр11!$C10:$C655,1301,Пр11!L10:L655)</f>
        <v>0</v>
      </c>
    </row>
    <row r="116" spans="1:8" ht="32.25" hidden="1" thickBot="1" x14ac:dyDescent="0.3">
      <c r="A116" s="61">
        <v>1302</v>
      </c>
      <c r="B116" s="87" t="s">
        <v>1564</v>
      </c>
      <c r="C116" s="63">
        <f>SUMIF(Пр11!$C11:$C655,1302,Пр11!G11:G655)</f>
        <v>0</v>
      </c>
      <c r="D116" s="63">
        <f>SUMIF(Пр11!$C11:$C655,1302,Пр11!H11:H655)</f>
        <v>0</v>
      </c>
      <c r="E116" s="63">
        <f>SUMIF(Пр11!$C11:$C655,1302,Пр11!I11:I655)</f>
        <v>0</v>
      </c>
      <c r="F116" s="63">
        <f>SUMIF(Пр11!$C11:$C655,1302,Пр11!J11:J655)</f>
        <v>0</v>
      </c>
      <c r="G116" s="63">
        <f>SUMIF(Пр11!$C11:$C655,1302,Пр11!K11:K655)</f>
        <v>0</v>
      </c>
      <c r="H116" s="63">
        <f>SUMIF(Пр11!$C11:$C655,1302,Пр11!L11:L655)</f>
        <v>0</v>
      </c>
    </row>
    <row r="117" spans="1:8" ht="63.75" hidden="1" thickBot="1" x14ac:dyDescent="0.25">
      <c r="A117" s="58">
        <v>1400</v>
      </c>
      <c r="B117" s="682" t="s">
        <v>242</v>
      </c>
      <c r="C117" s="78">
        <f>SUM(C118:C120)</f>
        <v>0</v>
      </c>
      <c r="D117" s="78">
        <f t="shared" ref="D117:E117" si="36">SUM(D118:D120)</f>
        <v>0</v>
      </c>
      <c r="E117" s="78">
        <f t="shared" si="36"/>
        <v>0</v>
      </c>
      <c r="F117" s="78">
        <f t="shared" ref="F117:H117" si="37">SUM(F118:F120)</f>
        <v>0</v>
      </c>
      <c r="G117" s="78">
        <f t="shared" si="37"/>
        <v>0</v>
      </c>
      <c r="H117" s="78">
        <f t="shared" si="37"/>
        <v>0</v>
      </c>
    </row>
    <row r="118" spans="1:8" ht="48" hidden="1" thickBot="1" x14ac:dyDescent="0.3">
      <c r="A118" s="61">
        <v>1401</v>
      </c>
      <c r="B118" s="64" t="s">
        <v>243</v>
      </c>
      <c r="C118" s="63">
        <f>SUMIF(Пр11!$C10:$C655,1401,Пр11!G10:G655)</f>
        <v>0</v>
      </c>
      <c r="D118" s="63">
        <f>SUMIF(Пр11!$C10:$C655,1401,Пр11!H10:H655)</f>
        <v>0</v>
      </c>
      <c r="E118" s="63">
        <f>SUMIF(Пр11!$C10:$C655,1401,Пр11!I10:I655)</f>
        <v>0</v>
      </c>
      <c r="F118" s="63">
        <f>SUMIF(Пр11!$C10:$C655,1401,Пр11!J10:J655)</f>
        <v>0</v>
      </c>
      <c r="G118" s="63">
        <f>SUMIF(Пр11!$C10:$C655,1401,Пр11!K10:K655)</f>
        <v>0</v>
      </c>
      <c r="H118" s="63">
        <f>SUMIF(Пр11!$C10:$C655,1401,Пр11!L10:L655)</f>
        <v>0</v>
      </c>
    </row>
    <row r="119" spans="1:8" ht="16.5" hidden="1" thickBot="1" x14ac:dyDescent="0.3">
      <c r="A119" s="61">
        <v>1402</v>
      </c>
      <c r="B119" s="64" t="s">
        <v>244</v>
      </c>
      <c r="C119" s="63">
        <f>SUMIF(Пр11!$C11:$C655,1402,Пр11!G11:G655)</f>
        <v>0</v>
      </c>
      <c r="D119" s="63">
        <f>SUMIF(Пр11!$C11:$C655,1402,Пр11!H11:H655)</f>
        <v>0</v>
      </c>
      <c r="E119" s="63">
        <f>SUMIF(Пр11!$C11:$C655,1402,Пр11!I11:I655)</f>
        <v>0</v>
      </c>
      <c r="F119" s="63">
        <f>SUMIF(Пр11!$C11:$C655,1402,Пр11!J11:J655)</f>
        <v>0</v>
      </c>
      <c r="G119" s="63">
        <f>SUMIF(Пр11!$C11:$C655,1402,Пр11!K11:K655)</f>
        <v>0</v>
      </c>
      <c r="H119" s="63">
        <f>SUMIF(Пр11!$C11:$C655,1402,Пр11!L11:L655)</f>
        <v>0</v>
      </c>
    </row>
    <row r="120" spans="1:8" ht="32.25" hidden="1" thickBot="1" x14ac:dyDescent="0.3">
      <c r="A120" s="61">
        <v>1403</v>
      </c>
      <c r="B120" s="87" t="s">
        <v>1565</v>
      </c>
      <c r="C120" s="63">
        <f>SUMIF(Пр11!$C12:$C659,1403,Пр11!G12:G659)</f>
        <v>0</v>
      </c>
      <c r="D120" s="63">
        <f>SUMIF(Пр11!$C12:$C659,1403,Пр11!H12:H659)</f>
        <v>0</v>
      </c>
      <c r="E120" s="63">
        <f>SUMIF(Пр11!$C12:$C659,1403,Пр11!I12:I659)</f>
        <v>0</v>
      </c>
      <c r="F120" s="63">
        <f>SUMIF(Пр11!$C12:$C659,1403,Пр11!J12:J659)</f>
        <v>0</v>
      </c>
      <c r="G120" s="63">
        <f>SUMIF(Пр11!$C12:$C659,1403,Пр11!K12:K659)</f>
        <v>0</v>
      </c>
      <c r="H120" s="63">
        <f>SUMIF(Пр11!$C12:$C659,1403,Пр11!L12:L659)</f>
        <v>0</v>
      </c>
    </row>
    <row r="121" spans="1:8" ht="16.5" thickBot="1" x14ac:dyDescent="0.3">
      <c r="A121" s="843" t="s">
        <v>129</v>
      </c>
      <c r="B121" s="843"/>
      <c r="C121" s="60">
        <f ca="1">C9+C23+C33+C46+C59+C65+C71+C81+C86+C96+C103+C109+C114+C117</f>
        <v>2251115068</v>
      </c>
      <c r="D121" s="60">
        <f t="shared" ref="D121:H121" ca="1" si="38">D9+D23+D33+D46+D59+D65+D71+D81+D86+D96+D103+D109+D114+D117</f>
        <v>-110108000</v>
      </c>
      <c r="E121" s="60">
        <f ca="1">E9+E23+E33+E46+E59+E65+E71+E81+E86+E96+E103+E109+E114+E117</f>
        <v>2141007068</v>
      </c>
      <c r="F121" s="60">
        <f t="shared" ca="1" si="38"/>
        <v>2220028024</v>
      </c>
      <c r="G121" s="60">
        <f t="shared" ca="1" si="38"/>
        <v>0</v>
      </c>
      <c r="H121" s="60">
        <f t="shared" ca="1" si="38"/>
        <v>2220028024</v>
      </c>
    </row>
    <row r="122" spans="1:8" ht="16.5" thickBot="1" x14ac:dyDescent="0.3">
      <c r="A122" s="843" t="s">
        <v>246</v>
      </c>
      <c r="B122" s="843"/>
      <c r="C122" s="683">
        <v>13500000</v>
      </c>
      <c r="D122" s="683">
        <f>Пр11!H660</f>
        <v>0</v>
      </c>
      <c r="E122" s="683">
        <v>13500000</v>
      </c>
      <c r="F122" s="683">
        <v>17500000</v>
      </c>
      <c r="G122" s="683">
        <f>Пр11!K660</f>
        <v>0</v>
      </c>
      <c r="H122" s="683">
        <v>17500000</v>
      </c>
    </row>
    <row r="123" spans="1:8" ht="16.5" thickBot="1" x14ac:dyDescent="0.3">
      <c r="A123" s="843" t="s">
        <v>245</v>
      </c>
      <c r="B123" s="843"/>
      <c r="C123" s="60">
        <f ca="1">Пр2!J126-C121-C122</f>
        <v>0</v>
      </c>
      <c r="D123" s="60">
        <f ca="1">Пр2!K126-D121-D122</f>
        <v>110108000</v>
      </c>
      <c r="E123" s="60">
        <f ca="1">Пр2!L126-Пр4!E121-Пр4!E122</f>
        <v>110108000</v>
      </c>
      <c r="F123" s="60">
        <f ca="1">Пр2!M126-F121-F122</f>
        <v>0</v>
      </c>
      <c r="G123" s="60">
        <f ca="1">Пр2!N126-G121-G122</f>
        <v>0</v>
      </c>
      <c r="H123" s="60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6" sqref="B6"/>
    </sheetView>
  </sheetViews>
  <sheetFormatPr defaultRowHeight="12.75" x14ac:dyDescent="0.2"/>
  <cols>
    <col min="1" max="1" width="28.7109375" customWidth="1"/>
    <col min="2" max="2" width="49.7109375" customWidth="1"/>
    <col min="3" max="3" width="16.7109375" hidden="1" customWidth="1"/>
    <col min="4" max="4" width="14.85546875" hidden="1" customWidth="1"/>
    <col min="5" max="5" width="15.140625" customWidth="1"/>
    <col min="6" max="6" width="43.28515625" customWidth="1"/>
  </cols>
  <sheetData>
    <row r="1" spans="1:5" ht="15.75" x14ac:dyDescent="0.25">
      <c r="A1" s="829" t="s">
        <v>1765</v>
      </c>
      <c r="B1" s="829"/>
      <c r="C1" s="829"/>
      <c r="D1" s="829"/>
      <c r="E1" s="829"/>
    </row>
    <row r="2" spans="1:5" ht="15.75" x14ac:dyDescent="0.25">
      <c r="A2" s="829" t="s">
        <v>1</v>
      </c>
      <c r="B2" s="829"/>
      <c r="C2" s="829"/>
      <c r="D2" s="829"/>
      <c r="E2" s="829"/>
    </row>
    <row r="3" spans="1:5" ht="15.75" x14ac:dyDescent="0.25">
      <c r="A3" s="829" t="s">
        <v>2</v>
      </c>
      <c r="B3" s="829"/>
      <c r="C3" s="829"/>
      <c r="D3" s="829"/>
      <c r="E3" s="829"/>
    </row>
    <row r="4" spans="1:5" ht="15.75" x14ac:dyDescent="0.25">
      <c r="A4" s="829" t="s">
        <v>1808</v>
      </c>
      <c r="B4" s="829"/>
      <c r="C4" s="829"/>
      <c r="D4" s="829"/>
      <c r="E4" s="829"/>
    </row>
    <row r="6" spans="1:5" ht="15.75" x14ac:dyDescent="0.25">
      <c r="A6" s="71"/>
      <c r="B6" s="1"/>
    </row>
    <row r="7" spans="1:5" ht="33" customHeight="1" x14ac:dyDescent="0.2">
      <c r="A7" s="830" t="s">
        <v>1619</v>
      </c>
      <c r="B7" s="830"/>
      <c r="C7" s="830"/>
      <c r="D7" s="830"/>
      <c r="E7" s="830"/>
    </row>
    <row r="8" spans="1:5" ht="19.5" thickBot="1" x14ac:dyDescent="0.25">
      <c r="A8" s="8"/>
      <c r="B8" s="1"/>
    </row>
    <row r="9" spans="1:5" ht="16.5" thickBot="1" x14ac:dyDescent="0.25">
      <c r="A9" s="56" t="s">
        <v>138</v>
      </c>
      <c r="B9" s="56" t="s">
        <v>247</v>
      </c>
      <c r="C9" s="56" t="s">
        <v>140</v>
      </c>
      <c r="D9" s="56" t="s">
        <v>140</v>
      </c>
      <c r="E9" s="72" t="s">
        <v>140</v>
      </c>
    </row>
    <row r="10" spans="1:5" ht="32.25" hidden="1" thickBot="1" x14ac:dyDescent="0.25">
      <c r="A10" s="73" t="s">
        <v>248</v>
      </c>
      <c r="B10" s="59" t="s">
        <v>249</v>
      </c>
      <c r="C10" s="74">
        <f>C11-C13</f>
        <v>0</v>
      </c>
      <c r="D10" s="74">
        <f>D11-D13</f>
        <v>0</v>
      </c>
      <c r="E10" s="74">
        <f>SUM(C10:D10)</f>
        <v>0</v>
      </c>
    </row>
    <row r="11" spans="1:5" ht="32.25" hidden="1" thickBot="1" x14ac:dyDescent="0.25">
      <c r="A11" s="75" t="s">
        <v>250</v>
      </c>
      <c r="B11" s="62" t="s">
        <v>251</v>
      </c>
      <c r="C11" s="76">
        <f>C12</f>
        <v>7000000</v>
      </c>
      <c r="D11" s="76">
        <f t="shared" ref="D11" si="0">D12</f>
        <v>-7000000</v>
      </c>
      <c r="E11" s="76">
        <f>SUM(C11:D11)</f>
        <v>0</v>
      </c>
    </row>
    <row r="12" spans="1:5" ht="48" hidden="1" thickBot="1" x14ac:dyDescent="0.25">
      <c r="A12" s="75" t="s">
        <v>252</v>
      </c>
      <c r="B12" s="62" t="s">
        <v>253</v>
      </c>
      <c r="C12" s="76">
        <v>7000000</v>
      </c>
      <c r="D12" s="76">
        <v>-7000000</v>
      </c>
      <c r="E12" s="76">
        <f t="shared" ref="E12:E26" si="1">SUM(C12:D12)</f>
        <v>0</v>
      </c>
    </row>
    <row r="13" spans="1:5" ht="48" hidden="1" thickBot="1" x14ac:dyDescent="0.25">
      <c r="A13" s="75" t="s">
        <v>254</v>
      </c>
      <c r="B13" s="62" t="s">
        <v>255</v>
      </c>
      <c r="C13" s="76">
        <f>C14</f>
        <v>7000000</v>
      </c>
      <c r="D13" s="76">
        <f t="shared" ref="D13" si="2">D14</f>
        <v>-7000000</v>
      </c>
      <c r="E13" s="76">
        <f t="shared" si="1"/>
        <v>0</v>
      </c>
    </row>
    <row r="14" spans="1:5" ht="48" hidden="1" thickBot="1" x14ac:dyDescent="0.25">
      <c r="A14" s="75" t="s">
        <v>256</v>
      </c>
      <c r="B14" s="62" t="s">
        <v>257</v>
      </c>
      <c r="C14" s="76">
        <v>7000000</v>
      </c>
      <c r="D14" s="76">
        <v>-7000000</v>
      </c>
      <c r="E14" s="76">
        <f t="shared" si="1"/>
        <v>0</v>
      </c>
    </row>
    <row r="15" spans="1:5" ht="32.25" thickBot="1" x14ac:dyDescent="0.25">
      <c r="A15" s="73" t="s">
        <v>258</v>
      </c>
      <c r="B15" s="59" t="s">
        <v>259</v>
      </c>
      <c r="C15" s="74">
        <f>-C18+C16</f>
        <v>0</v>
      </c>
      <c r="D15" s="74">
        <f t="shared" ref="D15" si="3">D18+D16</f>
        <v>6150000</v>
      </c>
      <c r="E15" s="74">
        <f t="shared" si="1"/>
        <v>6150000</v>
      </c>
    </row>
    <row r="16" spans="1:5" ht="63.75" thickBot="1" x14ac:dyDescent="0.25">
      <c r="A16" s="77" t="s">
        <v>260</v>
      </c>
      <c r="B16" s="62" t="s">
        <v>261</v>
      </c>
      <c r="C16" s="76">
        <f>C17</f>
        <v>0</v>
      </c>
      <c r="D16" s="76">
        <f t="shared" ref="D16" si="4">D17</f>
        <v>6150000</v>
      </c>
      <c r="E16" s="76">
        <f t="shared" si="1"/>
        <v>6150000</v>
      </c>
    </row>
    <row r="17" spans="1:5" ht="63.75" thickBot="1" x14ac:dyDescent="0.25">
      <c r="A17" s="77" t="s">
        <v>262</v>
      </c>
      <c r="B17" s="62" t="s">
        <v>263</v>
      </c>
      <c r="C17" s="76">
        <v>0</v>
      </c>
      <c r="D17" s="76">
        <v>6150000</v>
      </c>
      <c r="E17" s="76">
        <f t="shared" si="1"/>
        <v>6150000</v>
      </c>
    </row>
    <row r="18" spans="1:5" ht="63.75" hidden="1" thickBot="1" x14ac:dyDescent="0.25">
      <c r="A18" s="75" t="s">
        <v>264</v>
      </c>
      <c r="B18" s="62" t="s">
        <v>265</v>
      </c>
      <c r="C18" s="76">
        <f>C19</f>
        <v>0</v>
      </c>
      <c r="D18" s="76">
        <f t="shared" ref="D18" si="5">D19</f>
        <v>0</v>
      </c>
      <c r="E18" s="76">
        <f t="shared" si="1"/>
        <v>0</v>
      </c>
    </row>
    <row r="19" spans="1:5" ht="63.75" hidden="1" thickBot="1" x14ac:dyDescent="0.25">
      <c r="A19" s="75" t="s">
        <v>266</v>
      </c>
      <c r="B19" s="62" t="s">
        <v>267</v>
      </c>
      <c r="C19" s="76">
        <v>0</v>
      </c>
      <c r="D19" s="76">
        <v>0</v>
      </c>
      <c r="E19" s="76">
        <f t="shared" si="1"/>
        <v>0</v>
      </c>
    </row>
    <row r="20" spans="1:5" ht="32.25" thickBot="1" x14ac:dyDescent="0.25">
      <c r="A20" s="73" t="s">
        <v>268</v>
      </c>
      <c r="B20" s="59" t="s">
        <v>269</v>
      </c>
      <c r="C20" s="74">
        <f>C22-C21</f>
        <v>30799999.930000305</v>
      </c>
      <c r="D20" s="74">
        <f>D22-D21</f>
        <v>-1762843.6000000015</v>
      </c>
      <c r="E20" s="74">
        <f t="shared" si="1"/>
        <v>29037156.330000304</v>
      </c>
    </row>
    <row r="21" spans="1:5" ht="32.25" thickBot="1" x14ac:dyDescent="0.25">
      <c r="A21" s="75" t="s">
        <v>270</v>
      </c>
      <c r="B21" s="62" t="s">
        <v>271</v>
      </c>
      <c r="C21" s="76">
        <f>(Пр1!J149+C12+C25)</f>
        <v>2775488800</v>
      </c>
      <c r="D21" s="76">
        <f>(Пр1!K149+D12+D25+D16)</f>
        <v>11721339</v>
      </c>
      <c r="E21" s="76">
        <f>SUM(C21:D21)</f>
        <v>2787210139</v>
      </c>
    </row>
    <row r="22" spans="1:5" ht="32.25" thickBot="1" x14ac:dyDescent="0.25">
      <c r="A22" s="75" t="s">
        <v>272</v>
      </c>
      <c r="B22" s="62" t="s">
        <v>273</v>
      </c>
      <c r="C22" s="76">
        <f>Пр_3!C121+C19+C14</f>
        <v>2806288799.9300003</v>
      </c>
      <c r="D22" s="76">
        <f>Пр_3!D121+D14</f>
        <v>9958495.3999999985</v>
      </c>
      <c r="E22" s="76">
        <f t="shared" si="1"/>
        <v>2816247295.3300004</v>
      </c>
    </row>
    <row r="23" spans="1:5" ht="48" hidden="1" thickBot="1" x14ac:dyDescent="0.25">
      <c r="A23" s="73" t="s">
        <v>274</v>
      </c>
      <c r="B23" s="59" t="s">
        <v>275</v>
      </c>
      <c r="C23" s="74">
        <f>C24</f>
        <v>0</v>
      </c>
      <c r="D23" s="74">
        <f t="shared" ref="D23:D24" si="6">D24</f>
        <v>0</v>
      </c>
      <c r="E23" s="76">
        <f t="shared" si="1"/>
        <v>0</v>
      </c>
    </row>
    <row r="24" spans="1:5" ht="48" hidden="1" thickBot="1" x14ac:dyDescent="0.25">
      <c r="A24" s="75" t="s">
        <v>276</v>
      </c>
      <c r="B24" s="62" t="s">
        <v>277</v>
      </c>
      <c r="C24" s="76">
        <f>C25</f>
        <v>0</v>
      </c>
      <c r="D24" s="76">
        <f t="shared" si="6"/>
        <v>0</v>
      </c>
      <c r="E24" s="76">
        <f t="shared" si="1"/>
        <v>0</v>
      </c>
    </row>
    <row r="25" spans="1:5" ht="63.75" hidden="1" thickBot="1" x14ac:dyDescent="0.25">
      <c r="A25" s="75" t="s">
        <v>278</v>
      </c>
      <c r="B25" s="62" t="s">
        <v>279</v>
      </c>
      <c r="C25" s="76"/>
      <c r="D25" s="76"/>
      <c r="E25" s="76">
        <f t="shared" si="1"/>
        <v>0</v>
      </c>
    </row>
    <row r="26" spans="1:5" ht="16.5" thickBot="1" x14ac:dyDescent="0.25">
      <c r="A26" s="846" t="s">
        <v>280</v>
      </c>
      <c r="B26" s="846"/>
      <c r="C26" s="78">
        <f>C20+C10+C23+C15</f>
        <v>30799999.930000305</v>
      </c>
      <c r="D26" s="78">
        <f t="shared" ref="D26" si="7">D20+D10+D23+D15</f>
        <v>4387156.3999999985</v>
      </c>
      <c r="E26" s="74">
        <f t="shared" si="1"/>
        <v>35187156.330000304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7" zoomScaleSheetLayoutView="100" workbookViewId="0">
      <selection activeCell="B9" sqref="B1:H1048576"/>
    </sheetView>
  </sheetViews>
  <sheetFormatPr defaultColWidth="9.140625" defaultRowHeight="12.75" x14ac:dyDescent="0.2"/>
  <cols>
    <col min="1" max="1" width="25" style="40" customWidth="1"/>
    <col min="2" max="2" width="42.7109375" style="40" customWidth="1"/>
    <col min="3" max="3" width="16.140625" style="40" customWidth="1"/>
    <col min="4" max="4" width="17.140625" style="40" customWidth="1"/>
    <col min="5" max="5" width="15.140625" style="40" customWidth="1"/>
    <col min="6" max="6" width="16.140625" style="40" customWidth="1"/>
    <col min="7" max="7" width="17" style="40" customWidth="1"/>
    <col min="8" max="8" width="16" style="40" customWidth="1"/>
    <col min="9" max="16384" width="9.140625" style="40"/>
  </cols>
  <sheetData>
    <row r="1" spans="1:8" ht="15.75" x14ac:dyDescent="0.25">
      <c r="A1" s="829" t="s">
        <v>1786</v>
      </c>
      <c r="B1" s="829"/>
      <c r="C1" s="829"/>
      <c r="D1" s="829"/>
      <c r="E1" s="829"/>
      <c r="F1" s="829"/>
      <c r="G1" s="829"/>
      <c r="H1" s="829"/>
    </row>
    <row r="2" spans="1:8" ht="15.75" x14ac:dyDescent="0.25">
      <c r="A2" s="829" t="s">
        <v>1</v>
      </c>
      <c r="B2" s="829"/>
      <c r="C2" s="829"/>
      <c r="D2" s="829"/>
      <c r="E2" s="829"/>
      <c r="F2" s="829"/>
      <c r="G2" s="829"/>
      <c r="H2" s="829"/>
    </row>
    <row r="3" spans="1:8" ht="15.75" x14ac:dyDescent="0.25">
      <c r="A3" s="829" t="s">
        <v>2</v>
      </c>
      <c r="B3" s="829"/>
      <c r="C3" s="829"/>
      <c r="D3" s="829"/>
      <c r="E3" s="829"/>
      <c r="F3" s="829"/>
      <c r="G3" s="829"/>
      <c r="H3" s="829"/>
    </row>
    <row r="4" spans="1:8" ht="15" customHeight="1" x14ac:dyDescent="0.25">
      <c r="A4" s="829" t="s">
        <v>1754</v>
      </c>
      <c r="B4" s="829"/>
      <c r="C4" s="829"/>
      <c r="D4" s="829"/>
      <c r="E4" s="829"/>
      <c r="F4" s="829"/>
      <c r="G4" s="829"/>
      <c r="H4" s="829"/>
    </row>
    <row r="5" spans="1:8" hidden="1" x14ac:dyDescent="0.2">
      <c r="C5" s="79"/>
      <c r="D5" s="47"/>
    </row>
    <row r="6" spans="1:8" ht="15" customHeight="1" x14ac:dyDescent="0.2">
      <c r="A6" s="848" t="s">
        <v>1620</v>
      </c>
      <c r="B6" s="848"/>
      <c r="C6" s="848"/>
      <c r="D6" s="848"/>
      <c r="E6" s="848"/>
      <c r="F6" s="848"/>
      <c r="G6" s="848"/>
      <c r="H6" s="848"/>
    </row>
    <row r="7" spans="1:8" ht="46.5" customHeight="1" x14ac:dyDescent="0.2">
      <c r="A7" s="848"/>
      <c r="B7" s="848"/>
      <c r="C7" s="848"/>
      <c r="D7" s="848"/>
      <c r="E7" s="848"/>
      <c r="F7" s="848"/>
      <c r="G7" s="848"/>
      <c r="H7" s="848"/>
    </row>
    <row r="8" spans="1:8" ht="19.5" thickBot="1" x14ac:dyDescent="0.25">
      <c r="A8" s="8"/>
      <c r="B8" s="1"/>
      <c r="C8" s="79"/>
      <c r="D8" s="845"/>
      <c r="E8" s="845"/>
      <c r="F8" s="845"/>
      <c r="G8" s="845"/>
      <c r="H8" s="845"/>
    </row>
    <row r="9" spans="1:8" ht="32.25" thickBot="1" x14ac:dyDescent="0.25">
      <c r="A9" s="56" t="s">
        <v>138</v>
      </c>
      <c r="B9" s="56" t="s">
        <v>247</v>
      </c>
      <c r="C9" s="56" t="s">
        <v>1538</v>
      </c>
      <c r="D9" s="56" t="s">
        <v>658</v>
      </c>
      <c r="E9" s="56" t="s">
        <v>1538</v>
      </c>
      <c r="F9" s="56" t="s">
        <v>1615</v>
      </c>
      <c r="G9" s="56" t="s">
        <v>658</v>
      </c>
      <c r="H9" s="56" t="s">
        <v>1615</v>
      </c>
    </row>
    <row r="10" spans="1:8" ht="32.25" thickBot="1" x14ac:dyDescent="0.25">
      <c r="A10" s="80" t="s">
        <v>282</v>
      </c>
      <c r="B10" s="81" t="s">
        <v>249</v>
      </c>
      <c r="C10" s="74">
        <f>C11-C13</f>
        <v>0</v>
      </c>
      <c r="D10" s="74">
        <f>D11-D13</f>
        <v>6150000</v>
      </c>
      <c r="E10" s="74">
        <f t="shared" ref="E10:H10" si="0">E11-E13</f>
        <v>6150000</v>
      </c>
      <c r="F10" s="74">
        <f t="shared" si="0"/>
        <v>0</v>
      </c>
      <c r="G10" s="74">
        <f t="shared" si="0"/>
        <v>0</v>
      </c>
      <c r="H10" s="74">
        <f t="shared" si="0"/>
        <v>0</v>
      </c>
    </row>
    <row r="11" spans="1:8" ht="48" thickBot="1" x14ac:dyDescent="0.25">
      <c r="A11" s="80" t="s">
        <v>250</v>
      </c>
      <c r="B11" s="82" t="s">
        <v>251</v>
      </c>
      <c r="C11" s="76">
        <f>C12</f>
        <v>7000000</v>
      </c>
      <c r="D11" s="76">
        <f t="shared" ref="D11" si="1">D12</f>
        <v>-850000</v>
      </c>
      <c r="E11" s="76">
        <f>SUM(C11:D11)</f>
        <v>6150000</v>
      </c>
      <c r="F11" s="76">
        <f>F12</f>
        <v>0</v>
      </c>
      <c r="G11" s="76">
        <f t="shared" ref="G11" si="2">G12</f>
        <v>0</v>
      </c>
      <c r="H11" s="76">
        <f t="shared" ref="H11:H24" si="3">SUM(F11:G11)</f>
        <v>0</v>
      </c>
    </row>
    <row r="12" spans="1:8" ht="48" thickBot="1" x14ac:dyDescent="0.25">
      <c r="A12" s="80" t="s">
        <v>252</v>
      </c>
      <c r="B12" s="82" t="s">
        <v>283</v>
      </c>
      <c r="C12" s="76">
        <v>7000000</v>
      </c>
      <c r="D12" s="76">
        <v>-850000</v>
      </c>
      <c r="E12" s="76">
        <f t="shared" ref="E12:E24" si="4">SUM(C12:D12)</f>
        <v>6150000</v>
      </c>
      <c r="F12" s="83">
        <v>0</v>
      </c>
      <c r="G12" s="83"/>
      <c r="H12" s="76">
        <f t="shared" si="3"/>
        <v>0</v>
      </c>
    </row>
    <row r="13" spans="1:8" ht="48" hidden="1" thickBot="1" x14ac:dyDescent="0.25">
      <c r="A13" s="80" t="s">
        <v>254</v>
      </c>
      <c r="B13" s="82" t="s">
        <v>255</v>
      </c>
      <c r="C13" s="76">
        <f>C14</f>
        <v>7000000</v>
      </c>
      <c r="D13" s="76">
        <f t="shared" ref="D13" si="5">D14</f>
        <v>-7000000</v>
      </c>
      <c r="E13" s="76">
        <f t="shared" si="4"/>
        <v>0</v>
      </c>
      <c r="F13" s="76">
        <f>F14</f>
        <v>0</v>
      </c>
      <c r="G13" s="76">
        <f t="shared" ref="G13" si="6">G14</f>
        <v>0</v>
      </c>
      <c r="H13" s="76">
        <f t="shared" si="3"/>
        <v>0</v>
      </c>
    </row>
    <row r="14" spans="1:8" ht="63.75" hidden="1" thickBot="1" x14ac:dyDescent="0.25">
      <c r="A14" s="80" t="s">
        <v>256</v>
      </c>
      <c r="B14" s="82" t="s">
        <v>284</v>
      </c>
      <c r="C14" s="76">
        <v>7000000</v>
      </c>
      <c r="D14" s="76">
        <v>-7000000</v>
      </c>
      <c r="E14" s="76">
        <f t="shared" si="4"/>
        <v>0</v>
      </c>
      <c r="F14" s="83">
        <v>0</v>
      </c>
      <c r="G14" s="83"/>
      <c r="H14" s="76">
        <f t="shared" si="3"/>
        <v>0</v>
      </c>
    </row>
    <row r="15" spans="1:8" ht="48" thickBot="1" x14ac:dyDescent="0.25">
      <c r="A15" s="80" t="s">
        <v>285</v>
      </c>
      <c r="B15" s="81" t="s">
        <v>259</v>
      </c>
      <c r="C15" s="74">
        <f>C16</f>
        <v>0</v>
      </c>
      <c r="D15" s="74">
        <f>-D16</f>
        <v>-6150000</v>
      </c>
      <c r="E15" s="74">
        <f t="shared" si="4"/>
        <v>-6150000</v>
      </c>
      <c r="F15" s="74">
        <f>F16</f>
        <v>0</v>
      </c>
      <c r="G15" s="74">
        <f t="shared" ref="G15:G16" si="7">G16</f>
        <v>0</v>
      </c>
      <c r="H15" s="74">
        <f t="shared" si="3"/>
        <v>0</v>
      </c>
    </row>
    <row r="16" spans="1:8" ht="79.5" thickBot="1" x14ac:dyDescent="0.25">
      <c r="A16" s="80" t="s">
        <v>264</v>
      </c>
      <c r="B16" s="82" t="s">
        <v>265</v>
      </c>
      <c r="C16" s="76"/>
      <c r="D16" s="76">
        <f t="shared" ref="D16" si="8">D17</f>
        <v>6150000</v>
      </c>
      <c r="E16" s="76">
        <f t="shared" si="4"/>
        <v>6150000</v>
      </c>
      <c r="F16" s="83">
        <f>F17</f>
        <v>0</v>
      </c>
      <c r="G16" s="83">
        <f t="shared" si="7"/>
        <v>0</v>
      </c>
      <c r="H16" s="76">
        <f t="shared" si="3"/>
        <v>0</v>
      </c>
    </row>
    <row r="17" spans="1:8" ht="79.5" thickBot="1" x14ac:dyDescent="0.25">
      <c r="A17" s="80" t="s">
        <v>266</v>
      </c>
      <c r="B17" s="82" t="s">
        <v>286</v>
      </c>
      <c r="C17" s="76"/>
      <c r="D17" s="76">
        <v>6150000</v>
      </c>
      <c r="E17" s="76">
        <f>SUM(C17:D17)</f>
        <v>6150000</v>
      </c>
      <c r="F17" s="83"/>
      <c r="G17" s="83"/>
      <c r="H17" s="76">
        <f t="shared" si="3"/>
        <v>0</v>
      </c>
    </row>
    <row r="18" spans="1:8" ht="32.25" thickBot="1" x14ac:dyDescent="0.25">
      <c r="A18" s="80" t="s">
        <v>287</v>
      </c>
      <c r="B18" s="81" t="s">
        <v>269</v>
      </c>
      <c r="C18" s="74">
        <f ca="1">C19-C20</f>
        <v>0</v>
      </c>
      <c r="D18" s="74">
        <f ca="1">D19-D20</f>
        <v>110108000</v>
      </c>
      <c r="E18" s="74">
        <f t="shared" ca="1" si="4"/>
        <v>110108000</v>
      </c>
      <c r="F18" s="74">
        <f ca="1">F19-F20</f>
        <v>0</v>
      </c>
      <c r="G18" s="74">
        <f ca="1">G19-G20</f>
        <v>0</v>
      </c>
      <c r="H18" s="74">
        <f t="shared" ca="1" si="3"/>
        <v>0</v>
      </c>
    </row>
    <row r="19" spans="1:8" ht="42.75" customHeight="1" thickBot="1" x14ac:dyDescent="0.25">
      <c r="A19" s="80" t="s">
        <v>270</v>
      </c>
      <c r="B19" s="82" t="s">
        <v>288</v>
      </c>
      <c r="C19" s="76">
        <f>Пр2!J126+C12</f>
        <v>2271615068</v>
      </c>
      <c r="D19" s="76">
        <f>Пр2!K126+D12+D23</f>
        <v>-850000</v>
      </c>
      <c r="E19" s="76">
        <f t="shared" si="4"/>
        <v>2270765068</v>
      </c>
      <c r="F19" s="76">
        <f>Пр2!M126+F12</f>
        <v>2237528024</v>
      </c>
      <c r="G19" s="76">
        <f>Пр2!N126+G11</f>
        <v>0</v>
      </c>
      <c r="H19" s="76">
        <f t="shared" si="3"/>
        <v>2237528024</v>
      </c>
    </row>
    <row r="20" spans="1:8" ht="48" thickBot="1" x14ac:dyDescent="0.25">
      <c r="A20" s="80" t="s">
        <v>272</v>
      </c>
      <c r="B20" s="70" t="s">
        <v>289</v>
      </c>
      <c r="C20" s="76">
        <f ca="1">Пр4!C121+Пр4!C122+C14</f>
        <v>2271615068</v>
      </c>
      <c r="D20" s="76">
        <f ca="1">Пр4!D121+Пр4!D122+D14+D17</f>
        <v>-110958000</v>
      </c>
      <c r="E20" s="76">
        <f t="shared" ca="1" si="4"/>
        <v>2160657068</v>
      </c>
      <c r="F20" s="76">
        <f ca="1">Пр4!F121+Пр4!F122</f>
        <v>2237528024</v>
      </c>
      <c r="G20" s="76">
        <f ca="1">Пр4!G121+Пр4!G122+G14+G17</f>
        <v>0</v>
      </c>
      <c r="H20" s="76">
        <f t="shared" ca="1" si="3"/>
        <v>2237528024</v>
      </c>
    </row>
    <row r="21" spans="1:8" ht="48" hidden="1" thickBot="1" x14ac:dyDescent="0.25">
      <c r="A21" s="80" t="s">
        <v>290</v>
      </c>
      <c r="B21" s="81" t="s">
        <v>275</v>
      </c>
      <c r="C21" s="74">
        <f>C22</f>
        <v>0</v>
      </c>
      <c r="D21" s="74">
        <f t="shared" ref="D21:D22" si="9">D22</f>
        <v>0</v>
      </c>
      <c r="E21" s="76">
        <f t="shared" si="4"/>
        <v>0</v>
      </c>
      <c r="F21" s="84">
        <f>F22</f>
        <v>0</v>
      </c>
      <c r="G21" s="84">
        <f t="shared" ref="G21:G22" si="10">G22</f>
        <v>0</v>
      </c>
      <c r="H21" s="76">
        <f t="shared" si="3"/>
        <v>0</v>
      </c>
    </row>
    <row r="22" spans="1:8" ht="48" hidden="1" thickBot="1" x14ac:dyDescent="0.25">
      <c r="A22" s="80" t="s">
        <v>276</v>
      </c>
      <c r="B22" s="82" t="s">
        <v>277</v>
      </c>
      <c r="C22" s="76">
        <f>C23</f>
        <v>0</v>
      </c>
      <c r="D22" s="76">
        <f t="shared" si="9"/>
        <v>0</v>
      </c>
      <c r="E22" s="76">
        <f t="shared" si="4"/>
        <v>0</v>
      </c>
      <c r="F22" s="76">
        <f>F23</f>
        <v>0</v>
      </c>
      <c r="G22" s="76">
        <f t="shared" si="10"/>
        <v>0</v>
      </c>
      <c r="H22" s="76">
        <f t="shared" si="3"/>
        <v>0</v>
      </c>
    </row>
    <row r="23" spans="1:8" ht="63.75" hidden="1" thickBot="1" x14ac:dyDescent="0.25">
      <c r="A23" s="80" t="s">
        <v>278</v>
      </c>
      <c r="B23" s="82" t="s">
        <v>279</v>
      </c>
      <c r="C23" s="76"/>
      <c r="D23" s="76"/>
      <c r="E23" s="76">
        <f t="shared" si="4"/>
        <v>0</v>
      </c>
      <c r="F23" s="83"/>
      <c r="G23" s="83"/>
      <c r="H23" s="76">
        <f t="shared" si="3"/>
        <v>0</v>
      </c>
    </row>
    <row r="24" spans="1:8" ht="16.5" thickBot="1" x14ac:dyDescent="0.25">
      <c r="A24" s="847" t="s">
        <v>280</v>
      </c>
      <c r="B24" s="847"/>
      <c r="C24" s="78">
        <f ca="1">C21+C18+C15+C10</f>
        <v>0</v>
      </c>
      <c r="D24" s="78">
        <f t="shared" ref="D24" ca="1" si="11">D21+D18+D15+D10</f>
        <v>110108000</v>
      </c>
      <c r="E24" s="76">
        <f t="shared" ca="1" si="4"/>
        <v>110108000</v>
      </c>
      <c r="F24" s="74">
        <f ca="1">F10+F15+F18+F21</f>
        <v>0</v>
      </c>
      <c r="G24" s="74">
        <f t="shared" ref="G24" ca="1" si="12">G10+G15+G18+G21</f>
        <v>0</v>
      </c>
      <c r="H24" s="74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4" zoomScaleSheetLayoutView="100" workbookViewId="0">
      <selection activeCell="B8" sqref="B8"/>
    </sheetView>
  </sheetViews>
  <sheetFormatPr defaultRowHeight="12.75" x14ac:dyDescent="0.2"/>
  <cols>
    <col min="1" max="1" width="30.28515625" customWidth="1"/>
    <col min="2" max="5" width="15.5703125" customWidth="1"/>
    <col min="8" max="8" width="43.28515625" customWidth="1"/>
  </cols>
  <sheetData>
    <row r="1" spans="1:5" ht="16.5" customHeight="1" x14ac:dyDescent="0.25">
      <c r="A1" s="829" t="s">
        <v>1786</v>
      </c>
      <c r="B1" s="829"/>
      <c r="C1" s="829"/>
      <c r="D1" s="868"/>
      <c r="E1" s="868"/>
    </row>
    <row r="2" spans="1:5" ht="16.5" customHeight="1" x14ac:dyDescent="0.25">
      <c r="A2" s="829" t="s">
        <v>1</v>
      </c>
      <c r="B2" s="829"/>
      <c r="C2" s="829"/>
      <c r="D2" s="868"/>
      <c r="E2" s="868"/>
    </row>
    <row r="3" spans="1:5" ht="16.5" customHeight="1" x14ac:dyDescent="0.25">
      <c r="A3" s="829" t="s">
        <v>2</v>
      </c>
      <c r="B3" s="829"/>
      <c r="C3" s="829"/>
      <c r="D3" s="868"/>
      <c r="E3" s="868"/>
    </row>
    <row r="4" spans="1:5" ht="16.5" customHeight="1" x14ac:dyDescent="0.25">
      <c r="A4" s="829" t="s">
        <v>1808</v>
      </c>
      <c r="B4" s="829"/>
      <c r="C4" s="829"/>
      <c r="D4" s="829"/>
      <c r="E4" s="829"/>
    </row>
    <row r="5" spans="1:5" ht="12.75" customHeight="1" x14ac:dyDescent="0.25">
      <c r="A5" s="829"/>
      <c r="B5" s="868"/>
      <c r="C5" s="868"/>
      <c r="D5" s="868"/>
      <c r="E5" s="868"/>
    </row>
    <row r="6" spans="1:5" ht="15.75" hidden="1" x14ac:dyDescent="0.25">
      <c r="A6" s="869"/>
      <c r="B6" s="870"/>
      <c r="C6" s="870"/>
      <c r="D6" s="870"/>
      <c r="E6" s="870"/>
    </row>
    <row r="7" spans="1:5" ht="35.25" customHeight="1" x14ac:dyDescent="0.2">
      <c r="A7" s="871" t="s">
        <v>1621</v>
      </c>
      <c r="B7" s="872"/>
      <c r="C7" s="872"/>
      <c r="D7" s="872"/>
      <c r="E7" s="872"/>
    </row>
    <row r="8" spans="1:5" ht="17.25" customHeight="1" x14ac:dyDescent="0.25">
      <c r="A8" s="5"/>
      <c r="B8" s="1"/>
      <c r="C8" s="1"/>
      <c r="D8" s="1"/>
      <c r="E8" s="456" t="s">
        <v>1406</v>
      </c>
    </row>
    <row r="9" spans="1:5" ht="15.75" hidden="1" x14ac:dyDescent="0.25">
      <c r="A9" s="873"/>
      <c r="B9" s="870"/>
      <c r="C9" s="870"/>
      <c r="D9" s="870"/>
      <c r="E9" s="870"/>
    </row>
    <row r="10" spans="1:5" ht="33.75" customHeight="1" x14ac:dyDescent="0.2">
      <c r="A10" s="874" t="s">
        <v>1622</v>
      </c>
      <c r="B10" s="875"/>
      <c r="C10" s="875"/>
      <c r="D10" s="875"/>
      <c r="E10" s="875"/>
    </row>
    <row r="11" spans="1:5" ht="1.1499999999999999" hidden="1" customHeight="1" x14ac:dyDescent="0.25">
      <c r="A11" s="876"/>
      <c r="B11" s="877"/>
      <c r="C11" s="877"/>
      <c r="D11" s="877"/>
      <c r="E11" s="877"/>
    </row>
    <row r="12" spans="1:5" ht="33" customHeight="1" x14ac:dyDescent="0.2">
      <c r="A12" s="854" t="s">
        <v>1401</v>
      </c>
      <c r="B12" s="854"/>
      <c r="C12" s="452" t="s">
        <v>1402</v>
      </c>
      <c r="D12" s="452" t="s">
        <v>1539</v>
      </c>
      <c r="E12" s="452" t="s">
        <v>1623</v>
      </c>
    </row>
    <row r="13" spans="1:5" ht="20.25" customHeight="1" x14ac:dyDescent="0.25">
      <c r="A13" s="878" t="s">
        <v>291</v>
      </c>
      <c r="B13" s="878"/>
      <c r="C13" s="453"/>
      <c r="D13" s="453"/>
      <c r="E13" s="453"/>
    </row>
    <row r="14" spans="1:5" ht="20.25" customHeight="1" x14ac:dyDescent="0.25">
      <c r="A14" s="861" t="s">
        <v>292</v>
      </c>
      <c r="B14" s="861"/>
      <c r="C14" s="453">
        <v>0</v>
      </c>
      <c r="D14" s="453">
        <v>0</v>
      </c>
      <c r="E14" s="453">
        <v>0</v>
      </c>
    </row>
    <row r="15" spans="1:5" ht="19.149999999999999" customHeight="1" x14ac:dyDescent="0.25">
      <c r="A15" s="861" t="s">
        <v>293</v>
      </c>
      <c r="B15" s="861"/>
      <c r="C15" s="453">
        <v>0</v>
      </c>
      <c r="D15" s="453">
        <f>Пр6!E14</f>
        <v>0</v>
      </c>
      <c r="E15" s="453">
        <v>0</v>
      </c>
    </row>
    <row r="16" spans="1:5" ht="15.75" x14ac:dyDescent="0.25">
      <c r="A16" s="878" t="s">
        <v>294</v>
      </c>
      <c r="B16" s="878"/>
      <c r="C16" s="453"/>
      <c r="D16" s="453"/>
      <c r="E16" s="453"/>
    </row>
    <row r="17" spans="1:5" ht="18" customHeight="1" x14ac:dyDescent="0.25">
      <c r="A17" s="861" t="s">
        <v>1403</v>
      </c>
      <c r="B17" s="861"/>
      <c r="C17" s="453">
        <v>6150000</v>
      </c>
      <c r="D17" s="453"/>
      <c r="E17" s="453"/>
    </row>
    <row r="18" spans="1:5" ht="15.75" x14ac:dyDescent="0.25">
      <c r="A18" s="862" t="s">
        <v>293</v>
      </c>
      <c r="B18" s="862"/>
      <c r="C18" s="453">
        <f>Пр5!C18</f>
        <v>0</v>
      </c>
      <c r="D18" s="453">
        <v>0</v>
      </c>
      <c r="E18" s="453"/>
    </row>
    <row r="19" spans="1:5" ht="15.75" x14ac:dyDescent="0.25">
      <c r="A19" s="863" t="s">
        <v>295</v>
      </c>
      <c r="B19" s="863"/>
      <c r="C19" s="453"/>
      <c r="D19" s="453"/>
      <c r="E19" s="453"/>
    </row>
    <row r="20" spans="1:5" ht="15.75" x14ac:dyDescent="0.25">
      <c r="A20" s="864" t="s">
        <v>296</v>
      </c>
      <c r="B20" s="864"/>
      <c r="C20" s="453">
        <f t="shared" ref="C20:E21" si="0">C14+C17</f>
        <v>6150000</v>
      </c>
      <c r="D20" s="453">
        <v>0</v>
      </c>
      <c r="E20" s="453">
        <f t="shared" si="0"/>
        <v>0</v>
      </c>
    </row>
    <row r="21" spans="1:5" ht="15.75" x14ac:dyDescent="0.25">
      <c r="A21" s="864" t="s">
        <v>297</v>
      </c>
      <c r="B21" s="864"/>
      <c r="C21" s="453">
        <f t="shared" si="0"/>
        <v>0</v>
      </c>
      <c r="D21" s="453">
        <f t="shared" si="0"/>
        <v>0</v>
      </c>
      <c r="E21" s="453">
        <f t="shared" si="0"/>
        <v>0</v>
      </c>
    </row>
    <row r="22" spans="1:5" ht="63" customHeight="1" x14ac:dyDescent="0.2">
      <c r="A22" s="865" t="s">
        <v>1572</v>
      </c>
      <c r="B22" s="866"/>
      <c r="C22" s="866"/>
      <c r="D22" s="866"/>
      <c r="E22" s="867"/>
    </row>
    <row r="23" spans="1:5" ht="33" customHeight="1" x14ac:dyDescent="0.2">
      <c r="A23" s="856" t="s">
        <v>1404</v>
      </c>
      <c r="B23" s="857"/>
      <c r="C23" s="857"/>
      <c r="D23" s="857"/>
      <c r="E23" s="858"/>
    </row>
    <row r="24" spans="1:5" ht="33" customHeight="1" x14ac:dyDescent="0.2">
      <c r="A24" s="452" t="s">
        <v>1402</v>
      </c>
      <c r="B24" s="856" t="s">
        <v>1539</v>
      </c>
      <c r="C24" s="858"/>
      <c r="D24" s="856" t="s">
        <v>1623</v>
      </c>
      <c r="E24" s="858"/>
    </row>
    <row r="25" spans="1:5" ht="33" customHeight="1" x14ac:dyDescent="0.2">
      <c r="A25" s="664">
        <v>0</v>
      </c>
      <c r="B25" s="859">
        <f>Пр4!E115</f>
        <v>100000</v>
      </c>
      <c r="C25" s="860"/>
      <c r="D25" s="859">
        <v>0</v>
      </c>
      <c r="E25" s="860"/>
    </row>
    <row r="26" spans="1:5" ht="32.25" customHeight="1" x14ac:dyDescent="0.2">
      <c r="A26" s="849" t="s">
        <v>1405</v>
      </c>
      <c r="B26" s="850"/>
      <c r="C26" s="850"/>
      <c r="D26" s="850"/>
      <c r="E26" s="851"/>
    </row>
    <row r="27" spans="1:5" ht="15.75" x14ac:dyDescent="0.25">
      <c r="A27" s="854" t="s">
        <v>1401</v>
      </c>
      <c r="B27" s="855" t="s">
        <v>1595</v>
      </c>
      <c r="C27" s="855"/>
      <c r="D27" s="855"/>
      <c r="E27" s="855"/>
    </row>
    <row r="28" spans="1:5" ht="31.5" x14ac:dyDescent="0.25">
      <c r="A28" s="854"/>
      <c r="B28" s="457" t="s">
        <v>1777</v>
      </c>
      <c r="C28" s="457" t="s">
        <v>1596</v>
      </c>
      <c r="D28" s="457" t="s">
        <v>1597</v>
      </c>
      <c r="E28" s="457" t="s">
        <v>1624</v>
      </c>
    </row>
    <row r="29" spans="1:5" ht="31.9" customHeight="1" x14ac:dyDescent="0.25">
      <c r="A29" s="454" t="s">
        <v>298</v>
      </c>
      <c r="B29" s="451">
        <v>0</v>
      </c>
      <c r="C29" s="451">
        <v>0</v>
      </c>
      <c r="D29" s="144">
        <v>0</v>
      </c>
      <c r="E29" s="451">
        <v>0</v>
      </c>
    </row>
    <row r="30" spans="1:5" ht="15.75" x14ac:dyDescent="0.25">
      <c r="A30" s="454" t="s">
        <v>299</v>
      </c>
      <c r="B30" s="451">
        <v>0</v>
      </c>
      <c r="C30" s="451">
        <v>0</v>
      </c>
      <c r="D30" s="451">
        <v>0</v>
      </c>
      <c r="E30" s="451">
        <v>0</v>
      </c>
    </row>
    <row r="31" spans="1:5" ht="15.75" customHeight="1" x14ac:dyDescent="0.25">
      <c r="A31" s="454" t="s">
        <v>300</v>
      </c>
      <c r="B31" s="451">
        <f>Пр.8!C11</f>
        <v>12500000</v>
      </c>
      <c r="C31" s="451">
        <f>Пр.8!D11</f>
        <v>4500000</v>
      </c>
      <c r="D31" s="451">
        <f>Пр.8!E11</f>
        <v>0</v>
      </c>
      <c r="E31" s="451">
        <f>Пр.8!F11</f>
        <v>0</v>
      </c>
    </row>
    <row r="32" spans="1:5" ht="30.75" customHeight="1" x14ac:dyDescent="0.25">
      <c r="A32" s="454" t="s">
        <v>301</v>
      </c>
      <c r="B32" s="144">
        <f>B29+B30+B31</f>
        <v>12500000</v>
      </c>
      <c r="C32" s="144">
        <f t="shared" ref="C32:E32" si="1">C29+C30+C31</f>
        <v>4500000</v>
      </c>
      <c r="D32" s="144">
        <f t="shared" si="1"/>
        <v>0</v>
      </c>
      <c r="E32" s="144">
        <f t="shared" si="1"/>
        <v>0</v>
      </c>
    </row>
    <row r="33" spans="1:5" ht="30" customHeight="1" x14ac:dyDescent="0.25">
      <c r="A33" s="852"/>
      <c r="B33" s="853"/>
      <c r="C33" s="853"/>
      <c r="D33" s="853"/>
      <c r="E33" s="853"/>
    </row>
    <row r="34" spans="1:5" x14ac:dyDescent="0.2">
      <c r="A34" s="85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7109375" customWidth="1"/>
    <col min="2" max="2" width="21.28515625" customWidth="1"/>
    <col min="3" max="5" width="15.85546875" customWidth="1"/>
    <col min="6" max="6" width="16.7109375" customWidth="1"/>
    <col min="7" max="7" width="108" customWidth="1"/>
  </cols>
  <sheetData>
    <row r="1" spans="1:6" ht="15.75" x14ac:dyDescent="0.25">
      <c r="A1" s="842" t="s">
        <v>1649</v>
      </c>
      <c r="B1" s="842"/>
      <c r="C1" s="842"/>
      <c r="D1" s="842"/>
      <c r="E1" s="842"/>
      <c r="F1" s="842"/>
    </row>
    <row r="2" spans="1:6" ht="15.75" x14ac:dyDescent="0.25">
      <c r="A2" s="842" t="s">
        <v>1</v>
      </c>
      <c r="B2" s="842"/>
      <c r="C2" s="842"/>
      <c r="D2" s="842"/>
      <c r="E2" s="842"/>
      <c r="F2" s="842"/>
    </row>
    <row r="3" spans="1:6" ht="15.75" x14ac:dyDescent="0.25">
      <c r="A3" s="842" t="s">
        <v>2</v>
      </c>
      <c r="B3" s="842"/>
      <c r="C3" s="842"/>
      <c r="D3" s="842"/>
      <c r="E3" s="842"/>
      <c r="F3" s="842"/>
    </row>
    <row r="4" spans="1:6" ht="15.75" x14ac:dyDescent="0.25">
      <c r="A4" s="842" t="s">
        <v>1593</v>
      </c>
      <c r="B4" s="842"/>
      <c r="C4" s="842"/>
      <c r="D4" s="842"/>
      <c r="E4" s="842"/>
      <c r="F4" s="842"/>
    </row>
    <row r="5" spans="1:6" x14ac:dyDescent="0.2">
      <c r="A5" s="255"/>
      <c r="B5" s="255"/>
      <c r="C5" s="255"/>
      <c r="D5" s="255"/>
      <c r="E5" s="255"/>
      <c r="F5" s="255"/>
    </row>
    <row r="6" spans="1:6" ht="36" customHeight="1" x14ac:dyDescent="0.2">
      <c r="A6" s="879" t="s">
        <v>1625</v>
      </c>
      <c r="B6" s="879"/>
      <c r="C6" s="879"/>
      <c r="D6" s="879"/>
      <c r="E6" s="879"/>
      <c r="F6" s="879"/>
    </row>
    <row r="7" spans="1:6" ht="161.25" customHeight="1" x14ac:dyDescent="0.2">
      <c r="A7" s="880" t="s">
        <v>1626</v>
      </c>
      <c r="B7" s="881"/>
      <c r="C7" s="881"/>
      <c r="D7" s="881"/>
      <c r="E7" s="881"/>
      <c r="F7" s="881"/>
    </row>
    <row r="8" spans="1:6" ht="33" customHeight="1" x14ac:dyDescent="0.2">
      <c r="A8" s="892" t="s">
        <v>1548</v>
      </c>
      <c r="B8" s="892"/>
      <c r="C8" s="892"/>
      <c r="D8" s="892"/>
      <c r="E8" s="892"/>
      <c r="F8" s="892"/>
    </row>
    <row r="9" spans="1:6" ht="66" customHeight="1" x14ac:dyDescent="0.2">
      <c r="A9" s="893" t="s">
        <v>1536</v>
      </c>
      <c r="B9" s="894"/>
      <c r="C9" s="653" t="s">
        <v>1543</v>
      </c>
      <c r="D9" s="653" t="s">
        <v>1544</v>
      </c>
      <c r="E9" s="653" t="s">
        <v>1545</v>
      </c>
      <c r="F9" s="652" t="s">
        <v>1627</v>
      </c>
    </row>
    <row r="10" spans="1:6" ht="27" customHeight="1" x14ac:dyDescent="0.2">
      <c r="A10" s="882"/>
      <c r="B10" s="883"/>
      <c r="C10" s="653"/>
      <c r="D10" s="653"/>
      <c r="E10" s="653"/>
      <c r="F10" s="652"/>
    </row>
    <row r="11" spans="1:6" ht="45" customHeight="1" x14ac:dyDescent="0.25">
      <c r="A11" s="889" t="s">
        <v>1550</v>
      </c>
      <c r="B11" s="890"/>
      <c r="C11" s="705">
        <v>12500000</v>
      </c>
      <c r="D11" s="649">
        <v>4500000</v>
      </c>
      <c r="E11" s="649">
        <v>0</v>
      </c>
      <c r="F11" s="648">
        <v>0</v>
      </c>
    </row>
    <row r="12" spans="1:6" ht="15.75" x14ac:dyDescent="0.25">
      <c r="A12" s="638"/>
      <c r="B12" s="639"/>
      <c r="C12" s="639"/>
      <c r="D12" s="639"/>
      <c r="E12" s="639"/>
      <c r="F12" s="640"/>
    </row>
    <row r="13" spans="1:6" ht="35.25" customHeight="1" x14ac:dyDescent="0.2">
      <c r="A13" s="888" t="s">
        <v>1546</v>
      </c>
      <c r="B13" s="888"/>
      <c r="C13" s="888"/>
      <c r="D13" s="888"/>
      <c r="E13" s="888"/>
      <c r="F13" s="888"/>
    </row>
    <row r="14" spans="1:6" ht="18" customHeight="1" x14ac:dyDescent="0.25">
      <c r="A14" s="891" t="s">
        <v>1547</v>
      </c>
      <c r="B14" s="891"/>
      <c r="C14" s="891"/>
      <c r="D14" s="891"/>
      <c r="E14" s="891"/>
      <c r="F14" s="891"/>
    </row>
    <row r="15" spans="1:6" ht="14.25" customHeight="1" x14ac:dyDescent="0.2">
      <c r="A15" s="884" t="s">
        <v>1630</v>
      </c>
      <c r="B15" s="884"/>
      <c r="C15" s="884"/>
      <c r="D15" s="884"/>
      <c r="E15" s="884"/>
      <c r="F15" s="884"/>
    </row>
    <row r="16" spans="1:6" ht="15.75" x14ac:dyDescent="0.25">
      <c r="A16" s="885" t="s">
        <v>1549</v>
      </c>
      <c r="B16" s="886"/>
      <c r="C16" s="886"/>
      <c r="D16" s="886"/>
      <c r="E16" s="886"/>
      <c r="F16" s="886"/>
    </row>
    <row r="17" spans="1:6" ht="15.75" x14ac:dyDescent="0.2">
      <c r="A17" s="887" t="s">
        <v>1629</v>
      </c>
      <c r="B17" s="887"/>
      <c r="C17" s="887"/>
      <c r="D17" s="887"/>
      <c r="E17" s="887"/>
      <c r="F17" s="887"/>
    </row>
    <row r="18" spans="1:6" ht="19.149999999999999" customHeight="1" x14ac:dyDescent="0.2">
      <c r="A18" s="654" t="s">
        <v>1628</v>
      </c>
      <c r="B18" s="641"/>
      <c r="C18" s="641"/>
      <c r="D18" s="641"/>
      <c r="E18" s="641"/>
      <c r="F18" s="641"/>
    </row>
    <row r="19" spans="1:6" ht="15.75" x14ac:dyDescent="0.25">
      <c r="A19" s="643"/>
      <c r="B19" s="642"/>
      <c r="C19" s="642"/>
      <c r="D19" s="642"/>
      <c r="E19" s="642"/>
      <c r="F19" s="644"/>
    </row>
    <row r="20" spans="1:6" ht="15.75" x14ac:dyDescent="0.25">
      <c r="A20" s="636"/>
      <c r="B20" s="637"/>
      <c r="C20" s="637"/>
      <c r="D20" s="637"/>
      <c r="E20" s="637"/>
      <c r="F20" s="637"/>
    </row>
    <row r="21" spans="1:6" ht="15.75" x14ac:dyDescent="0.25">
      <c r="A21" s="638"/>
      <c r="B21" s="639"/>
      <c r="C21" s="639"/>
      <c r="D21" s="639"/>
      <c r="E21" s="639"/>
      <c r="F21" s="640"/>
    </row>
    <row r="22" spans="1:6" ht="15.75" x14ac:dyDescent="0.25">
      <c r="A22" s="638"/>
      <c r="B22" s="639"/>
      <c r="C22" s="639"/>
      <c r="D22" s="639"/>
      <c r="E22" s="639"/>
      <c r="F22" s="640"/>
    </row>
    <row r="23" spans="1:6" ht="15.75" x14ac:dyDescent="0.25">
      <c r="A23" s="638"/>
      <c r="B23" s="639"/>
      <c r="C23" s="639"/>
      <c r="D23" s="639"/>
      <c r="E23" s="639"/>
      <c r="F23" s="640"/>
    </row>
    <row r="24" spans="1:6" ht="15.75" x14ac:dyDescent="0.25">
      <c r="A24" s="638"/>
      <c r="B24" s="639"/>
      <c r="C24" s="639"/>
      <c r="D24" s="639"/>
      <c r="E24" s="639"/>
      <c r="F24" s="640"/>
    </row>
    <row r="25" spans="1:6" x14ac:dyDescent="0.2">
      <c r="A25" s="645"/>
      <c r="B25" s="646"/>
      <c r="C25" s="646"/>
      <c r="D25" s="646"/>
      <c r="E25" s="646"/>
      <c r="F25" s="647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7109375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829" t="s">
        <v>1534</v>
      </c>
      <c r="C1" s="829"/>
      <c r="D1" s="829"/>
      <c r="E1" s="868"/>
      <c r="F1" s="868"/>
    </row>
    <row r="2" spans="1:6" ht="15.75" x14ac:dyDescent="0.25">
      <c r="B2" s="829" t="s">
        <v>1</v>
      </c>
      <c r="C2" s="829"/>
      <c r="D2" s="829"/>
      <c r="E2" s="868"/>
      <c r="F2" s="868"/>
    </row>
    <row r="3" spans="1:6" ht="15.75" x14ac:dyDescent="0.25">
      <c r="B3" s="829" t="s">
        <v>2</v>
      </c>
      <c r="C3" s="829"/>
      <c r="D3" s="829"/>
      <c r="E3" s="868"/>
      <c r="F3" s="868"/>
    </row>
    <row r="4" spans="1:6" ht="15.75" x14ac:dyDescent="0.25">
      <c r="B4" s="829" t="s">
        <v>1685</v>
      </c>
      <c r="C4" s="829"/>
      <c r="D4" s="829"/>
      <c r="E4" s="868"/>
      <c r="F4" s="868"/>
    </row>
    <row r="5" spans="1:6" ht="15.75" x14ac:dyDescent="0.25">
      <c r="B5" s="829"/>
      <c r="C5" s="868"/>
      <c r="D5" s="868"/>
      <c r="E5" s="868"/>
      <c r="F5" s="868"/>
    </row>
    <row r="6" spans="1:6" hidden="1" x14ac:dyDescent="0.2">
      <c r="B6" s="598"/>
      <c r="C6" s="598"/>
      <c r="D6" s="598"/>
      <c r="E6" s="598"/>
      <c r="F6" s="90"/>
    </row>
    <row r="7" spans="1:6" ht="52.5" customHeight="1" x14ac:dyDescent="0.2">
      <c r="A7" s="895" t="s">
        <v>1686</v>
      </c>
      <c r="B7" s="895"/>
      <c r="C7" s="895"/>
      <c r="D7" s="895"/>
      <c r="E7" s="895"/>
      <c r="F7" s="90"/>
    </row>
    <row r="8" spans="1:6" ht="48" customHeight="1" x14ac:dyDescent="0.2">
      <c r="A8" s="597" t="s">
        <v>1464</v>
      </c>
      <c r="B8" s="327" t="s">
        <v>1463</v>
      </c>
      <c r="C8" s="597" t="s">
        <v>1465</v>
      </c>
      <c r="D8" s="597" t="s">
        <v>1462</v>
      </c>
      <c r="E8" s="597" t="s">
        <v>1461</v>
      </c>
      <c r="F8" s="90"/>
    </row>
    <row r="9" spans="1:6" ht="155.25" customHeight="1" x14ac:dyDescent="0.2">
      <c r="A9" s="599" t="s">
        <v>1466</v>
      </c>
      <c r="B9" s="600" t="s">
        <v>1407</v>
      </c>
      <c r="C9" s="599">
        <v>100</v>
      </c>
      <c r="D9" s="599"/>
      <c r="E9" s="599"/>
      <c r="F9" s="90"/>
    </row>
    <row r="10" spans="1:6" ht="153" x14ac:dyDescent="0.2">
      <c r="A10" s="599" t="s">
        <v>1467</v>
      </c>
      <c r="B10" s="185" t="s">
        <v>1468</v>
      </c>
      <c r="C10" s="599"/>
      <c r="D10" s="599">
        <v>100</v>
      </c>
      <c r="E10" s="599"/>
      <c r="F10" s="90"/>
    </row>
    <row r="11" spans="1:6" ht="153" x14ac:dyDescent="0.2">
      <c r="A11" s="599" t="s">
        <v>1470</v>
      </c>
      <c r="B11" s="185" t="s">
        <v>1469</v>
      </c>
      <c r="C11" s="599"/>
      <c r="D11" s="599"/>
      <c r="E11" s="599">
        <v>100</v>
      </c>
      <c r="F11" s="90"/>
    </row>
    <row r="12" spans="1:6" ht="140.25" x14ac:dyDescent="0.2">
      <c r="A12" s="599" t="s">
        <v>1471</v>
      </c>
      <c r="B12" s="185" t="s">
        <v>1408</v>
      </c>
      <c r="C12" s="599">
        <v>100</v>
      </c>
      <c r="D12" s="599"/>
      <c r="E12" s="599"/>
      <c r="F12" s="90"/>
    </row>
    <row r="13" spans="1:6" ht="140.25" x14ac:dyDescent="0.2">
      <c r="A13" s="599" t="s">
        <v>1472</v>
      </c>
      <c r="B13" s="185" t="s">
        <v>1473</v>
      </c>
      <c r="C13" s="599"/>
      <c r="D13" s="599">
        <v>100</v>
      </c>
      <c r="E13" s="599"/>
      <c r="F13" s="90"/>
    </row>
    <row r="14" spans="1:6" ht="140.25" x14ac:dyDescent="0.2">
      <c r="A14" s="599" t="s">
        <v>1474</v>
      </c>
      <c r="B14" s="185" t="s">
        <v>1475</v>
      </c>
      <c r="C14" s="599"/>
      <c r="D14" s="599"/>
      <c r="E14" s="599">
        <v>100</v>
      </c>
      <c r="F14" s="90"/>
    </row>
    <row r="15" spans="1:6" ht="103.9" customHeight="1" x14ac:dyDescent="0.2">
      <c r="A15" s="599" t="s">
        <v>1476</v>
      </c>
      <c r="B15" s="600" t="s">
        <v>1384</v>
      </c>
      <c r="C15" s="599">
        <v>100</v>
      </c>
      <c r="D15" s="599"/>
      <c r="E15" s="599"/>
      <c r="F15" s="90"/>
    </row>
    <row r="16" spans="1:6" ht="102" x14ac:dyDescent="0.2">
      <c r="A16" s="599" t="s">
        <v>1477</v>
      </c>
      <c r="B16" s="185" t="s">
        <v>1478</v>
      </c>
      <c r="C16" s="599"/>
      <c r="D16" s="599">
        <v>100</v>
      </c>
      <c r="E16" s="599"/>
      <c r="F16" s="90"/>
    </row>
    <row r="17" spans="1:6" ht="102" x14ac:dyDescent="0.2">
      <c r="A17" s="599" t="s">
        <v>1479</v>
      </c>
      <c r="B17" s="185" t="s">
        <v>1480</v>
      </c>
      <c r="C17" s="599"/>
      <c r="D17" s="599"/>
      <c r="E17" s="599">
        <v>100</v>
      </c>
      <c r="F17" s="90"/>
    </row>
    <row r="18" spans="1:6" ht="67.900000000000006" customHeight="1" x14ac:dyDescent="0.2">
      <c r="A18" s="599" t="s">
        <v>1486</v>
      </c>
      <c r="B18" s="185" t="s">
        <v>1385</v>
      </c>
      <c r="C18" s="599">
        <v>100</v>
      </c>
      <c r="D18" s="599"/>
      <c r="E18" s="599"/>
      <c r="F18" s="90"/>
    </row>
    <row r="19" spans="1:6" ht="67.900000000000006" customHeight="1" x14ac:dyDescent="0.2">
      <c r="A19" s="599" t="s">
        <v>1487</v>
      </c>
      <c r="B19" s="185" t="s">
        <v>1488</v>
      </c>
      <c r="C19" s="599"/>
      <c r="D19" s="599">
        <v>100</v>
      </c>
      <c r="E19" s="599"/>
      <c r="F19" s="90"/>
    </row>
    <row r="20" spans="1:6" ht="69" customHeight="1" x14ac:dyDescent="0.2">
      <c r="A20" s="599" t="s">
        <v>1489</v>
      </c>
      <c r="B20" s="185" t="s">
        <v>1490</v>
      </c>
      <c r="C20" s="599"/>
      <c r="D20" s="599"/>
      <c r="E20" s="599">
        <v>100</v>
      </c>
      <c r="F20" s="90"/>
    </row>
    <row r="21" spans="1:6" ht="51" x14ac:dyDescent="0.2">
      <c r="A21" s="599" t="s">
        <v>1481</v>
      </c>
      <c r="B21" s="185" t="s">
        <v>1445</v>
      </c>
      <c r="C21" s="599">
        <v>100</v>
      </c>
      <c r="D21" s="599"/>
      <c r="E21" s="599"/>
      <c r="F21" s="90"/>
    </row>
    <row r="22" spans="1:6" ht="51" x14ac:dyDescent="0.2">
      <c r="A22" s="599" t="s">
        <v>1482</v>
      </c>
      <c r="B22" s="185" t="s">
        <v>1483</v>
      </c>
      <c r="C22" s="599"/>
      <c r="D22" s="599">
        <v>100</v>
      </c>
      <c r="E22" s="599"/>
      <c r="F22" s="90"/>
    </row>
    <row r="23" spans="1:6" ht="51" x14ac:dyDescent="0.2">
      <c r="A23" s="599" t="s">
        <v>1484</v>
      </c>
      <c r="B23" s="185" t="s">
        <v>1485</v>
      </c>
      <c r="C23" s="599"/>
      <c r="D23" s="599"/>
      <c r="E23" s="599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50</vt:i4>
      </vt:variant>
    </vt:vector>
  </HeadingPairs>
  <TitlesOfParts>
    <vt:vector size="87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Лист15</vt:lpstr>
      <vt:lpstr>Лист16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2022-12-19T05:41:38Z</cp:lastPrinted>
  <dcterms:created xsi:type="dcterms:W3CDTF">2016-11-11T16:27:02Z</dcterms:created>
  <dcterms:modified xsi:type="dcterms:W3CDTF">2022-12-23T13:43:17Z</dcterms:modified>
</cp:coreProperties>
</file>